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showObjects="placeholders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DF0E707-24AC-4509-8268-EBC8C0BB1717}" xr6:coauthVersionLast="47" xr6:coauthVersionMax="47" xr10:uidLastSave="{00000000-0000-0000-0000-000000000000}"/>
  <bookViews>
    <workbookView xWindow="-41985" yWindow="375" windowWidth="26610" windowHeight="13410" activeTab="1" xr2:uid="{00000000-000D-0000-FFFF-FFFF00000000}"/>
  </bookViews>
  <sheets>
    <sheet name="Master Pipeline" sheetId="29" r:id="rId1"/>
    <sheet name="Main" sheetId="2" r:id="rId2"/>
    <sheet name="Model" sheetId="8" r:id="rId3"/>
    <sheet name="Keytruda" sheetId="31" r:id="rId4"/>
    <sheet name="Winrevair" sheetId="36" r:id="rId5"/>
    <sheet name="Welireg" sheetId="37" r:id="rId6"/>
    <sheet name="Gardasil" sheetId="3" r:id="rId7"/>
    <sheet name="Lenvima" sheetId="35" r:id="rId8"/>
    <sheet name="Lynparza" sheetId="32" r:id="rId9"/>
    <sheet name="Padcev" sheetId="33" r:id="rId10"/>
    <sheet name="Rotateq" sheetId="17" r:id="rId11"/>
    <sheet name="V940" sheetId="34" r:id="rId12"/>
    <sheet name="0482" sheetId="38" r:id="rId13"/>
    <sheet name="Zostavax" sheetId="15" r:id="rId14"/>
    <sheet name="Vytorin" sheetId="26" r:id="rId15"/>
    <sheet name="Singulair" sheetId="19" r:id="rId16"/>
    <sheet name="Januvia" sheetId="4" r:id="rId17"/>
    <sheet name="odanacatib" sheetId="27" r:id="rId18"/>
    <sheet name="524" sheetId="6" r:id="rId19"/>
    <sheet name="517" sheetId="13" r:id="rId20"/>
    <sheet name="Isentress" sheetId="14" r:id="rId21"/>
    <sheet name="rolofylline" sheetId="25" r:id="rId22"/>
    <sheet name="taranabant" sheetId="23" r:id="rId23"/>
    <sheet name="telcagepant" sheetId="24" r:id="rId24"/>
    <sheet name="457" sheetId="20" r:id="rId25"/>
    <sheet name="vorapaxar" sheetId="28" r:id="rId26"/>
    <sheet name="Crixivan" sheetId="30" r:id="rId27"/>
    <sheet name="Fosamax" sheetId="22" r:id="rId28"/>
    <sheet name="Arcoxia" sheetId="21" r:id="rId29"/>
    <sheet name="Zolinza" sheetId="5" r:id="rId30"/>
  </sheets>
  <externalReferences>
    <externalReference r:id="rId31"/>
    <externalReference r:id="rId32"/>
  </externalReferences>
  <definedNames>
    <definedName name="\a">[1]ROCHE!#REF!</definedName>
    <definedName name="\p">[1]ROCHE!#REF!</definedName>
    <definedName name="\q">[1]ROCHE!#REF!</definedName>
    <definedName name="\r">[1]ROCHE!#REF!</definedName>
    <definedName name="\s">[1]ROCHE!#REF!</definedName>
    <definedName name="\t">[1]ROCHE!#REF!</definedName>
    <definedName name="\u">[1]ROCHE!#REF!</definedName>
    <definedName name="\v">[1]ROCHE!#REF!</definedName>
    <definedName name="\x">[1]ROCHE!#REF!</definedName>
    <definedName name="_1EBITDA_Sh">#REF!</definedName>
    <definedName name="_2NOPAT_Sh">#REF!</definedName>
    <definedName name="_3_.__Gross_inc_gro">#REF!</definedName>
    <definedName name="_4_.__Restructuring_char">#REF!</definedName>
    <definedName name="_5_.__SGA_gro">#REF!</definedName>
    <definedName name="_6_.__Shares_repurchase_liabil">#REF!</definedName>
    <definedName name="_7_3__Income_before_ta">#REF!</definedName>
    <definedName name="_8_3__Increase_in_other_liabilit">#REF!</definedName>
    <definedName name="_9_3__Other_Segment_Reven">#REF!</definedName>
    <definedName name="_QP2">#REF!</definedName>
    <definedName name="Adjusted_EPS">[2]Figures!#REF!</definedName>
    <definedName name="Choices_Wrapper">[0]!Choices_Wrapper</definedName>
    <definedName name="Company_reported_exceptionals">[2]Figures!#REF!</definedName>
    <definedName name="Current_cost_adjusted_net_income">[2]Figures!#REF!</definedName>
    <definedName name="Debt_Market_Cap_Ratio">#REF!</definedName>
    <definedName name="DivisionSales">[1]ROCHE!#REF!</definedName>
    <definedName name="EG_DPS">[2]projections!#REF!</definedName>
    <definedName name="EG_Net_Profit">[2]projections!#REF!</definedName>
    <definedName name="EPS">[2]Figures!#REF!</definedName>
    <definedName name="Exceptionals">[2]Figures!#REF!</definedName>
    <definedName name="Exchange">[1]Valuation!$A$1:$I$12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P_280_1_aSrv" hidden="1">#REF!</definedName>
    <definedName name="FDP_281_1_aSrv" hidden="1">#REF!</definedName>
    <definedName name="FDP_282_1_aSrv" hidden="1">#REF!</definedName>
    <definedName name="FDP_283_1_aSrv" hidden="1">#REF!</definedName>
    <definedName name="FixedAssets">[1]Valuation!$A$1:$V$51</definedName>
    <definedName name="ForecastVersion">#REF!</definedName>
    <definedName name="GenentechFrom1996">[1]ROCHE!#REF!</definedName>
    <definedName name="GenentechTo1995">[1]ROCHE!#REF!</definedName>
    <definedName name="Geographic">[1]ROCHE!#REF!</definedName>
    <definedName name="graphdata">#REF!</definedName>
    <definedName name="Loan_Loss_Provision_fore">#REF!</definedName>
    <definedName name="M_PlaceofPath" hidden="1">"\\snyceqt0301\vdf$\tmp\blabla"</definedName>
    <definedName name="NetDebtPerShare">[2]projections!#REF!</definedName>
    <definedName name="Number_of_Shares">#REF!</definedName>
    <definedName name="Off_B_S_Income_fore">#REF!</definedName>
    <definedName name="Off_B_S_Income_growth_fore">#REF!</definedName>
    <definedName name="Partial_year">#REF!</definedName>
    <definedName name="Patent">[1]Valuation!#REF!</definedName>
    <definedName name="Payout_ratio_on_underlying">[2]Figures!#REF!</definedName>
    <definedName name="Post_tax_stock_gains_losses">[2]Figures!#REF!</definedName>
    <definedName name="_xlnm.Print_Area" localSheetId="2">Model!$A$2:$DD$121</definedName>
    <definedName name="Products">[1]ROCHE!#REF!</definedName>
    <definedName name="quarter">#REF!</definedName>
    <definedName name="Reported_net_income">[2]Figures!#REF!</definedName>
    <definedName name="ResearchForecasts">#REF!</definedName>
    <definedName name="SalesAndOperatingDivisions">[1]ROCHE!#REF!</definedName>
    <definedName name="Schroder_exceptionals">[2]Figures!#REF!</definedName>
    <definedName name="Segment1_income_fore">#REF!</definedName>
    <definedName name="Segment1_income_growth_fore">#REF!</definedName>
    <definedName name="Segment2_income_fore">#REF!</definedName>
    <definedName name="Segment2_income_growth_fore">#REF!</definedName>
    <definedName name="Share_Price">#REF!</definedName>
    <definedName name="summary">#REF!</definedName>
    <definedName name="Value_of_Equity">#REF!</definedName>
    <definedName name="WWSalesQuarter">#REF!</definedName>
    <definedName name="WWSalesYear">#REF!</definedName>
    <definedName name="year">#REF!</definedName>
    <definedName name="yt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X116" i="8" l="1"/>
  <c r="CW116" i="8"/>
  <c r="CV116" i="8"/>
  <c r="CU116" i="8"/>
  <c r="CU30" i="8"/>
  <c r="CV30" i="8" s="1"/>
  <c r="CW30" i="8" s="1"/>
  <c r="CX30" i="8" s="1"/>
  <c r="CU29" i="8"/>
  <c r="CV29" i="8" s="1"/>
  <c r="CW29" i="8" s="1"/>
  <c r="CX29" i="8" s="1"/>
  <c r="CU28" i="8"/>
  <c r="CV28" i="8" s="1"/>
  <c r="CW28" i="8" s="1"/>
  <c r="CX28" i="8" s="1"/>
  <c r="CU27" i="8"/>
  <c r="CV27" i="8" s="1"/>
  <c r="CW27" i="8" s="1"/>
  <c r="CX27" i="8" s="1"/>
  <c r="CU26" i="8"/>
  <c r="CV26" i="8" s="1"/>
  <c r="CW26" i="8" s="1"/>
  <c r="CX26" i="8" s="1"/>
  <c r="CT27" i="8"/>
  <c r="CU23" i="8"/>
  <c r="CV23" i="8" s="1"/>
  <c r="CW23" i="8" s="1"/>
  <c r="CX23" i="8" s="1"/>
  <c r="CX22" i="8"/>
  <c r="CW22" i="8"/>
  <c r="CV22" i="8"/>
  <c r="CU22" i="8"/>
  <c r="CU21" i="8"/>
  <c r="CV21" i="8" s="1"/>
  <c r="CW21" i="8" s="1"/>
  <c r="CX21" i="8" s="1"/>
  <c r="CU20" i="8"/>
  <c r="CV20" i="8" s="1"/>
  <c r="CW20" i="8" s="1"/>
  <c r="CX20" i="8" s="1"/>
  <c r="CX19" i="8"/>
  <c r="CW19" i="8"/>
  <c r="CV19" i="8"/>
  <c r="CU19" i="8"/>
  <c r="CX18" i="8"/>
  <c r="CW18" i="8"/>
  <c r="CV18" i="8"/>
  <c r="CU18" i="8"/>
  <c r="CX17" i="8"/>
  <c r="CW17" i="8"/>
  <c r="CV17" i="8"/>
  <c r="CU17" i="8"/>
  <c r="CX16" i="8"/>
  <c r="CW16" i="8"/>
  <c r="CV16" i="8"/>
  <c r="CU16" i="8"/>
  <c r="CU15" i="8"/>
  <c r="CV15" i="8" s="1"/>
  <c r="CW15" i="8" s="1"/>
  <c r="CX15" i="8" s="1"/>
  <c r="CU14" i="8"/>
  <c r="CV14" i="8" s="1"/>
  <c r="CW14" i="8" s="1"/>
  <c r="CX14" i="8" s="1"/>
  <c r="CX13" i="8"/>
  <c r="CW13" i="8"/>
  <c r="CV13" i="8"/>
  <c r="CU13" i="8"/>
  <c r="CX12" i="8"/>
  <c r="CW12" i="8"/>
  <c r="CV12" i="8"/>
  <c r="CU12" i="8"/>
  <c r="CU11" i="8"/>
  <c r="CV11" i="8" s="1"/>
  <c r="CW11" i="8" s="1"/>
  <c r="CX11" i="8" s="1"/>
  <c r="CU10" i="8"/>
  <c r="CV10" i="8" s="1"/>
  <c r="CW10" i="8" s="1"/>
  <c r="CX10" i="8" s="1"/>
  <c r="CT11" i="8"/>
  <c r="CT10" i="8"/>
  <c r="CX9" i="8"/>
  <c r="CW9" i="8"/>
  <c r="CV9" i="8"/>
  <c r="CU9" i="8"/>
  <c r="CT9" i="8"/>
  <c r="CU8" i="8"/>
  <c r="CV8" i="8" s="1"/>
  <c r="CW8" i="8" s="1"/>
  <c r="CX8" i="8" s="1"/>
  <c r="CU7" i="8"/>
  <c r="CV7" i="8" s="1"/>
  <c r="CW7" i="8" s="1"/>
  <c r="CX7" i="8" s="1"/>
  <c r="CU6" i="8"/>
  <c r="CV6" i="8" s="1"/>
  <c r="CW6" i="8" s="1"/>
  <c r="CX6" i="8" s="1"/>
  <c r="CU31" i="8"/>
  <c r="CV31" i="8" s="1"/>
  <c r="CX86" i="8"/>
  <c r="CW86" i="8"/>
  <c r="CV86" i="8"/>
  <c r="CU86" i="8"/>
  <c r="CX77" i="8"/>
  <c r="CW77" i="8"/>
  <c r="CV77" i="8"/>
  <c r="CU77" i="8"/>
  <c r="CU105" i="8"/>
  <c r="CV105" i="8" s="1"/>
  <c r="CW105" i="8" s="1"/>
  <c r="CX105" i="8" s="1"/>
  <c r="CX101" i="8"/>
  <c r="CX102" i="8" s="1"/>
  <c r="CX113" i="8" s="1"/>
  <c r="CW101" i="8"/>
  <c r="CW102" i="8" s="1"/>
  <c r="CW113" i="8" s="1"/>
  <c r="CV101" i="8"/>
  <c r="CV102" i="8" s="1"/>
  <c r="CV113" i="8" s="1"/>
  <c r="CU101" i="8"/>
  <c r="CU102" i="8" s="1"/>
  <c r="CU113" i="8" s="1"/>
  <c r="CT102" i="8"/>
  <c r="CT113" i="8" s="1"/>
  <c r="CT86" i="8"/>
  <c r="CT77" i="8"/>
  <c r="CT31" i="8"/>
  <c r="CT30" i="8"/>
  <c r="CT29" i="8"/>
  <c r="CT28" i="8"/>
  <c r="CT26" i="8"/>
  <c r="CT23" i="8"/>
  <c r="CT22" i="8"/>
  <c r="CT21" i="8"/>
  <c r="CT20" i="8"/>
  <c r="CT19" i="8"/>
  <c r="CT18" i="8"/>
  <c r="CT17" i="8"/>
  <c r="CT16" i="8"/>
  <c r="CT15" i="8"/>
  <c r="CT14" i="8"/>
  <c r="CT13" i="8"/>
  <c r="CT12" i="8"/>
  <c r="DY12" i="8"/>
  <c r="DY11" i="8"/>
  <c r="DY10" i="8"/>
  <c r="DY8" i="8"/>
  <c r="DY7" i="8"/>
  <c r="DY6" i="8"/>
  <c r="CX5" i="8"/>
  <c r="CW5" i="8"/>
  <c r="CV5" i="8"/>
  <c r="CU5" i="8"/>
  <c r="CT5" i="8"/>
  <c r="DY5" i="8"/>
  <c r="DZ5" i="8" s="1"/>
  <c r="DY4" i="8"/>
  <c r="DX4" i="8"/>
  <c r="CX4" i="8"/>
  <c r="CW4" i="8"/>
  <c r="CV4" i="8"/>
  <c r="CU4" i="8"/>
  <c r="CT4" i="8"/>
  <c r="CS102" i="8"/>
  <c r="CX119" i="8"/>
  <c r="CW119" i="8"/>
  <c r="CV119" i="8"/>
  <c r="CU119" i="8"/>
  <c r="CX118" i="8"/>
  <c r="CW118" i="8"/>
  <c r="CV118" i="8"/>
  <c r="CU118" i="8"/>
  <c r="CS110" i="8"/>
  <c r="CS109" i="8"/>
  <c r="CS108" i="8"/>
  <c r="CS122" i="8"/>
  <c r="CS123" i="8"/>
  <c r="DZ22" i="8"/>
  <c r="DZ18" i="8"/>
  <c r="CU87" i="8" l="1"/>
  <c r="CU108" i="8" s="1"/>
  <c r="CW31" i="8"/>
  <c r="CV87" i="8"/>
  <c r="CV109" i="8" s="1"/>
  <c r="CU107" i="8"/>
  <c r="CV103" i="8"/>
  <c r="CW103" i="8"/>
  <c r="CU103" i="8"/>
  <c r="CX103" i="8"/>
  <c r="CV107" i="8" l="1"/>
  <c r="CU110" i="8"/>
  <c r="CU109" i="8"/>
  <c r="CV108" i="8"/>
  <c r="CV110" i="8"/>
  <c r="CX31" i="8"/>
  <c r="CX87" i="8" s="1"/>
  <c r="CX112" i="8" s="1"/>
  <c r="CW87" i="8"/>
  <c r="CX104" i="8"/>
  <c r="CU104" i="8"/>
  <c r="CU112" i="8"/>
  <c r="CW104" i="8"/>
  <c r="CV112" i="8"/>
  <c r="CV104" i="8"/>
  <c r="CW108" i="8" l="1"/>
  <c r="CW110" i="8"/>
  <c r="CW107" i="8"/>
  <c r="CW109" i="8"/>
  <c r="CW112" i="8"/>
  <c r="CX107" i="8"/>
  <c r="CX110" i="8"/>
  <c r="CX109" i="8"/>
  <c r="CX108" i="8"/>
  <c r="DY9" i="8" l="1"/>
  <c r="CS89" i="8"/>
  <c r="CS165" i="8"/>
  <c r="CS164" i="8"/>
  <c r="CS162" i="8"/>
  <c r="CS161" i="8"/>
  <c r="CS160" i="8"/>
  <c r="CS159" i="8"/>
  <c r="CS158" i="8"/>
  <c r="CS155" i="8"/>
  <c r="CS154" i="8"/>
  <c r="CS153" i="8"/>
  <c r="CS152" i="8"/>
  <c r="CS149" i="8"/>
  <c r="CS148" i="8"/>
  <c r="CS147" i="8"/>
  <c r="CS146" i="8"/>
  <c r="CS145" i="8"/>
  <c r="CS144" i="8"/>
  <c r="CS143" i="8"/>
  <c r="CS142" i="8"/>
  <c r="CS150" i="8"/>
  <c r="CR164" i="8"/>
  <c r="CR162" i="8"/>
  <c r="CR161" i="8"/>
  <c r="CR160" i="8"/>
  <c r="CR163" i="8" s="1"/>
  <c r="CR165" i="8" s="1"/>
  <c r="CR159" i="8"/>
  <c r="CR158" i="8"/>
  <c r="CR155" i="8"/>
  <c r="CR154" i="8"/>
  <c r="CR153" i="8"/>
  <c r="CR152" i="8"/>
  <c r="CR149" i="8"/>
  <c r="CR148" i="8"/>
  <c r="CR147" i="8"/>
  <c r="CR146" i="8"/>
  <c r="CR145" i="8"/>
  <c r="CR144" i="8"/>
  <c r="CR143" i="8"/>
  <c r="CR142" i="8"/>
  <c r="CS171" i="8"/>
  <c r="CS170" i="8"/>
  <c r="CR171" i="8"/>
  <c r="CR170" i="8"/>
  <c r="CR156" i="8"/>
  <c r="CR150" i="8"/>
  <c r="CR141" i="8"/>
  <c r="CS135" i="8"/>
  <c r="CS139" i="8" s="1"/>
  <c r="CS132" i="8"/>
  <c r="CS130" i="8"/>
  <c r="CS128" i="8"/>
  <c r="EH3" i="8"/>
  <c r="EG3" i="8"/>
  <c r="EF3" i="8"/>
  <c r="EE3" i="8"/>
  <c r="ED3" i="8"/>
  <c r="EC3" i="8"/>
  <c r="EB3" i="8"/>
  <c r="EA3" i="8"/>
  <c r="CX3" i="8"/>
  <c r="CW3" i="8"/>
  <c r="CV3" i="8"/>
  <c r="CU3" i="8"/>
  <c r="DZ3" i="8"/>
  <c r="DY3" i="8"/>
  <c r="CS107" i="8"/>
  <c r="CS86" i="8"/>
  <c r="CP164" i="8"/>
  <c r="CP162" i="8"/>
  <c r="CP161" i="8"/>
  <c r="CP160" i="8"/>
  <c r="CP159" i="8"/>
  <c r="CP158" i="8"/>
  <c r="CP163" i="8"/>
  <c r="CP155" i="8"/>
  <c r="CP154" i="8"/>
  <c r="CP153" i="8"/>
  <c r="CP152" i="8"/>
  <c r="CP156" i="8"/>
  <c r="CP149" i="8"/>
  <c r="CP148" i="8"/>
  <c r="CP147" i="8"/>
  <c r="CP146" i="8"/>
  <c r="CP145" i="8"/>
  <c r="CP144" i="8"/>
  <c r="CP143" i="8"/>
  <c r="CP142" i="8"/>
  <c r="CP135" i="8"/>
  <c r="CP139" i="8" s="1"/>
  <c r="CP132" i="8"/>
  <c r="CP128" i="8"/>
  <c r="CP130" i="8" s="1"/>
  <c r="CP123" i="8"/>
  <c r="CP122" i="8"/>
  <c r="CM165" i="8"/>
  <c r="CN165" i="8"/>
  <c r="CO165" i="8"/>
  <c r="CO164" i="8"/>
  <c r="CO163" i="8"/>
  <c r="CO162" i="8"/>
  <c r="CO161" i="8"/>
  <c r="CO160" i="8"/>
  <c r="CO159" i="8"/>
  <c r="CO158" i="8"/>
  <c r="CO156" i="8"/>
  <c r="CO155" i="8"/>
  <c r="CO154" i="8"/>
  <c r="CO153" i="8"/>
  <c r="CO152" i="8"/>
  <c r="CO150" i="8"/>
  <c r="CO149" i="8"/>
  <c r="CO148" i="8"/>
  <c r="CO147" i="8"/>
  <c r="CO146" i="8"/>
  <c r="CO145" i="8"/>
  <c r="CO144" i="8"/>
  <c r="CO142" i="8"/>
  <c r="CO143" i="8"/>
  <c r="CO135" i="8"/>
  <c r="CO132" i="8"/>
  <c r="CO139" i="8" s="1"/>
  <c r="CO123" i="8"/>
  <c r="CO130" i="8" s="1"/>
  <c r="CO128" i="8"/>
  <c r="CO122" i="8"/>
  <c r="CN164" i="8"/>
  <c r="CN163" i="8"/>
  <c r="CN162" i="8"/>
  <c r="CN161" i="8"/>
  <c r="CN160" i="8"/>
  <c r="CN159" i="8"/>
  <c r="CN158" i="8"/>
  <c r="CN156" i="8"/>
  <c r="CN155" i="8"/>
  <c r="CN154" i="8"/>
  <c r="CN153" i="8"/>
  <c r="CN152" i="8"/>
  <c r="CN150" i="8"/>
  <c r="CN149" i="8"/>
  <c r="CN148" i="8"/>
  <c r="CN147" i="8"/>
  <c r="CN146" i="8"/>
  <c r="CN145" i="8"/>
  <c r="CN144" i="8"/>
  <c r="CN143" i="8"/>
  <c r="CN142" i="8"/>
  <c r="CN135" i="8"/>
  <c r="CN132" i="8"/>
  <c r="CN130" i="8"/>
  <c r="CN128" i="8"/>
  <c r="CN123" i="8"/>
  <c r="CN122" i="8" s="1"/>
  <c r="CN87" i="8"/>
  <c r="CM163" i="8"/>
  <c r="CM156" i="8"/>
  <c r="CM153" i="8"/>
  <c r="CM150" i="8"/>
  <c r="CM145" i="8"/>
  <c r="CP141" i="8"/>
  <c r="CO141" i="8"/>
  <c r="CM141" i="8"/>
  <c r="CM86" i="8"/>
  <c r="CM87" i="8"/>
  <c r="CR139" i="8"/>
  <c r="CR137" i="8"/>
  <c r="CR132" i="8"/>
  <c r="CR130" i="8"/>
  <c r="CR128" i="8"/>
  <c r="CR123" i="8"/>
  <c r="CR122" i="8" s="1"/>
  <c r="CQ122" i="8"/>
  <c r="CR113" i="8"/>
  <c r="CR112" i="8"/>
  <c r="CR110" i="8"/>
  <c r="CR109" i="8"/>
  <c r="CR108" i="8"/>
  <c r="CR107" i="8"/>
  <c r="CR89" i="8"/>
  <c r="CR86" i="8"/>
  <c r="CT6" i="8"/>
  <c r="CQ171" i="8"/>
  <c r="CQ170" i="8"/>
  <c r="CQ163" i="8"/>
  <c r="CQ153" i="8"/>
  <c r="CQ156" i="8" s="1"/>
  <c r="CQ145" i="8"/>
  <c r="CQ150" i="8" s="1"/>
  <c r="CQ132" i="8"/>
  <c r="CQ135" i="8"/>
  <c r="CQ128" i="8"/>
  <c r="CQ123" i="8"/>
  <c r="CT92" i="8"/>
  <c r="CT93" i="8" s="1"/>
  <c r="CT101" i="8" s="1"/>
  <c r="CT103" i="8" s="1"/>
  <c r="CS92" i="8"/>
  <c r="CS93" i="8" s="1"/>
  <c r="CS101" i="8" s="1"/>
  <c r="CR92" i="8"/>
  <c r="CR93" i="8" s="1"/>
  <c r="CR101" i="8" s="1"/>
  <c r="CR103" i="8" s="1"/>
  <c r="CS105" i="8"/>
  <c r="CT105" i="8" s="1"/>
  <c r="CT8" i="8"/>
  <c r="CT7" i="8"/>
  <c r="CT119" i="8"/>
  <c r="CS119" i="8"/>
  <c r="CN91" i="8"/>
  <c r="CP91" i="8"/>
  <c r="CQ92" i="8"/>
  <c r="CR119" i="8"/>
  <c r="CQ119" i="8"/>
  <c r="CQ86" i="8"/>
  <c r="CQ87" i="8" s="1"/>
  <c r="CQ89" i="8" s="1"/>
  <c r="CP86" i="8"/>
  <c r="CO86" i="8"/>
  <c r="CN86" i="8"/>
  <c r="DX30" i="8"/>
  <c r="DX29" i="8"/>
  <c r="DY29" i="8" s="1"/>
  <c r="DZ29" i="8" s="1"/>
  <c r="EA29" i="8" s="1"/>
  <c r="EB29" i="8" s="1"/>
  <c r="EC29" i="8" s="1"/>
  <c r="ED29" i="8" s="1"/>
  <c r="EE29" i="8" s="1"/>
  <c r="EF29" i="8" s="1"/>
  <c r="EG29" i="8" s="1"/>
  <c r="EH29" i="8" s="1"/>
  <c r="EI29" i="8" s="1"/>
  <c r="EJ29" i="8" s="1"/>
  <c r="CT3" i="8"/>
  <c r="CT118" i="8" s="1"/>
  <c r="CS118" i="8"/>
  <c r="CR118" i="8"/>
  <c r="CQ118" i="8"/>
  <c r="DV105" i="8"/>
  <c r="DV102" i="8"/>
  <c r="DW95" i="8"/>
  <c r="DV95" i="8"/>
  <c r="DW91" i="8"/>
  <c r="DV91" i="8"/>
  <c r="DW90" i="8"/>
  <c r="DV90" i="8"/>
  <c r="DW88" i="8"/>
  <c r="DV88" i="8"/>
  <c r="CM135" i="8"/>
  <c r="CM132" i="8"/>
  <c r="CM123" i="8"/>
  <c r="CM128" i="8"/>
  <c r="CL122" i="8"/>
  <c r="CK122" i="8"/>
  <c r="DW105" i="8"/>
  <c r="EC31" i="8"/>
  <c r="ED31" i="8" s="1"/>
  <c r="EE31" i="8" s="1"/>
  <c r="EF31" i="8" s="1"/>
  <c r="EG31" i="8" s="1"/>
  <c r="EH31" i="8" s="1"/>
  <c r="EI31" i="8" s="1"/>
  <c r="EJ31" i="8" s="1"/>
  <c r="CM119" i="8"/>
  <c r="CM171" i="8"/>
  <c r="CM170" i="8"/>
  <c r="CM118" i="8"/>
  <c r="CM92" i="8"/>
  <c r="CL86" i="8"/>
  <c r="CK86" i="8"/>
  <c r="CJ86" i="8"/>
  <c r="CJ87" i="8" s="1"/>
  <c r="CJ89" i="8" s="1"/>
  <c r="CJ107" i="8" s="1"/>
  <c r="CI86" i="8"/>
  <c r="CI87" i="8" s="1"/>
  <c r="CI108" i="8" s="1"/>
  <c r="DW16" i="8"/>
  <c r="DW7" i="8"/>
  <c r="DL78" i="8"/>
  <c r="DL77" i="8"/>
  <c r="DL74" i="8"/>
  <c r="DL70" i="8"/>
  <c r="DL69" i="8"/>
  <c r="DL68" i="8"/>
  <c r="DL65" i="8"/>
  <c r="DL64" i="8"/>
  <c r="DL63" i="8"/>
  <c r="DL61" i="8"/>
  <c r="DL60" i="8"/>
  <c r="DL59" i="8"/>
  <c r="DL58" i="8"/>
  <c r="DL57" i="8"/>
  <c r="DL56" i="8"/>
  <c r="DL55" i="8"/>
  <c r="DL28" i="8"/>
  <c r="DL37" i="8"/>
  <c r="DL36" i="8"/>
  <c r="DL35" i="8"/>
  <c r="DL34" i="8"/>
  <c r="DL25" i="8"/>
  <c r="DL32" i="8"/>
  <c r="DL23" i="8"/>
  <c r="DL43" i="8"/>
  <c r="DL42" i="8"/>
  <c r="DL41" i="8"/>
  <c r="DL39" i="8"/>
  <c r="DL49" i="8"/>
  <c r="DL48" i="8"/>
  <c r="DL47" i="8"/>
  <c r="DL46" i="8"/>
  <c r="DL44" i="8"/>
  <c r="DL18" i="8"/>
  <c r="DL38" i="8"/>
  <c r="DL45" i="8"/>
  <c r="DL17" i="8"/>
  <c r="DL54" i="8"/>
  <c r="DL14" i="8"/>
  <c r="DL51" i="8"/>
  <c r="DL50" i="8"/>
  <c r="DL22" i="8"/>
  <c r="DL13" i="8"/>
  <c r="DL12" i="8"/>
  <c r="DL11" i="8"/>
  <c r="DL10" i="8"/>
  <c r="DM78" i="8"/>
  <c r="DM77" i="8"/>
  <c r="DM70" i="8"/>
  <c r="DM68" i="8"/>
  <c r="DM65" i="8"/>
  <c r="DM64" i="8"/>
  <c r="DM63" i="8"/>
  <c r="DM62" i="8"/>
  <c r="DM61" i="8"/>
  <c r="DM58" i="8"/>
  <c r="DM57" i="8"/>
  <c r="DM56" i="8"/>
  <c r="DM55" i="8"/>
  <c r="DM28" i="8"/>
  <c r="DM37" i="8"/>
  <c r="DM36" i="8"/>
  <c r="DM35" i="8"/>
  <c r="DM34" i="8"/>
  <c r="DM25" i="8"/>
  <c r="DM32" i="8"/>
  <c r="DM23" i="8"/>
  <c r="DM43" i="8"/>
  <c r="DM42" i="8"/>
  <c r="DM41" i="8"/>
  <c r="DM39" i="8"/>
  <c r="DM49" i="8"/>
  <c r="DM48" i="8"/>
  <c r="DM47" i="8"/>
  <c r="DM46" i="8"/>
  <c r="DM44" i="8"/>
  <c r="DM18" i="8"/>
  <c r="DM38" i="8"/>
  <c r="DM45" i="8"/>
  <c r="DM17" i="8"/>
  <c r="DM54" i="8"/>
  <c r="DM53" i="8"/>
  <c r="DM14" i="8"/>
  <c r="DM51" i="8"/>
  <c r="DM50" i="8"/>
  <c r="DM22" i="8"/>
  <c r="DM13" i="8"/>
  <c r="DM12" i="8"/>
  <c r="DM11" i="8"/>
  <c r="DM10" i="8"/>
  <c r="DM9" i="8"/>
  <c r="AI86" i="8"/>
  <c r="AI87" i="8" s="1"/>
  <c r="AK87" i="8"/>
  <c r="AJ87" i="8"/>
  <c r="AQ86" i="8"/>
  <c r="AQ87" i="8" s="1"/>
  <c r="DO78" i="8"/>
  <c r="DN78" i="8"/>
  <c r="DO77" i="8"/>
  <c r="DN77" i="8"/>
  <c r="DO62" i="8"/>
  <c r="DN62" i="8"/>
  <c r="DO56" i="8"/>
  <c r="DN56" i="8"/>
  <c r="DO55" i="8"/>
  <c r="DN55" i="8"/>
  <c r="DO28" i="8"/>
  <c r="DN28" i="8"/>
  <c r="DO37" i="8"/>
  <c r="DN37" i="8"/>
  <c r="DO36" i="8"/>
  <c r="DN36" i="8"/>
  <c r="DO35" i="8"/>
  <c r="DN35" i="8"/>
  <c r="DO34" i="8"/>
  <c r="DN34" i="8"/>
  <c r="DO25" i="8"/>
  <c r="DN25" i="8"/>
  <c r="DO32" i="8"/>
  <c r="DN32" i="8"/>
  <c r="DO23" i="8"/>
  <c r="DN23" i="8"/>
  <c r="DO43" i="8"/>
  <c r="DN43" i="8"/>
  <c r="DO42" i="8"/>
  <c r="DN42" i="8"/>
  <c r="DO41" i="8"/>
  <c r="DN41" i="8"/>
  <c r="DO39" i="8"/>
  <c r="DN39" i="8"/>
  <c r="DO49" i="8"/>
  <c r="DN49" i="8"/>
  <c r="DO48" i="8"/>
  <c r="DN48" i="8"/>
  <c r="DO47" i="8"/>
  <c r="DN47" i="8"/>
  <c r="DO46" i="8"/>
  <c r="DN46" i="8"/>
  <c r="DO44" i="8"/>
  <c r="DN44" i="8"/>
  <c r="DO18" i="8"/>
  <c r="DN18" i="8"/>
  <c r="DO38" i="8"/>
  <c r="DN38" i="8"/>
  <c r="DO45" i="8"/>
  <c r="DN45" i="8"/>
  <c r="DO17" i="8"/>
  <c r="DN17" i="8"/>
  <c r="DO54" i="8"/>
  <c r="DN54" i="8"/>
  <c r="DO53" i="8"/>
  <c r="DN53" i="8"/>
  <c r="DO14" i="8"/>
  <c r="DN14" i="8"/>
  <c r="DO51" i="8"/>
  <c r="DN51" i="8"/>
  <c r="DO50" i="8"/>
  <c r="DN50" i="8"/>
  <c r="DO22" i="8"/>
  <c r="DN22" i="8"/>
  <c r="DO13" i="8"/>
  <c r="DN13" i="8"/>
  <c r="DO12" i="8"/>
  <c r="DN12" i="8"/>
  <c r="DO11" i="8"/>
  <c r="DN11" i="8"/>
  <c r="DO10" i="8"/>
  <c r="DN10" i="8"/>
  <c r="DO9" i="8"/>
  <c r="DN9" i="8"/>
  <c r="DO3" i="8"/>
  <c r="BB86" i="8"/>
  <c r="BB87" i="8" s="1"/>
  <c r="BA86" i="8"/>
  <c r="BA87" i="8" s="1"/>
  <c r="AZ86" i="8"/>
  <c r="AZ87" i="8" s="1"/>
  <c r="AY86" i="8"/>
  <c r="BF86" i="8"/>
  <c r="BF87" i="8" s="1"/>
  <c r="BE86" i="8"/>
  <c r="BE87" i="8" s="1"/>
  <c r="BD86" i="8"/>
  <c r="BD87" i="8" s="1"/>
  <c r="BC86" i="8"/>
  <c r="BC87" i="8" s="1"/>
  <c r="DQ77" i="8"/>
  <c r="DP77" i="8"/>
  <c r="DQ62" i="8"/>
  <c r="DP62" i="8"/>
  <c r="DQ28" i="8"/>
  <c r="DP28" i="8"/>
  <c r="DQ35" i="8"/>
  <c r="DP35" i="8"/>
  <c r="DQ34" i="8"/>
  <c r="DP34" i="8"/>
  <c r="DQ33" i="8"/>
  <c r="DQ25" i="8"/>
  <c r="DP25" i="8"/>
  <c r="DQ23" i="8"/>
  <c r="DP23" i="8"/>
  <c r="DQ43" i="8"/>
  <c r="DP43" i="8"/>
  <c r="DQ42" i="8"/>
  <c r="DP42" i="8"/>
  <c r="DQ41" i="8"/>
  <c r="DP41" i="8"/>
  <c r="DQ40" i="8"/>
  <c r="DP40" i="8"/>
  <c r="DQ49" i="8"/>
  <c r="DP49" i="8"/>
  <c r="DQ48" i="8"/>
  <c r="DP48" i="8"/>
  <c r="DQ47" i="8"/>
  <c r="DP47" i="8"/>
  <c r="DQ46" i="8"/>
  <c r="DP46" i="8"/>
  <c r="DQ44" i="8"/>
  <c r="DP44" i="8"/>
  <c r="DQ18" i="8"/>
  <c r="DP18" i="8"/>
  <c r="DQ38" i="8"/>
  <c r="DP38" i="8"/>
  <c r="DQ45" i="8"/>
  <c r="DP45" i="8"/>
  <c r="DQ17" i="8"/>
  <c r="DP17" i="8"/>
  <c r="DQ54" i="8"/>
  <c r="DP54" i="8"/>
  <c r="DQ53" i="8"/>
  <c r="DP53" i="8"/>
  <c r="DQ14" i="8"/>
  <c r="DP14" i="8"/>
  <c r="DQ51" i="8"/>
  <c r="DP51" i="8"/>
  <c r="DQ50" i="8"/>
  <c r="DP50" i="8"/>
  <c r="DQ22" i="8"/>
  <c r="DP22" i="8"/>
  <c r="DQ13" i="8"/>
  <c r="DP13" i="8"/>
  <c r="DQ12" i="8"/>
  <c r="DP12" i="8"/>
  <c r="DQ11" i="8"/>
  <c r="DP11" i="8"/>
  <c r="DQ10" i="8"/>
  <c r="DP10" i="8"/>
  <c r="DQ9" i="8"/>
  <c r="DP9" i="8"/>
  <c r="DQ3" i="8"/>
  <c r="DP3" i="8"/>
  <c r="BN86" i="8"/>
  <c r="BN87" i="8" s="1"/>
  <c r="BM86" i="8"/>
  <c r="BM87" i="8" s="1"/>
  <c r="BL86" i="8"/>
  <c r="BL87" i="8" s="1"/>
  <c r="BK86" i="8"/>
  <c r="BK87" i="8" s="1"/>
  <c r="BJ86" i="8"/>
  <c r="BJ87" i="8" s="1"/>
  <c r="BI86" i="8"/>
  <c r="BI87" i="8" s="1"/>
  <c r="BH86" i="8"/>
  <c r="BH87" i="8" s="1"/>
  <c r="BG86" i="8"/>
  <c r="DS77" i="8"/>
  <c r="DR77" i="8"/>
  <c r="DS62" i="8"/>
  <c r="DR62" i="8"/>
  <c r="DS28" i="8"/>
  <c r="DR28" i="8"/>
  <c r="DS34" i="8"/>
  <c r="DR34" i="8"/>
  <c r="DS33" i="8"/>
  <c r="DR33" i="8"/>
  <c r="DS27" i="8"/>
  <c r="DR27" i="8"/>
  <c r="DS25" i="8"/>
  <c r="DR25" i="8"/>
  <c r="DS23" i="8"/>
  <c r="DR23" i="8"/>
  <c r="DS43" i="8"/>
  <c r="DR43" i="8"/>
  <c r="DS42" i="8"/>
  <c r="DR42" i="8"/>
  <c r="DS41" i="8"/>
  <c r="DR41" i="8"/>
  <c r="DS40" i="8"/>
  <c r="DR40" i="8"/>
  <c r="DS49" i="8"/>
  <c r="DR49" i="8"/>
  <c r="DS48" i="8"/>
  <c r="DR48" i="8"/>
  <c r="DS47" i="8"/>
  <c r="DR47" i="8"/>
  <c r="DS46" i="8"/>
  <c r="DR46" i="8"/>
  <c r="DS44" i="8"/>
  <c r="DR44" i="8"/>
  <c r="DS18" i="8"/>
  <c r="DR18" i="8"/>
  <c r="DS38" i="8"/>
  <c r="DR38" i="8"/>
  <c r="DS45" i="8"/>
  <c r="DR45" i="8"/>
  <c r="DS17" i="8"/>
  <c r="DR17" i="8"/>
  <c r="DS54" i="8"/>
  <c r="DR54" i="8"/>
  <c r="DS53" i="8"/>
  <c r="DR53" i="8"/>
  <c r="DS15" i="8"/>
  <c r="DR15" i="8"/>
  <c r="DS14" i="8"/>
  <c r="DR14" i="8"/>
  <c r="DS52" i="8"/>
  <c r="DR52" i="8"/>
  <c r="DS51" i="8"/>
  <c r="DR51" i="8"/>
  <c r="DS50" i="8"/>
  <c r="DR50" i="8"/>
  <c r="DS22" i="8"/>
  <c r="DR22" i="8"/>
  <c r="DS13" i="8"/>
  <c r="DR13" i="8"/>
  <c r="DS12" i="8"/>
  <c r="DR12" i="8"/>
  <c r="DS11" i="8"/>
  <c r="DR11" i="8"/>
  <c r="DS10" i="8"/>
  <c r="DR10" i="8"/>
  <c r="DS9" i="8"/>
  <c r="DR9" i="8"/>
  <c r="DS5" i="8"/>
  <c r="DS4" i="8"/>
  <c r="DR4" i="8"/>
  <c r="DS3" i="8"/>
  <c r="DR3" i="8"/>
  <c r="BV86" i="8"/>
  <c r="BV87" i="8" s="1"/>
  <c r="BU86" i="8"/>
  <c r="BU87" i="8" s="1"/>
  <c r="BT86" i="8"/>
  <c r="BT87" i="8" s="1"/>
  <c r="BS86" i="8"/>
  <c r="BR86" i="8"/>
  <c r="BR87" i="8" s="1"/>
  <c r="BQ86" i="8"/>
  <c r="BQ87" i="8" s="1"/>
  <c r="BP86" i="8"/>
  <c r="BP87" i="8" s="1"/>
  <c r="BO86" i="8"/>
  <c r="DW77" i="8"/>
  <c r="DV77" i="8"/>
  <c r="DU77" i="8"/>
  <c r="DT77" i="8"/>
  <c r="DU62" i="8"/>
  <c r="DT62" i="8"/>
  <c r="DW28" i="8"/>
  <c r="DV28" i="8"/>
  <c r="DU28" i="8"/>
  <c r="DT28" i="8"/>
  <c r="DU33" i="8"/>
  <c r="DT33" i="8"/>
  <c r="DW27" i="8"/>
  <c r="DV27" i="8"/>
  <c r="DU27" i="8"/>
  <c r="DT27" i="8"/>
  <c r="DW26" i="8"/>
  <c r="DV26" i="8"/>
  <c r="DU26" i="8"/>
  <c r="DT26" i="8"/>
  <c r="DW25" i="8"/>
  <c r="DV25" i="8"/>
  <c r="DU25" i="8"/>
  <c r="DT25" i="8"/>
  <c r="DW24" i="8"/>
  <c r="DV24" i="8"/>
  <c r="DU24" i="8"/>
  <c r="DT24" i="8"/>
  <c r="DW23" i="8"/>
  <c r="DV23" i="8"/>
  <c r="DU23" i="8"/>
  <c r="DT23" i="8"/>
  <c r="DU42" i="8"/>
  <c r="DT42" i="8"/>
  <c r="DU41" i="8"/>
  <c r="DT41" i="8"/>
  <c r="DW8" i="8"/>
  <c r="DV8" i="8"/>
  <c r="DW6" i="8"/>
  <c r="DV6" i="8"/>
  <c r="DW5" i="8"/>
  <c r="DV5" i="8"/>
  <c r="DU5" i="8"/>
  <c r="DT5" i="8"/>
  <c r="DW4" i="8"/>
  <c r="DV4" i="8"/>
  <c r="DU4" i="8"/>
  <c r="DT4" i="8"/>
  <c r="DW3" i="8"/>
  <c r="DV3" i="8"/>
  <c r="DU3" i="8"/>
  <c r="DT3" i="8"/>
  <c r="DU40" i="8"/>
  <c r="DT40" i="8"/>
  <c r="DW21" i="8"/>
  <c r="DV21" i="8"/>
  <c r="DU21" i="8"/>
  <c r="DT21" i="8"/>
  <c r="DW20" i="8"/>
  <c r="DV20" i="8"/>
  <c r="DW49" i="8"/>
  <c r="DV49" i="8"/>
  <c r="DU49" i="8"/>
  <c r="DT49" i="8"/>
  <c r="DU48" i="8"/>
  <c r="DT48" i="8"/>
  <c r="DU46" i="8"/>
  <c r="DT46" i="8"/>
  <c r="DW19" i="8"/>
  <c r="DV19" i="8"/>
  <c r="DU19" i="8"/>
  <c r="DT19" i="8"/>
  <c r="DW18" i="8"/>
  <c r="DV18" i="8"/>
  <c r="DU18" i="8"/>
  <c r="DT18" i="8"/>
  <c r="DW38" i="8"/>
  <c r="DV38" i="8"/>
  <c r="DU38" i="8"/>
  <c r="DT38" i="8"/>
  <c r="DU45" i="8"/>
  <c r="DT45" i="8"/>
  <c r="DW17" i="8"/>
  <c r="DV17" i="8"/>
  <c r="DU17" i="8"/>
  <c r="DT17" i="8"/>
  <c r="DU54" i="8"/>
  <c r="DT54" i="8"/>
  <c r="DU53" i="8"/>
  <c r="DT53" i="8"/>
  <c r="DW15" i="8"/>
  <c r="DV15" i="8"/>
  <c r="DU15" i="8"/>
  <c r="DT15" i="8"/>
  <c r="DW14" i="8"/>
  <c r="DV14" i="8"/>
  <c r="DU14" i="8"/>
  <c r="DT14" i="8"/>
  <c r="DU52" i="8"/>
  <c r="DT52" i="8"/>
  <c r="DU51" i="8"/>
  <c r="DT51" i="8"/>
  <c r="DU50" i="8"/>
  <c r="DT50" i="8"/>
  <c r="DW22" i="8"/>
  <c r="DV22" i="8"/>
  <c r="DU22" i="8"/>
  <c r="DT22" i="8"/>
  <c r="DW13" i="8"/>
  <c r="DV13" i="8"/>
  <c r="DU13" i="8"/>
  <c r="DT13" i="8"/>
  <c r="DW12" i="8"/>
  <c r="DV12" i="8"/>
  <c r="DU12" i="8"/>
  <c r="DT12" i="8"/>
  <c r="DW11" i="8"/>
  <c r="DV11" i="8"/>
  <c r="DU11" i="8"/>
  <c r="DT11" i="8"/>
  <c r="DW10" i="8"/>
  <c r="DV10" i="8"/>
  <c r="DU10" i="8"/>
  <c r="DT10" i="8"/>
  <c r="DW9" i="8"/>
  <c r="DV9" i="8"/>
  <c r="DU9" i="8"/>
  <c r="DT9" i="8"/>
  <c r="CJ135" i="8"/>
  <c r="CJ132" i="8"/>
  <c r="CJ128" i="8"/>
  <c r="CJ123" i="8"/>
  <c r="CK102" i="8"/>
  <c r="DW102" i="8" s="1"/>
  <c r="CC86" i="8"/>
  <c r="CC87" i="8" s="1"/>
  <c r="CC92" i="8"/>
  <c r="CG92" i="8"/>
  <c r="CJ171" i="8"/>
  <c r="CI171" i="8"/>
  <c r="CH171" i="8"/>
  <c r="CG171" i="8"/>
  <c r="CF171" i="8"/>
  <c r="CE171" i="8"/>
  <c r="CD171" i="8"/>
  <c r="CC171" i="8"/>
  <c r="CB171" i="8"/>
  <c r="CA171" i="8"/>
  <c r="CI170" i="8"/>
  <c r="CH170" i="8"/>
  <c r="CG170" i="8"/>
  <c r="CF170" i="8"/>
  <c r="CE170" i="8"/>
  <c r="CD170" i="8"/>
  <c r="CC170" i="8"/>
  <c r="CB170" i="8"/>
  <c r="CA170" i="8"/>
  <c r="CJ170" i="8"/>
  <c r="CP171" i="8"/>
  <c r="CK170" i="8"/>
  <c r="CN119" i="8"/>
  <c r="CP119" i="8"/>
  <c r="CK119" i="8"/>
  <c r="CI119" i="8"/>
  <c r="CH119" i="8"/>
  <c r="CG119" i="8"/>
  <c r="CF119" i="8"/>
  <c r="CE119" i="8"/>
  <c r="CD119" i="8"/>
  <c r="CC119" i="8"/>
  <c r="CB119" i="8"/>
  <c r="CA119" i="8"/>
  <c r="CJ119" i="8"/>
  <c r="CA118" i="8"/>
  <c r="CH118" i="8"/>
  <c r="CG118" i="8"/>
  <c r="CF118" i="8"/>
  <c r="CE118" i="8"/>
  <c r="CD118" i="8"/>
  <c r="CC118" i="8"/>
  <c r="CB118" i="8"/>
  <c r="CJ118" i="8"/>
  <c r="CD92" i="8"/>
  <c r="CH92" i="8"/>
  <c r="CE92" i="8"/>
  <c r="CI92" i="8"/>
  <c r="CF92" i="8"/>
  <c r="CJ92" i="8"/>
  <c r="DB87" i="8"/>
  <c r="CP118" i="8"/>
  <c r="CO118" i="8"/>
  <c r="CN118" i="8"/>
  <c r="CD86" i="8"/>
  <c r="CD87" i="8" s="1"/>
  <c r="CD89" i="8" s="1"/>
  <c r="CD107" i="8" s="1"/>
  <c r="CB86" i="8"/>
  <c r="CB87" i="8" s="1"/>
  <c r="CA86" i="8"/>
  <c r="CA87" i="8" s="1"/>
  <c r="BZ86" i="8"/>
  <c r="BZ87" i="8" s="1"/>
  <c r="BY86" i="8"/>
  <c r="BY87" i="8" s="1"/>
  <c r="BX86" i="8"/>
  <c r="BX87" i="8" s="1"/>
  <c r="BW86" i="8"/>
  <c r="BW87" i="8" s="1"/>
  <c r="CI118" i="8"/>
  <c r="CH86" i="8"/>
  <c r="CH87" i="8" s="1"/>
  <c r="CH89" i="8" s="1"/>
  <c r="CH107" i="8" s="1"/>
  <c r="CG86" i="8"/>
  <c r="CG87" i="8" s="1"/>
  <c r="CG89" i="8" s="1"/>
  <c r="CG107" i="8" s="1"/>
  <c r="CF86" i="8"/>
  <c r="CF87" i="8" s="1"/>
  <c r="CF89" i="8" s="1"/>
  <c r="CF107" i="8" s="1"/>
  <c r="CE86" i="8"/>
  <c r="CE87" i="8" s="1"/>
  <c r="CE89" i="8" s="1"/>
  <c r="CE107" i="8" s="1"/>
  <c r="AK16" i="30"/>
  <c r="AL16" i="30"/>
  <c r="AK19" i="30"/>
  <c r="AK20" i="30"/>
  <c r="AJ19" i="30"/>
  <c r="AJ20" i="30"/>
  <c r="AI19" i="30"/>
  <c r="AI20" i="30"/>
  <c r="AL15" i="30"/>
  <c r="AM15" i="30"/>
  <c r="AN15" i="30"/>
  <c r="AO15" i="30"/>
  <c r="AP15" i="30"/>
  <c r="AQ15" i="30"/>
  <c r="AR15" i="30"/>
  <c r="AS15" i="30"/>
  <c r="AT15" i="30"/>
  <c r="AU15" i="30"/>
  <c r="AK17" i="30"/>
  <c r="AJ17" i="30"/>
  <c r="AI16" i="30"/>
  <c r="AJ16" i="30"/>
  <c r="AX86" i="8"/>
  <c r="AX87" i="8" s="1"/>
  <c r="AW86" i="8"/>
  <c r="AW87" i="8" s="1"/>
  <c r="AV86" i="8"/>
  <c r="AV87" i="8" s="1"/>
  <c r="AU86" i="8"/>
  <c r="AT86" i="8"/>
  <c r="AT87" i="8" s="1"/>
  <c r="AS86" i="8"/>
  <c r="AS87" i="8" s="1"/>
  <c r="AR86" i="8"/>
  <c r="AR87" i="8" s="1"/>
  <c r="J4" i="2"/>
  <c r="AQ100" i="8"/>
  <c r="AQ92" i="8"/>
  <c r="DK70" i="8"/>
  <c r="AT91" i="8"/>
  <c r="AS91" i="8"/>
  <c r="AR91" i="8"/>
  <c r="AQ120" i="8"/>
  <c r="AP120" i="8"/>
  <c r="AO120" i="8"/>
  <c r="AN120" i="8"/>
  <c r="AM120" i="8"/>
  <c r="AK120" i="8"/>
  <c r="AJ120" i="8"/>
  <c r="AI120" i="8"/>
  <c r="AG120" i="8"/>
  <c r="AF120" i="8"/>
  <c r="AE120" i="8"/>
  <c r="AT120" i="8"/>
  <c r="AS120" i="8"/>
  <c r="AR120" i="8"/>
  <c r="AT119" i="8"/>
  <c r="AS119" i="8"/>
  <c r="AR119" i="8"/>
  <c r="AQ119" i="8"/>
  <c r="AP119" i="8"/>
  <c r="AO119" i="8"/>
  <c r="AN119" i="8"/>
  <c r="AM119" i="8"/>
  <c r="AK119" i="8"/>
  <c r="AJ119" i="8"/>
  <c r="AI119" i="8"/>
  <c r="AG119" i="8"/>
  <c r="AF119" i="8"/>
  <c r="AE119" i="8"/>
  <c r="AD119" i="8"/>
  <c r="AQ171" i="8"/>
  <c r="AP171" i="8"/>
  <c r="AO171" i="8"/>
  <c r="AN171" i="8"/>
  <c r="AM171" i="8"/>
  <c r="AK171" i="8"/>
  <c r="AJ171" i="8"/>
  <c r="AI171" i="8"/>
  <c r="AG171" i="8"/>
  <c r="AF171" i="8"/>
  <c r="AR174" i="8"/>
  <c r="AR173" i="8"/>
  <c r="AQ173" i="8"/>
  <c r="AP174" i="8"/>
  <c r="AO174" i="8"/>
  <c r="AN174" i="8"/>
  <c r="AK174" i="8"/>
  <c r="AJ174" i="8"/>
  <c r="AI174" i="8"/>
  <c r="AG174" i="8"/>
  <c r="AF174" i="8"/>
  <c r="AE174" i="8"/>
  <c r="AD174" i="8"/>
  <c r="AP173" i="8"/>
  <c r="AO173" i="8"/>
  <c r="AN173" i="8"/>
  <c r="AM173" i="8"/>
  <c r="AK173" i="8"/>
  <c r="AJ173" i="8"/>
  <c r="AI173" i="8"/>
  <c r="AG173" i="8"/>
  <c r="AF173" i="8"/>
  <c r="AE173" i="8"/>
  <c r="AD173" i="8"/>
  <c r="AT172" i="8"/>
  <c r="AS172" i="8"/>
  <c r="AR172" i="8"/>
  <c r="AQ172" i="8"/>
  <c r="AP172" i="8"/>
  <c r="AO172" i="8"/>
  <c r="AN172" i="8"/>
  <c r="AM172" i="8"/>
  <c r="AL172" i="8"/>
  <c r="AK172" i="8"/>
  <c r="AJ172" i="8"/>
  <c r="AI172" i="8"/>
  <c r="AH172" i="8"/>
  <c r="AS170" i="8"/>
  <c r="AR170" i="8"/>
  <c r="AT171" i="8"/>
  <c r="AS171" i="8"/>
  <c r="AR171" i="8"/>
  <c r="AP170" i="8"/>
  <c r="DL100" i="8"/>
  <c r="DK74" i="8"/>
  <c r="DK51" i="8"/>
  <c r="DK54" i="8"/>
  <c r="DK22" i="8"/>
  <c r="DK91" i="8"/>
  <c r="DK90" i="8"/>
  <c r="AO102" i="8"/>
  <c r="AO100" i="8"/>
  <c r="AO92" i="8"/>
  <c r="AO86" i="8"/>
  <c r="AO87" i="8" s="1"/>
  <c r="AP102" i="8"/>
  <c r="AP100" i="8"/>
  <c r="AP92" i="8"/>
  <c r="AP86" i="8"/>
  <c r="AP87" i="8" s="1"/>
  <c r="AN102" i="8"/>
  <c r="AN100" i="8"/>
  <c r="AN86" i="8"/>
  <c r="AN87" i="8" s="1"/>
  <c r="AH102" i="8"/>
  <c r="AH100" i="8"/>
  <c r="AL102" i="8"/>
  <c r="AL86" i="8"/>
  <c r="AL100" i="8"/>
  <c r="AL92" i="8"/>
  <c r="AO170" i="8"/>
  <c r="AN170" i="8"/>
  <c r="AE170" i="8"/>
  <c r="AD170" i="8"/>
  <c r="AK170" i="8"/>
  <c r="AJ170" i="8"/>
  <c r="AI170" i="8"/>
  <c r="AG170" i="8"/>
  <c r="AF170" i="8"/>
  <c r="AM170" i="8"/>
  <c r="AM50" i="8"/>
  <c r="AM68" i="8"/>
  <c r="DK68" i="8" s="1"/>
  <c r="DK46" i="8"/>
  <c r="AM55" i="8"/>
  <c r="DK55" i="8" s="1"/>
  <c r="AM37" i="8"/>
  <c r="DK37" i="8" s="1"/>
  <c r="AM47" i="8"/>
  <c r="DK47" i="8" s="1"/>
  <c r="AM53" i="8"/>
  <c r="DK53" i="8" s="1"/>
  <c r="DL53" i="8" s="1"/>
  <c r="AM62" i="8"/>
  <c r="DK62" i="8" s="1"/>
  <c r="DK39" i="8"/>
  <c r="AM102" i="8"/>
  <c r="DK45" i="8"/>
  <c r="DJ12" i="8"/>
  <c r="DJ47" i="8"/>
  <c r="AN92" i="8"/>
  <c r="AM92" i="8"/>
  <c r="AM86" i="8"/>
  <c r="DK77" i="8"/>
  <c r="DK25" i="8"/>
  <c r="AL17" i="8"/>
  <c r="DJ17" i="8" s="1"/>
  <c r="DK17" i="8"/>
  <c r="DK56" i="8"/>
  <c r="DK58" i="8"/>
  <c r="DJ62" i="8"/>
  <c r="DK63" i="8"/>
  <c r="F26" i="26"/>
  <c r="L26" i="26"/>
  <c r="F25" i="26"/>
  <c r="L25" i="26"/>
  <c r="F24" i="26"/>
  <c r="L24" i="26"/>
  <c r="F23" i="26"/>
  <c r="L23" i="26"/>
  <c r="F22" i="26"/>
  <c r="L22" i="26"/>
  <c r="F21" i="26"/>
  <c r="L21" i="26"/>
  <c r="F20" i="26"/>
  <c r="L20" i="26"/>
  <c r="F19" i="26"/>
  <c r="L19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DC87" i="8"/>
  <c r="DJ64" i="8"/>
  <c r="DJ61" i="8"/>
  <c r="DJ46" i="8"/>
  <c r="DJ35" i="8"/>
  <c r="DJ25" i="8"/>
  <c r="DJ32" i="8"/>
  <c r="DJ51" i="8"/>
  <c r="DI62" i="8"/>
  <c r="AI91" i="8"/>
  <c r="AI90" i="8"/>
  <c r="AI88" i="8"/>
  <c r="AI102" i="8"/>
  <c r="AA86" i="8"/>
  <c r="AB86" i="8"/>
  <c r="AB87" i="8" s="1"/>
  <c r="AB108" i="8" s="1"/>
  <c r="AC86" i="8"/>
  <c r="AC87" i="8" s="1"/>
  <c r="AE86" i="8"/>
  <c r="AE87" i="8" s="1"/>
  <c r="AF86" i="8"/>
  <c r="AF87" i="8" s="1"/>
  <c r="AG86" i="8"/>
  <c r="AG87" i="8" s="1"/>
  <c r="AJ102" i="8"/>
  <c r="AJ91" i="8"/>
  <c r="AJ90" i="8"/>
  <c r="AJ88" i="8"/>
  <c r="C33" i="4"/>
  <c r="C34" i="4"/>
  <c r="C35" i="4"/>
  <c r="C31" i="4"/>
  <c r="AG100" i="8"/>
  <c r="AG92" i="8"/>
  <c r="AL170" i="8"/>
  <c r="AH51" i="8"/>
  <c r="AH173" i="8" s="1"/>
  <c r="AH47" i="8"/>
  <c r="DI47" i="8" s="1"/>
  <c r="AH54" i="8"/>
  <c r="DI75" i="8"/>
  <c r="AH61" i="8"/>
  <c r="DI61" i="8" s="1"/>
  <c r="DI44" i="8"/>
  <c r="DI50" i="8"/>
  <c r="AH9" i="8"/>
  <c r="AL119" i="8" s="1"/>
  <c r="AH14" i="8"/>
  <c r="AH12" i="8"/>
  <c r="DI12" i="8" s="1"/>
  <c r="AH17" i="8"/>
  <c r="DI17" i="8" s="1"/>
  <c r="AH72" i="8"/>
  <c r="DI72" i="8" s="1"/>
  <c r="AH71" i="8"/>
  <c r="DI71" i="8" s="1"/>
  <c r="AH46" i="8"/>
  <c r="DI46" i="8" s="1"/>
  <c r="AH38" i="8"/>
  <c r="DI38" i="8" s="1"/>
  <c r="AH32" i="8"/>
  <c r="DI32" i="8" s="1"/>
  <c r="AH59" i="8"/>
  <c r="DI59" i="8" s="1"/>
  <c r="AH48" i="8"/>
  <c r="DI48" i="8" s="1"/>
  <c r="AH49" i="8"/>
  <c r="DI49" i="8" s="1"/>
  <c r="AH25" i="8"/>
  <c r="DI25" i="8" s="1"/>
  <c r="AH55" i="8"/>
  <c r="DI55" i="8" s="1"/>
  <c r="AH57" i="8"/>
  <c r="DI57" i="8" s="1"/>
  <c r="AH64" i="8"/>
  <c r="DI64" i="8" s="1"/>
  <c r="AH73" i="8"/>
  <c r="DI73" i="8" s="1"/>
  <c r="AH35" i="8"/>
  <c r="DI35" i="8" s="1"/>
  <c r="AH76" i="8"/>
  <c r="DI76" i="8" s="1"/>
  <c r="AD25" i="8"/>
  <c r="DH25" i="8" s="1"/>
  <c r="AD38" i="8"/>
  <c r="DH38" i="8" s="1"/>
  <c r="AD12" i="8"/>
  <c r="DH12" i="8" s="1"/>
  <c r="AD32" i="8"/>
  <c r="DH32" i="8" s="1"/>
  <c r="AD46" i="8"/>
  <c r="DH46" i="8" s="1"/>
  <c r="AD59" i="8"/>
  <c r="DH59" i="8" s="1"/>
  <c r="AD48" i="8"/>
  <c r="DH48" i="8" s="1"/>
  <c r="AD49" i="8"/>
  <c r="DH49" i="8" s="1"/>
  <c r="AD61" i="8"/>
  <c r="DH61" i="8" s="1"/>
  <c r="AD55" i="8"/>
  <c r="DH55" i="8" s="1"/>
  <c r="AD57" i="8"/>
  <c r="DH57" i="8" s="1"/>
  <c r="AD64" i="8"/>
  <c r="DH64" i="8" s="1"/>
  <c r="AD71" i="8"/>
  <c r="DH71" i="8" s="1"/>
  <c r="AD72" i="8"/>
  <c r="DH72" i="8" s="1"/>
  <c r="AD73" i="8"/>
  <c r="DH73" i="8" s="1"/>
  <c r="AD75" i="8"/>
  <c r="DH75" i="8" s="1"/>
  <c r="AD76" i="8"/>
  <c r="DH76" i="8" s="1"/>
  <c r="DH94" i="8"/>
  <c r="DH95" i="8"/>
  <c r="DH96" i="8"/>
  <c r="DH97" i="8"/>
  <c r="DH98" i="8"/>
  <c r="DI98" i="8"/>
  <c r="DJ2" i="8"/>
  <c r="DK2" i="8" s="1"/>
  <c r="DL2" i="8" s="1"/>
  <c r="DM2" i="8" s="1"/>
  <c r="DN2" i="8" s="1"/>
  <c r="DO2" i="8" s="1"/>
  <c r="DP2" i="8" s="1"/>
  <c r="DQ2" i="8" s="1"/>
  <c r="DR2" i="8" s="1"/>
  <c r="DS2" i="8" s="1"/>
  <c r="DT2" i="8" s="1"/>
  <c r="DU2" i="8" s="1"/>
  <c r="DV2" i="8" s="1"/>
  <c r="DW2" i="8" s="1"/>
  <c r="DX2" i="8" s="1"/>
  <c r="DY2" i="8" s="1"/>
  <c r="DZ2" i="8" s="1"/>
  <c r="EA2" i="8" s="1"/>
  <c r="EB2" i="8" s="1"/>
  <c r="EC2" i="8" s="1"/>
  <c r="ED2" i="8" s="1"/>
  <c r="EE2" i="8" s="1"/>
  <c r="EF2" i="8" s="1"/>
  <c r="EG2" i="8" s="1"/>
  <c r="EH2" i="8" s="1"/>
  <c r="EI2" i="8" s="1"/>
  <c r="EJ2" i="8" s="1"/>
  <c r="AE90" i="8"/>
  <c r="DI90" i="8" s="1"/>
  <c r="AE88" i="8"/>
  <c r="DI88" i="8" s="1"/>
  <c r="AE100" i="8"/>
  <c r="AF92" i="8"/>
  <c r="AF100" i="8"/>
  <c r="Z12" i="8"/>
  <c r="Z86" i="8" s="1"/>
  <c r="Z87" i="8" s="1"/>
  <c r="DH2" i="8"/>
  <c r="DG2" i="8" s="1"/>
  <c r="DF2" i="8" s="1"/>
  <c r="DE2" i="8" s="1"/>
  <c r="DD2" i="8" s="1"/>
  <c r="DC2" i="8" s="1"/>
  <c r="DB2" i="8" s="1"/>
  <c r="I90" i="8"/>
  <c r="DC90" i="8" s="1"/>
  <c r="O90" i="8"/>
  <c r="O86" i="8"/>
  <c r="O87" i="8" s="1"/>
  <c r="P90" i="8"/>
  <c r="P198" i="8" s="1"/>
  <c r="T198" i="8" s="1"/>
  <c r="P86" i="8"/>
  <c r="Q86" i="8"/>
  <c r="Q87" i="8" s="1"/>
  <c r="R90" i="8"/>
  <c r="R92" i="8" s="1"/>
  <c r="R86" i="8"/>
  <c r="R87" i="8" s="1"/>
  <c r="O91" i="8"/>
  <c r="P91" i="8"/>
  <c r="Q91" i="8"/>
  <c r="Q92" i="8" s="1"/>
  <c r="C92" i="8"/>
  <c r="C93" i="8" s="1"/>
  <c r="D92" i="8"/>
  <c r="D93" i="8" s="1"/>
  <c r="E92" i="8"/>
  <c r="E93" i="8" s="1"/>
  <c r="F92" i="8"/>
  <c r="F93" i="8" s="1"/>
  <c r="G92" i="8"/>
  <c r="G93" i="8" s="1"/>
  <c r="H88" i="8"/>
  <c r="H92" i="8" s="1"/>
  <c r="H93" i="8" s="1"/>
  <c r="I88" i="8"/>
  <c r="J88" i="8"/>
  <c r="J92" i="8" s="1"/>
  <c r="J93" i="8" s="1"/>
  <c r="K88" i="8"/>
  <c r="K199" i="8" s="1"/>
  <c r="L88" i="8"/>
  <c r="L199" i="8" s="1"/>
  <c r="M92" i="8"/>
  <c r="M93" i="8" s="1"/>
  <c r="N92" i="8"/>
  <c r="N93" i="8" s="1"/>
  <c r="O88" i="8"/>
  <c r="O199" i="8" s="1"/>
  <c r="P88" i="8"/>
  <c r="P199" i="8" s="1"/>
  <c r="C100" i="8"/>
  <c r="D100" i="8"/>
  <c r="E100" i="8"/>
  <c r="F100" i="8"/>
  <c r="G94" i="8"/>
  <c r="DC94" i="8" s="1"/>
  <c r="G95" i="8"/>
  <c r="DC95" i="8" s="1"/>
  <c r="G96" i="8"/>
  <c r="DC96" i="8" s="1"/>
  <c r="G97" i="8"/>
  <c r="DC97" i="8" s="1"/>
  <c r="H99" i="8"/>
  <c r="H100" i="8" s="1"/>
  <c r="I99" i="8"/>
  <c r="I100" i="8" s="1"/>
  <c r="J99" i="8"/>
  <c r="J100" i="8" s="1"/>
  <c r="K99" i="8"/>
  <c r="K100" i="8" s="1"/>
  <c r="L99" i="8"/>
  <c r="L100" i="8" s="1"/>
  <c r="M100" i="8"/>
  <c r="N99" i="8"/>
  <c r="N100" i="8" s="1"/>
  <c r="O100" i="8"/>
  <c r="P100" i="8"/>
  <c r="Q100" i="8"/>
  <c r="R100" i="8"/>
  <c r="F102" i="8"/>
  <c r="DB102" i="8" s="1"/>
  <c r="DG62" i="8"/>
  <c r="DG54" i="8"/>
  <c r="DG47" i="8"/>
  <c r="DG51" i="8"/>
  <c r="DG50" i="8"/>
  <c r="DG9" i="8"/>
  <c r="X12" i="8"/>
  <c r="Y12" i="8"/>
  <c r="Y86" i="8" s="1"/>
  <c r="Y87" i="8" s="1"/>
  <c r="DG10" i="8"/>
  <c r="DG17" i="8"/>
  <c r="DG32" i="8"/>
  <c r="DG35" i="8"/>
  <c r="DG25" i="8"/>
  <c r="DG38" i="8"/>
  <c r="DG44" i="8"/>
  <c r="DG46" i="8"/>
  <c r="DG59" i="8"/>
  <c r="DG48" i="8"/>
  <c r="DG49" i="8"/>
  <c r="DG61" i="8"/>
  <c r="DG55" i="8"/>
  <c r="DG57" i="8"/>
  <c r="DG64" i="8"/>
  <c r="DG71" i="8"/>
  <c r="DG72" i="8"/>
  <c r="DG73" i="8"/>
  <c r="DG75" i="8"/>
  <c r="DG76" i="8"/>
  <c r="W86" i="8"/>
  <c r="W87" i="8" s="1"/>
  <c r="W88" i="8"/>
  <c r="X88" i="8"/>
  <c r="Z88" i="8"/>
  <c r="W91" i="8"/>
  <c r="W92" i="8" s="1"/>
  <c r="X91" i="8"/>
  <c r="Z91" i="8"/>
  <c r="Z90" i="8"/>
  <c r="DG94" i="8"/>
  <c r="DG95" i="8"/>
  <c r="DG96" i="8"/>
  <c r="DG97" i="8"/>
  <c r="DG98" i="8"/>
  <c r="DG99" i="8"/>
  <c r="DH62" i="8"/>
  <c r="DH54" i="8"/>
  <c r="DH47" i="8"/>
  <c r="DH51" i="8"/>
  <c r="DH50" i="8"/>
  <c r="DH9" i="8"/>
  <c r="DH10" i="8"/>
  <c r="DH17" i="8"/>
  <c r="DH35" i="8"/>
  <c r="DH44" i="8"/>
  <c r="DH11" i="8"/>
  <c r="AC91" i="8"/>
  <c r="AC92" i="8" s="1"/>
  <c r="DH99" i="8"/>
  <c r="DG102" i="8"/>
  <c r="DF62" i="8"/>
  <c r="DF54" i="8"/>
  <c r="DF47" i="8"/>
  <c r="DF51" i="8"/>
  <c r="DF50" i="8"/>
  <c r="DF9" i="8"/>
  <c r="DF12" i="8"/>
  <c r="DF10" i="8"/>
  <c r="DF17" i="8"/>
  <c r="DF32" i="8"/>
  <c r="DF35" i="8"/>
  <c r="DF25" i="8"/>
  <c r="DF38" i="8"/>
  <c r="DF44" i="8"/>
  <c r="DF46" i="8"/>
  <c r="DF59" i="8"/>
  <c r="DF48" i="8"/>
  <c r="DF49" i="8"/>
  <c r="DF61" i="8"/>
  <c r="DF55" i="8"/>
  <c r="DF57" i="8"/>
  <c r="DF64" i="8"/>
  <c r="DF71" i="8"/>
  <c r="DF72" i="8"/>
  <c r="DF73" i="8"/>
  <c r="DF75" i="8"/>
  <c r="DF76" i="8"/>
  <c r="S86" i="8"/>
  <c r="T86" i="8"/>
  <c r="T87" i="8" s="1"/>
  <c r="U86" i="8"/>
  <c r="U87" i="8" s="1"/>
  <c r="V86" i="8"/>
  <c r="V87" i="8" s="1"/>
  <c r="V88" i="8"/>
  <c r="DF88" i="8" s="1"/>
  <c r="V91" i="8"/>
  <c r="DF91" i="8" s="1"/>
  <c r="U90" i="8"/>
  <c r="U92" i="8" s="1"/>
  <c r="V90" i="8"/>
  <c r="DF94" i="8"/>
  <c r="DF95" i="8"/>
  <c r="DF96" i="8"/>
  <c r="DF97" i="8"/>
  <c r="DF98" i="8"/>
  <c r="DF99" i="8"/>
  <c r="T102" i="8"/>
  <c r="DF102" i="8" s="1"/>
  <c r="DB88" i="8"/>
  <c r="DB91" i="8"/>
  <c r="DB90" i="8"/>
  <c r="DC91" i="8"/>
  <c r="DD91" i="8"/>
  <c r="DD90" i="8"/>
  <c r="DB98" i="8"/>
  <c r="DB99" i="8"/>
  <c r="DC98" i="8"/>
  <c r="DD94" i="8"/>
  <c r="DD95" i="8"/>
  <c r="DD96" i="8"/>
  <c r="DD97" i="8"/>
  <c r="DD98" i="8"/>
  <c r="DE98" i="8"/>
  <c r="DC102" i="8"/>
  <c r="DD102" i="8"/>
  <c r="DG105" i="8"/>
  <c r="DE102" i="8"/>
  <c r="DE94" i="8"/>
  <c r="DE95" i="8"/>
  <c r="DE96" i="8"/>
  <c r="DE97" i="8"/>
  <c r="DE99" i="8"/>
  <c r="DE62" i="8"/>
  <c r="DE54" i="8"/>
  <c r="DE47" i="8"/>
  <c r="DE51" i="8"/>
  <c r="DE50" i="8"/>
  <c r="DE9" i="8"/>
  <c r="DE12" i="8"/>
  <c r="DE10" i="8"/>
  <c r="DE17" i="8"/>
  <c r="DE32" i="8"/>
  <c r="DE35" i="8"/>
  <c r="DE25" i="8"/>
  <c r="DE38" i="8"/>
  <c r="DE44" i="8"/>
  <c r="DE46" i="8"/>
  <c r="DE59" i="8"/>
  <c r="DE48" i="8"/>
  <c r="DE49" i="8"/>
  <c r="DE61" i="8"/>
  <c r="DE55" i="8"/>
  <c r="DE57" i="8"/>
  <c r="DE64" i="8"/>
  <c r="DE71" i="8"/>
  <c r="DE72" i="8"/>
  <c r="DE73" i="8"/>
  <c r="DE75" i="8"/>
  <c r="DE83" i="8"/>
  <c r="S92" i="8"/>
  <c r="S100" i="8"/>
  <c r="T100" i="8"/>
  <c r="T92" i="8"/>
  <c r="U100" i="8"/>
  <c r="V100" i="8"/>
  <c r="W100" i="8"/>
  <c r="X100" i="8"/>
  <c r="Y100" i="8"/>
  <c r="Y92" i="8"/>
  <c r="Z100" i="8"/>
  <c r="AA92" i="8"/>
  <c r="AA100" i="8"/>
  <c r="AB92" i="8"/>
  <c r="AB100" i="8"/>
  <c r="AC100" i="8"/>
  <c r="Q198" i="8"/>
  <c r="E34" i="3"/>
  <c r="F34" i="3"/>
  <c r="G34" i="3" s="1"/>
  <c r="H34" i="3" s="1"/>
  <c r="I34" i="3" s="1"/>
  <c r="J34" i="3" s="1"/>
  <c r="K34" i="3" s="1"/>
  <c r="DF180" i="8"/>
  <c r="T181" i="8"/>
  <c r="U181" i="8"/>
  <c r="V181" i="8"/>
  <c r="DF179" i="8"/>
  <c r="DF105" i="8"/>
  <c r="T186" i="8"/>
  <c r="S190" i="8"/>
  <c r="U190" i="8"/>
  <c r="S187" i="8"/>
  <c r="S184" i="8"/>
  <c r="V184" i="8" s="1"/>
  <c r="S181" i="8"/>
  <c r="O194" i="8"/>
  <c r="DE194" i="8" s="1"/>
  <c r="DE105" i="8"/>
  <c r="DD105" i="8"/>
  <c r="T188" i="8"/>
  <c r="U188" i="8" s="1"/>
  <c r="P184" i="8"/>
  <c r="P185" i="8" s="1"/>
  <c r="Q184" i="8"/>
  <c r="Q185" i="8" s="1"/>
  <c r="R184" i="8"/>
  <c r="R185" i="8" s="1"/>
  <c r="O184" i="8"/>
  <c r="O185" i="8" s="1"/>
  <c r="DE179" i="8"/>
  <c r="O181" i="8"/>
  <c r="O180" i="8" s="1"/>
  <c r="P181" i="8"/>
  <c r="P180" i="8" s="1"/>
  <c r="Q181" i="8"/>
  <c r="Q180" i="8" s="1"/>
  <c r="R181" i="8"/>
  <c r="R180" i="8" s="1"/>
  <c r="Q188" i="8"/>
  <c r="R188" i="8" s="1"/>
  <c r="R187" i="8"/>
  <c r="DE186" i="8"/>
  <c r="O190" i="8"/>
  <c r="P190" i="8"/>
  <c r="Q190" i="8"/>
  <c r="R190" i="8"/>
  <c r="N188" i="8"/>
  <c r="L187" i="8"/>
  <c r="DE195" i="8"/>
  <c r="R199" i="8"/>
  <c r="Q199" i="8"/>
  <c r="M199" i="8"/>
  <c r="N199" i="8"/>
  <c r="K198" i="8"/>
  <c r="L198" i="8"/>
  <c r="M198" i="8"/>
  <c r="N198" i="8"/>
  <c r="DD197" i="8"/>
  <c r="DD196" i="8"/>
  <c r="DD195" i="8"/>
  <c r="DD194" i="8"/>
  <c r="DD186" i="8"/>
  <c r="DE197" i="8"/>
  <c r="DE196" i="8"/>
  <c r="DD187" i="8"/>
  <c r="S186" i="8"/>
  <c r="DJ9" i="8"/>
  <c r="DJ14" i="8"/>
  <c r="DJ38" i="8"/>
  <c r="DJ48" i="8"/>
  <c r="DJ44" i="8"/>
  <c r="DJ72" i="8"/>
  <c r="DJ59" i="8"/>
  <c r="DJ49" i="8"/>
  <c r="DJ55" i="8"/>
  <c r="DJ57" i="8"/>
  <c r="DJ71" i="8"/>
  <c r="DJ73" i="8"/>
  <c r="DJ76" i="8"/>
  <c r="DJ11" i="8"/>
  <c r="DD87" i="8"/>
  <c r="AK92" i="8"/>
  <c r="V187" i="8"/>
  <c r="T184" i="8"/>
  <c r="V186" i="8"/>
  <c r="U186" i="8"/>
  <c r="DJ50" i="8"/>
  <c r="DJ10" i="8"/>
  <c r="DJ54" i="8"/>
  <c r="T190" i="8"/>
  <c r="U184" i="8"/>
  <c r="DK32" i="8"/>
  <c r="DK38" i="8"/>
  <c r="DK9" i="8"/>
  <c r="DK57" i="8"/>
  <c r="DI94" i="8"/>
  <c r="DJ98" i="8"/>
  <c r="DJ100" i="8" s="1"/>
  <c r="DK12" i="8"/>
  <c r="DK59" i="8"/>
  <c r="DK11" i="8"/>
  <c r="DK35" i="8"/>
  <c r="AH92" i="8"/>
  <c r="DI91" i="8"/>
  <c r="DK23" i="8"/>
  <c r="DK69" i="8"/>
  <c r="DH90" i="8"/>
  <c r="DH88" i="8"/>
  <c r="DH102" i="8"/>
  <c r="DK10" i="8"/>
  <c r="DK67" i="8"/>
  <c r="DK14" i="8"/>
  <c r="DK44" i="8"/>
  <c r="DK60" i="8"/>
  <c r="DK34" i="8"/>
  <c r="DK78" i="8"/>
  <c r="DK61" i="8"/>
  <c r="DK65" i="8"/>
  <c r="DK64" i="8"/>
  <c r="DK66" i="8"/>
  <c r="DK49" i="8"/>
  <c r="DK48" i="8"/>
  <c r="DK42" i="8"/>
  <c r="DK41" i="8"/>
  <c r="AQ170" i="8"/>
  <c r="AH174" i="8"/>
  <c r="DI10" i="8"/>
  <c r="AH170" i="8"/>
  <c r="DL9" i="8"/>
  <c r="AL174" i="8"/>
  <c r="DL62" i="8"/>
  <c r="AL171" i="8"/>
  <c r="AH171" i="8"/>
  <c r="DI11" i="8"/>
  <c r="AT170" i="8"/>
  <c r="AT174" i="8"/>
  <c r="AS173" i="8"/>
  <c r="AS174" i="8"/>
  <c r="AT173" i="8"/>
  <c r="AL17" i="30"/>
  <c r="AL19" i="30"/>
  <c r="AL20" i="30"/>
  <c r="AM16" i="30"/>
  <c r="AN16" i="30"/>
  <c r="AM19" i="30"/>
  <c r="AM20" i="30"/>
  <c r="AM17" i="30"/>
  <c r="AO16" i="30"/>
  <c r="AN19" i="30"/>
  <c r="AN20" i="30"/>
  <c r="AN17" i="30"/>
  <c r="AP16" i="30"/>
  <c r="AO19" i="30"/>
  <c r="AO20" i="30"/>
  <c r="AO17" i="30"/>
  <c r="AQ16" i="30"/>
  <c r="AP19" i="30"/>
  <c r="AP20" i="30"/>
  <c r="AP17" i="30"/>
  <c r="AR16" i="30"/>
  <c r="AQ19" i="30"/>
  <c r="AQ20" i="30"/>
  <c r="AQ17" i="30"/>
  <c r="AS16" i="30"/>
  <c r="AR17" i="30"/>
  <c r="AR19" i="30"/>
  <c r="AR20" i="30"/>
  <c r="AT16" i="30"/>
  <c r="AS19" i="30"/>
  <c r="AS20" i="30"/>
  <c r="AS17" i="30"/>
  <c r="AT17" i="30"/>
  <c r="AU16" i="30"/>
  <c r="AT19" i="30"/>
  <c r="AT20" i="30"/>
  <c r="AU17" i="30"/>
  <c r="AU19" i="30"/>
  <c r="AU20" i="30"/>
  <c r="AK22" i="30"/>
  <c r="CS103" i="8" l="1"/>
  <c r="CS113" i="8"/>
  <c r="CS163" i="8"/>
  <c r="CS156" i="8"/>
  <c r="CP165" i="8"/>
  <c r="CP150" i="8"/>
  <c r="CN139" i="8"/>
  <c r="CJ122" i="8"/>
  <c r="CT87" i="8"/>
  <c r="CS104" i="8"/>
  <c r="CQ165" i="8"/>
  <c r="CQ130" i="8"/>
  <c r="CQ139" i="8"/>
  <c r="CR104" i="8"/>
  <c r="CT104" i="8"/>
  <c r="CR87" i="8"/>
  <c r="CS87" i="8"/>
  <c r="CQ93" i="8"/>
  <c r="CQ101" i="8" s="1"/>
  <c r="CQ103" i="8" s="1"/>
  <c r="CQ141" i="8" s="1"/>
  <c r="CQ107" i="8"/>
  <c r="CQ109" i="8"/>
  <c r="CQ108" i="8"/>
  <c r="DX77" i="8"/>
  <c r="DY77" i="8" s="1"/>
  <c r="DZ77" i="8" s="1"/>
  <c r="EA77" i="8" s="1"/>
  <c r="EB77" i="8" s="1"/>
  <c r="EC77" i="8" s="1"/>
  <c r="ED77" i="8" s="1"/>
  <c r="EE77" i="8" s="1"/>
  <c r="EF77" i="8" s="1"/>
  <c r="EG77" i="8" s="1"/>
  <c r="EH77" i="8" s="1"/>
  <c r="EI77" i="8" s="1"/>
  <c r="EJ77" i="8" s="1"/>
  <c r="DX20" i="8"/>
  <c r="DY20" i="8" s="1"/>
  <c r="DZ20" i="8" s="1"/>
  <c r="EA20" i="8" s="1"/>
  <c r="EB20" i="8" s="1"/>
  <c r="EC20" i="8" s="1"/>
  <c r="ED20" i="8" s="1"/>
  <c r="EE20" i="8" s="1"/>
  <c r="EF20" i="8" s="1"/>
  <c r="EG20" i="8" s="1"/>
  <c r="EH20" i="8" s="1"/>
  <c r="EI20" i="8" s="1"/>
  <c r="EJ20" i="8" s="1"/>
  <c r="DX8" i="8"/>
  <c r="DZ8" i="8" s="1"/>
  <c r="EA8" i="8" s="1"/>
  <c r="EB8" i="8" s="1"/>
  <c r="EC8" i="8" s="1"/>
  <c r="ED8" i="8" s="1"/>
  <c r="EE8" i="8" s="1"/>
  <c r="EF8" i="8" s="1"/>
  <c r="EG8" i="8" s="1"/>
  <c r="EH8" i="8" s="1"/>
  <c r="EI8" i="8" s="1"/>
  <c r="EJ8" i="8" s="1"/>
  <c r="DX11" i="8"/>
  <c r="DZ11" i="8" s="1"/>
  <c r="EA11" i="8" s="1"/>
  <c r="EB11" i="8" s="1"/>
  <c r="EC11" i="8" s="1"/>
  <c r="ED11" i="8" s="1"/>
  <c r="EE11" i="8" s="1"/>
  <c r="EF11" i="8" s="1"/>
  <c r="EG11" i="8" s="1"/>
  <c r="EH11" i="8" s="1"/>
  <c r="EI11" i="8" s="1"/>
  <c r="EJ11" i="8" s="1"/>
  <c r="DX5" i="8"/>
  <c r="EA5" i="8" s="1"/>
  <c r="EB5" i="8" s="1"/>
  <c r="EC5" i="8" s="1"/>
  <c r="ED5" i="8" s="1"/>
  <c r="EE5" i="8" s="1"/>
  <c r="EF5" i="8" s="1"/>
  <c r="EG5" i="8" s="1"/>
  <c r="EH5" i="8" s="1"/>
  <c r="EI5" i="8" s="1"/>
  <c r="EJ5" i="8" s="1"/>
  <c r="DW86" i="8"/>
  <c r="CM130" i="8"/>
  <c r="CM139" i="8"/>
  <c r="DX90" i="8"/>
  <c r="CM122" i="8"/>
  <c r="DW92" i="8"/>
  <c r="DZ4" i="8"/>
  <c r="EA4" i="8" s="1"/>
  <c r="EB4" i="8" s="1"/>
  <c r="EC4" i="8" s="1"/>
  <c r="ED4" i="8" s="1"/>
  <c r="DX22" i="8"/>
  <c r="DY22" i="8" s="1"/>
  <c r="EA22" i="8" s="1"/>
  <c r="EB22" i="8" s="1"/>
  <c r="EC22" i="8" s="1"/>
  <c r="ED22" i="8" s="1"/>
  <c r="EE22" i="8" s="1"/>
  <c r="EF22" i="8" s="1"/>
  <c r="EG22" i="8" s="1"/>
  <c r="EH22" i="8" s="1"/>
  <c r="EI22" i="8" s="1"/>
  <c r="EJ22" i="8" s="1"/>
  <c r="DX91" i="8"/>
  <c r="DX6" i="8"/>
  <c r="DZ6" i="8" s="1"/>
  <c r="EA6" i="8" s="1"/>
  <c r="EB6" i="8" s="1"/>
  <c r="EC6" i="8" s="1"/>
  <c r="ED6" i="8" s="1"/>
  <c r="EE6" i="8" s="1"/>
  <c r="EF6" i="8" s="1"/>
  <c r="EG6" i="8" s="1"/>
  <c r="EH6" i="8" s="1"/>
  <c r="EI6" i="8" s="1"/>
  <c r="EJ6" i="8" s="1"/>
  <c r="DX7" i="8"/>
  <c r="DZ7" i="8" s="1"/>
  <c r="EA7" i="8" s="1"/>
  <c r="EB7" i="8" s="1"/>
  <c r="EC7" i="8" s="1"/>
  <c r="ED7" i="8" s="1"/>
  <c r="EE7" i="8" s="1"/>
  <c r="EF7" i="8" s="1"/>
  <c r="EG7" i="8" s="1"/>
  <c r="EH7" i="8" s="1"/>
  <c r="EI7" i="8" s="1"/>
  <c r="EJ7" i="8" s="1"/>
  <c r="DM86" i="8"/>
  <c r="DX21" i="8"/>
  <c r="DY21" i="8" s="1"/>
  <c r="DZ21" i="8" s="1"/>
  <c r="EA21" i="8" s="1"/>
  <c r="EB21" i="8" s="1"/>
  <c r="EC21" i="8" s="1"/>
  <c r="ED21" i="8" s="1"/>
  <c r="EE21" i="8" s="1"/>
  <c r="EF21" i="8" s="1"/>
  <c r="EG21" i="8" s="1"/>
  <c r="EH21" i="8" s="1"/>
  <c r="EI21" i="8" s="1"/>
  <c r="EJ21" i="8" s="1"/>
  <c r="DX105" i="8"/>
  <c r="DY105" i="8" s="1"/>
  <c r="DZ105" i="8" s="1"/>
  <c r="EA105" i="8" s="1"/>
  <c r="EB105" i="8" s="1"/>
  <c r="EC105" i="8" s="1"/>
  <c r="ED105" i="8" s="1"/>
  <c r="EE105" i="8" s="1"/>
  <c r="EF105" i="8" s="1"/>
  <c r="EG105" i="8" s="1"/>
  <c r="EH105" i="8" s="1"/>
  <c r="EI105" i="8" s="1"/>
  <c r="EJ105" i="8" s="1"/>
  <c r="DX23" i="8"/>
  <c r="DY23" i="8" s="1"/>
  <c r="DZ23" i="8" s="1"/>
  <c r="EA23" i="8" s="1"/>
  <c r="EB23" i="8" s="1"/>
  <c r="EC23" i="8" s="1"/>
  <c r="ED23" i="8" s="1"/>
  <c r="EE23" i="8" s="1"/>
  <c r="EF23" i="8" s="1"/>
  <c r="EG23" i="8" s="1"/>
  <c r="EH23" i="8" s="1"/>
  <c r="EI23" i="8" s="1"/>
  <c r="EJ23" i="8" s="1"/>
  <c r="DX12" i="8"/>
  <c r="DZ12" i="8" s="1"/>
  <c r="EA12" i="8" s="1"/>
  <c r="EB12" i="8" s="1"/>
  <c r="EC12" i="8" s="1"/>
  <c r="ED12" i="8" s="1"/>
  <c r="EE12" i="8" s="1"/>
  <c r="EF12" i="8" s="1"/>
  <c r="EG12" i="8" s="1"/>
  <c r="EH12" i="8" s="1"/>
  <c r="EI12" i="8" s="1"/>
  <c r="EJ12" i="8" s="1"/>
  <c r="DX18" i="8"/>
  <c r="DY18" i="8" s="1"/>
  <c r="EA18" i="8" s="1"/>
  <c r="EB18" i="8" s="1"/>
  <c r="EC18" i="8" s="1"/>
  <c r="ED18" i="8" s="1"/>
  <c r="EE18" i="8" s="1"/>
  <c r="EF18" i="8" s="1"/>
  <c r="EG18" i="8" s="1"/>
  <c r="EH18" i="8" s="1"/>
  <c r="EI18" i="8" s="1"/>
  <c r="EJ18" i="8" s="1"/>
  <c r="DX17" i="8"/>
  <c r="DY17" i="8" s="1"/>
  <c r="DZ17" i="8" s="1"/>
  <c r="EA17" i="8" s="1"/>
  <c r="EB17" i="8" s="1"/>
  <c r="EC17" i="8" s="1"/>
  <c r="ED17" i="8" s="1"/>
  <c r="EE17" i="8" s="1"/>
  <c r="EF17" i="8" s="1"/>
  <c r="EG17" i="8" s="1"/>
  <c r="EH17" i="8" s="1"/>
  <c r="EI17" i="8" s="1"/>
  <c r="EJ17" i="8" s="1"/>
  <c r="DX13" i="8"/>
  <c r="DY13" i="8" s="1"/>
  <c r="DZ13" i="8" s="1"/>
  <c r="EA13" i="8" s="1"/>
  <c r="EB13" i="8" s="1"/>
  <c r="EC13" i="8" s="1"/>
  <c r="ED13" i="8" s="1"/>
  <c r="EE13" i="8" s="1"/>
  <c r="EF13" i="8" s="1"/>
  <c r="EG13" i="8" s="1"/>
  <c r="EH13" i="8" s="1"/>
  <c r="EI13" i="8" s="1"/>
  <c r="EJ13" i="8" s="1"/>
  <c r="DX14" i="8"/>
  <c r="DY14" i="8" s="1"/>
  <c r="DZ14" i="8" s="1"/>
  <c r="EA14" i="8" s="1"/>
  <c r="EB14" i="8" s="1"/>
  <c r="EC14" i="8" s="1"/>
  <c r="ED14" i="8" s="1"/>
  <c r="EE14" i="8" s="1"/>
  <c r="EF14" i="8" s="1"/>
  <c r="EG14" i="8" s="1"/>
  <c r="EH14" i="8" s="1"/>
  <c r="EI14" i="8" s="1"/>
  <c r="EJ14" i="8" s="1"/>
  <c r="DX15" i="8"/>
  <c r="DY15" i="8" s="1"/>
  <c r="DZ15" i="8" s="1"/>
  <c r="EA15" i="8" s="1"/>
  <c r="EB15" i="8" s="1"/>
  <c r="EC15" i="8" s="1"/>
  <c r="ED15" i="8" s="1"/>
  <c r="EE15" i="8" s="1"/>
  <c r="EF15" i="8" s="1"/>
  <c r="EG15" i="8" s="1"/>
  <c r="EH15" i="8" s="1"/>
  <c r="EI15" i="8" s="1"/>
  <c r="EJ15" i="8" s="1"/>
  <c r="DS86" i="8"/>
  <c r="DS87" i="8" s="1"/>
  <c r="DX16" i="8"/>
  <c r="DY16" i="8" s="1"/>
  <c r="DZ16" i="8" s="1"/>
  <c r="EA16" i="8" s="1"/>
  <c r="EB16" i="8" s="1"/>
  <c r="EC16" i="8" s="1"/>
  <c r="ED16" i="8" s="1"/>
  <c r="EE16" i="8" s="1"/>
  <c r="EF16" i="8" s="1"/>
  <c r="EG16" i="8" s="1"/>
  <c r="EH16" i="8" s="1"/>
  <c r="EI16" i="8" s="1"/>
  <c r="EJ16" i="8" s="1"/>
  <c r="DX26" i="8"/>
  <c r="DY26" i="8" s="1"/>
  <c r="DZ26" i="8" s="1"/>
  <c r="EA26" i="8" s="1"/>
  <c r="EB26" i="8" s="1"/>
  <c r="EC26" i="8" s="1"/>
  <c r="ED26" i="8" s="1"/>
  <c r="EE26" i="8" s="1"/>
  <c r="EF26" i="8" s="1"/>
  <c r="EG26" i="8" s="1"/>
  <c r="EH26" i="8" s="1"/>
  <c r="EI26" i="8" s="1"/>
  <c r="EJ26" i="8" s="1"/>
  <c r="DX24" i="8"/>
  <c r="DY24" i="8" s="1"/>
  <c r="DZ24" i="8" s="1"/>
  <c r="EA24" i="8" s="1"/>
  <c r="EB24" i="8" s="1"/>
  <c r="EC24" i="8" s="1"/>
  <c r="ED24" i="8" s="1"/>
  <c r="EE24" i="8" s="1"/>
  <c r="EF24" i="8" s="1"/>
  <c r="EG24" i="8" s="1"/>
  <c r="EH24" i="8" s="1"/>
  <c r="EI24" i="8" s="1"/>
  <c r="EJ24" i="8" s="1"/>
  <c r="DX3" i="8"/>
  <c r="EI3" i="8" s="1"/>
  <c r="EJ3" i="8" s="1"/>
  <c r="DX27" i="8"/>
  <c r="DY27" i="8" s="1"/>
  <c r="DZ27" i="8" s="1"/>
  <c r="EA27" i="8" s="1"/>
  <c r="EB27" i="8" s="1"/>
  <c r="EC27" i="8" s="1"/>
  <c r="ED27" i="8" s="1"/>
  <c r="EE27" i="8" s="1"/>
  <c r="EF27" i="8" s="1"/>
  <c r="EG27" i="8" s="1"/>
  <c r="EH27" i="8" s="1"/>
  <c r="EI27" i="8" s="1"/>
  <c r="EJ27" i="8" s="1"/>
  <c r="DX19" i="8"/>
  <c r="DY19" i="8" s="1"/>
  <c r="DZ19" i="8" s="1"/>
  <c r="EA19" i="8" s="1"/>
  <c r="EB19" i="8" s="1"/>
  <c r="EC19" i="8" s="1"/>
  <c r="ED19" i="8" s="1"/>
  <c r="EE19" i="8" s="1"/>
  <c r="EF19" i="8" s="1"/>
  <c r="EG19" i="8" s="1"/>
  <c r="EH19" i="8" s="1"/>
  <c r="EI19" i="8" s="1"/>
  <c r="EJ19" i="8" s="1"/>
  <c r="DX25" i="8"/>
  <c r="DY25" i="8" s="1"/>
  <c r="DZ25" i="8" s="1"/>
  <c r="EA25" i="8" s="1"/>
  <c r="EB25" i="8" s="1"/>
  <c r="EC25" i="8" s="1"/>
  <c r="ED25" i="8" s="1"/>
  <c r="EE25" i="8" s="1"/>
  <c r="EF25" i="8" s="1"/>
  <c r="EG25" i="8" s="1"/>
  <c r="EH25" i="8" s="1"/>
  <c r="EI25" i="8" s="1"/>
  <c r="EJ25" i="8" s="1"/>
  <c r="DX28" i="8"/>
  <c r="DY28" i="8" s="1"/>
  <c r="DZ28" i="8" s="1"/>
  <c r="EA28" i="8" s="1"/>
  <c r="EB28" i="8" s="1"/>
  <c r="EC28" i="8" s="1"/>
  <c r="ED28" i="8" s="1"/>
  <c r="EE28" i="8" s="1"/>
  <c r="EF28" i="8" s="1"/>
  <c r="EG28" i="8" s="1"/>
  <c r="EH28" i="8" s="1"/>
  <c r="EI28" i="8" s="1"/>
  <c r="EJ28" i="8" s="1"/>
  <c r="DR86" i="8"/>
  <c r="DR87" i="8" s="1"/>
  <c r="BS87" i="8"/>
  <c r="CJ139" i="8"/>
  <c r="DN86" i="8"/>
  <c r="DN87" i="8" s="1"/>
  <c r="AY87" i="8"/>
  <c r="DM87" i="8"/>
  <c r="DO86" i="8"/>
  <c r="DO87" i="8" s="1"/>
  <c r="AU87" i="8"/>
  <c r="DP86" i="8"/>
  <c r="DP87" i="8" s="1"/>
  <c r="DQ86" i="8"/>
  <c r="DQ87" i="8" s="1"/>
  <c r="CN92" i="8"/>
  <c r="DT86" i="8"/>
  <c r="DT87" i="8" s="1"/>
  <c r="DL86" i="8"/>
  <c r="DL87" i="8" s="1"/>
  <c r="BO87" i="8"/>
  <c r="DU86" i="8"/>
  <c r="DU87" i="8" s="1"/>
  <c r="AL87" i="8"/>
  <c r="AM87" i="8"/>
  <c r="DV86" i="8"/>
  <c r="DV87" i="8" s="1"/>
  <c r="DV89" i="8" s="1"/>
  <c r="BG87" i="8"/>
  <c r="CJ130" i="8"/>
  <c r="CD109" i="8"/>
  <c r="CJ108" i="8"/>
  <c r="CI109" i="8"/>
  <c r="CH109" i="8"/>
  <c r="CE109" i="8"/>
  <c r="CD108" i="8"/>
  <c r="CC89" i="8"/>
  <c r="CC107" i="8" s="1"/>
  <c r="CC109" i="8"/>
  <c r="CC108" i="8"/>
  <c r="CE108" i="8"/>
  <c r="CF108" i="8"/>
  <c r="CG108" i="8"/>
  <c r="CH108" i="8"/>
  <c r="CF109" i="8"/>
  <c r="CG109" i="8"/>
  <c r="CJ109" i="8"/>
  <c r="CO92" i="8"/>
  <c r="CP92" i="8"/>
  <c r="CK92" i="8"/>
  <c r="CL92" i="8"/>
  <c r="CG93" i="8"/>
  <c r="CA116" i="8"/>
  <c r="DJ91" i="8"/>
  <c r="CD93" i="8"/>
  <c r="CD110" i="8" s="1"/>
  <c r="CB116" i="8"/>
  <c r="CF116" i="8"/>
  <c r="CH116" i="8"/>
  <c r="CO119" i="8"/>
  <c r="CE116" i="8"/>
  <c r="CK171" i="8"/>
  <c r="CL171" i="8"/>
  <c r="CG116" i="8"/>
  <c r="CC116" i="8"/>
  <c r="DB89" i="8"/>
  <c r="CL119" i="8"/>
  <c r="CK118" i="8"/>
  <c r="CL118" i="8"/>
  <c r="CI89" i="8"/>
  <c r="CD116" i="8"/>
  <c r="CO171" i="8"/>
  <c r="CN171" i="8"/>
  <c r="CJ116" i="8"/>
  <c r="CJ93" i="8"/>
  <c r="CF93" i="8"/>
  <c r="O89" i="8"/>
  <c r="CH93" i="8"/>
  <c r="CE93" i="8"/>
  <c r="J7" i="2"/>
  <c r="I92" i="8"/>
  <c r="I93" i="8" s="1"/>
  <c r="I101" i="8" s="1"/>
  <c r="I103" i="8" s="1"/>
  <c r="I104" i="8" s="1"/>
  <c r="CI116" i="8"/>
  <c r="DB108" i="8"/>
  <c r="F101" i="8"/>
  <c r="F103" i="8" s="1"/>
  <c r="F104" i="8" s="1"/>
  <c r="T185" i="8"/>
  <c r="T93" i="8"/>
  <c r="T101" i="8" s="1"/>
  <c r="DI92" i="8"/>
  <c r="AL173" i="8"/>
  <c r="DG100" i="8"/>
  <c r="DI51" i="8"/>
  <c r="DH91" i="8"/>
  <c r="DH92" i="8" s="1"/>
  <c r="W93" i="8"/>
  <c r="W101" i="8" s="1"/>
  <c r="W103" i="8" s="1"/>
  <c r="W104" i="8" s="1"/>
  <c r="E101" i="8"/>
  <c r="E103" i="8" s="1"/>
  <c r="E104" i="8" s="1"/>
  <c r="DE90" i="8"/>
  <c r="DD199" i="8"/>
  <c r="DC92" i="8"/>
  <c r="R198" i="8"/>
  <c r="V198" i="8" s="1"/>
  <c r="DG88" i="8"/>
  <c r="DB100" i="8"/>
  <c r="Q187" i="8"/>
  <c r="U185" i="8"/>
  <c r="DC88" i="8"/>
  <c r="DE88" i="8"/>
  <c r="M101" i="8"/>
  <c r="DK92" i="8"/>
  <c r="AH119" i="8"/>
  <c r="DI9" i="8"/>
  <c r="DI100" i="8"/>
  <c r="Y93" i="8"/>
  <c r="Y101" i="8" s="1"/>
  <c r="Y103" i="8" s="1"/>
  <c r="Y104" i="8" s="1"/>
  <c r="DD99" i="8"/>
  <c r="DD100" i="8" s="1"/>
  <c r="T187" i="8"/>
  <c r="U187" i="8" s="1"/>
  <c r="O92" i="8"/>
  <c r="DJ90" i="8"/>
  <c r="AD120" i="8"/>
  <c r="DE91" i="8"/>
  <c r="DI54" i="8"/>
  <c r="DD198" i="8"/>
  <c r="DK102" i="8"/>
  <c r="L92" i="8"/>
  <c r="L93" i="8" s="1"/>
  <c r="L101" i="8" s="1"/>
  <c r="L191" i="8" s="1"/>
  <c r="DD88" i="8"/>
  <c r="AR116" i="8"/>
  <c r="U198" i="8"/>
  <c r="DE100" i="8"/>
  <c r="DF100" i="8"/>
  <c r="AJ92" i="8"/>
  <c r="Q93" i="8"/>
  <c r="Q101" i="8" s="1"/>
  <c r="Q103" i="8" s="1"/>
  <c r="DF181" i="8"/>
  <c r="DD92" i="8"/>
  <c r="AE92" i="8"/>
  <c r="AS116" i="8"/>
  <c r="AD87" i="8"/>
  <c r="Z109" i="8"/>
  <c r="DE199" i="8"/>
  <c r="V185" i="8"/>
  <c r="DB109" i="8"/>
  <c r="V92" i="8"/>
  <c r="H101" i="8"/>
  <c r="H103" i="8" s="1"/>
  <c r="H104" i="8" s="1"/>
  <c r="DL91" i="8"/>
  <c r="AT116" i="8"/>
  <c r="AC109" i="8"/>
  <c r="AC108" i="8"/>
  <c r="P92" i="8"/>
  <c r="R93" i="8"/>
  <c r="R101" i="8" s="1"/>
  <c r="R103" i="8" s="1"/>
  <c r="DK100" i="8"/>
  <c r="G99" i="8"/>
  <c r="DC99" i="8" s="1"/>
  <c r="DC100" i="8" s="1"/>
  <c r="J101" i="8"/>
  <c r="J103" i="8" s="1"/>
  <c r="J104" i="8" s="1"/>
  <c r="AH120" i="8"/>
  <c r="O198" i="8"/>
  <c r="DB92" i="8"/>
  <c r="AL120" i="8"/>
  <c r="DE180" i="8"/>
  <c r="DE181" i="8" s="1"/>
  <c r="V188" i="8"/>
  <c r="S185" i="8"/>
  <c r="K92" i="8"/>
  <c r="K93" i="8" s="1"/>
  <c r="K101" i="8" s="1"/>
  <c r="C101" i="8"/>
  <c r="C103" i="8" s="1"/>
  <c r="C104" i="8" s="1"/>
  <c r="AI92" i="8"/>
  <c r="DF90" i="8"/>
  <c r="DF92" i="8" s="1"/>
  <c r="DK86" i="8"/>
  <c r="Z92" i="8"/>
  <c r="DG91" i="8"/>
  <c r="X92" i="8"/>
  <c r="DJ86" i="8"/>
  <c r="DM204" i="8"/>
  <c r="DE86" i="8"/>
  <c r="DE87" i="8" s="1"/>
  <c r="P87" i="8"/>
  <c r="P89" i="8" s="1"/>
  <c r="U93" i="8"/>
  <c r="U101" i="8" s="1"/>
  <c r="DG90" i="8"/>
  <c r="Z108" i="8"/>
  <c r="DL204" i="8"/>
  <c r="D101" i="8"/>
  <c r="D103" i="8" s="1"/>
  <c r="D104" i="8" s="1"/>
  <c r="DH86" i="8"/>
  <c r="DH87" i="8" s="1"/>
  <c r="AA87" i="8"/>
  <c r="AM174" i="8"/>
  <c r="DK50" i="8"/>
  <c r="AQ174" i="8"/>
  <c r="AO116" i="8"/>
  <c r="DH100" i="8"/>
  <c r="DI14" i="8"/>
  <c r="AH86" i="8"/>
  <c r="X86" i="8"/>
  <c r="DG12" i="8"/>
  <c r="AB109" i="8"/>
  <c r="N101" i="8"/>
  <c r="S87" i="8"/>
  <c r="S93" i="8" s="1"/>
  <c r="S101" i="8" s="1"/>
  <c r="DF86" i="8"/>
  <c r="DF87" i="8" s="1"/>
  <c r="CT109" i="8" l="1"/>
  <c r="CT107" i="8"/>
  <c r="CT108" i="8"/>
  <c r="CT112" i="8"/>
  <c r="CT110" i="8"/>
  <c r="CS141" i="8"/>
  <c r="CS112" i="8"/>
  <c r="CQ110" i="8"/>
  <c r="CQ104" i="8"/>
  <c r="CQ112" i="8"/>
  <c r="CQ113" i="8"/>
  <c r="DX92" i="8"/>
  <c r="EE4" i="8"/>
  <c r="EF4" i="8" s="1"/>
  <c r="EG4" i="8" s="1"/>
  <c r="EH4" i="8" s="1"/>
  <c r="EI4" i="8" s="1"/>
  <c r="EJ4" i="8" s="1"/>
  <c r="CP170" i="8"/>
  <c r="DX9" i="8"/>
  <c r="DZ9" i="8" s="1"/>
  <c r="EA9" i="8" s="1"/>
  <c r="EB9" i="8" s="1"/>
  <c r="EC9" i="8" s="1"/>
  <c r="ED9" i="8" s="1"/>
  <c r="EE9" i="8" s="1"/>
  <c r="EF9" i="8" s="1"/>
  <c r="EG9" i="8" s="1"/>
  <c r="EH9" i="8" s="1"/>
  <c r="EI9" i="8" s="1"/>
  <c r="EJ9" i="8" s="1"/>
  <c r="DK87" i="8"/>
  <c r="DK109" i="8" s="1"/>
  <c r="DW87" i="8"/>
  <c r="DW89" i="8" s="1"/>
  <c r="CD101" i="8"/>
  <c r="CD103" i="8" s="1"/>
  <c r="CC93" i="8"/>
  <c r="CC101" i="8" s="1"/>
  <c r="CH101" i="8"/>
  <c r="CH110" i="8"/>
  <c r="CF101" i="8"/>
  <c r="CF110" i="8"/>
  <c r="CI93" i="8"/>
  <c r="CI107" i="8"/>
  <c r="CE101" i="8"/>
  <c r="CE110" i="8"/>
  <c r="DJ92" i="8"/>
  <c r="CG101" i="8"/>
  <c r="CG110" i="8"/>
  <c r="CJ101" i="8"/>
  <c r="CJ110" i="8"/>
  <c r="CQ116" i="8"/>
  <c r="CL170" i="8"/>
  <c r="CN170" i="8"/>
  <c r="DE109" i="8"/>
  <c r="O93" i="8"/>
  <c r="O101" i="8" s="1"/>
  <c r="O191" i="8" s="1"/>
  <c r="DL205" i="8"/>
  <c r="CK87" i="8"/>
  <c r="DJ75" i="8"/>
  <c r="DJ87" i="8" s="1"/>
  <c r="CL87" i="8"/>
  <c r="CL89" i="8" s="1"/>
  <c r="DB93" i="8"/>
  <c r="DB110" i="8" s="1"/>
  <c r="AI93" i="8"/>
  <c r="AI101" i="8" s="1"/>
  <c r="R191" i="8"/>
  <c r="AQ93" i="8"/>
  <c r="Z93" i="8"/>
  <c r="Z110" i="8" s="1"/>
  <c r="L103" i="8"/>
  <c r="L189" i="8" s="1"/>
  <c r="P93" i="8"/>
  <c r="P101" i="8" s="1"/>
  <c r="P191" i="8" s="1"/>
  <c r="DC93" i="8"/>
  <c r="DC101" i="8" s="1"/>
  <c r="DC113" i="8" s="1"/>
  <c r="DE92" i="8"/>
  <c r="DD93" i="8"/>
  <c r="DD101" i="8" s="1"/>
  <c r="DD191" i="8" s="1"/>
  <c r="AP116" i="8"/>
  <c r="AL89" i="8"/>
  <c r="AL93" i="8" s="1"/>
  <c r="M103" i="8"/>
  <c r="M191" i="8"/>
  <c r="V93" i="8"/>
  <c r="V101" i="8" s="1"/>
  <c r="V103" i="8" s="1"/>
  <c r="V104" i="8" s="1"/>
  <c r="Q191" i="8"/>
  <c r="AK93" i="8"/>
  <c r="DK204" i="8"/>
  <c r="DB104" i="8"/>
  <c r="AN93" i="8"/>
  <c r="AC93" i="8"/>
  <c r="AP93" i="8"/>
  <c r="AG93" i="8"/>
  <c r="DE198" i="8"/>
  <c r="DF194" i="8" s="1"/>
  <c r="S198" i="8"/>
  <c r="G100" i="8"/>
  <c r="G101" i="8" s="1"/>
  <c r="G103" i="8" s="1"/>
  <c r="G104" i="8" s="1"/>
  <c r="AF93" i="8"/>
  <c r="K191" i="8"/>
  <c r="K103" i="8"/>
  <c r="AN116" i="8"/>
  <c r="AB93" i="8"/>
  <c r="AM89" i="8"/>
  <c r="AQ116" i="8"/>
  <c r="AM116" i="8"/>
  <c r="Q189" i="8"/>
  <c r="Q104" i="8"/>
  <c r="DG92" i="8"/>
  <c r="DM205" i="8"/>
  <c r="DI86" i="8"/>
  <c r="DI87" i="8" s="1"/>
  <c r="AH87" i="8"/>
  <c r="U191" i="8"/>
  <c r="U103" i="8"/>
  <c r="S191" i="8"/>
  <c r="S103" i="8"/>
  <c r="N191" i="8"/>
  <c r="N103" i="8"/>
  <c r="T191" i="8"/>
  <c r="T103" i="8"/>
  <c r="DF195" i="8"/>
  <c r="DE108" i="8"/>
  <c r="AO93" i="8"/>
  <c r="R104" i="8"/>
  <c r="R189" i="8"/>
  <c r="AE93" i="8"/>
  <c r="AA108" i="8"/>
  <c r="AA109" i="8"/>
  <c r="DN204" i="8"/>
  <c r="DG86" i="8"/>
  <c r="DG87" i="8" s="1"/>
  <c r="X87" i="8"/>
  <c r="X93" i="8" s="1"/>
  <c r="X101" i="8" s="1"/>
  <c r="X103" i="8" s="1"/>
  <c r="X104" i="8" s="1"/>
  <c r="DX10" i="8" l="1"/>
  <c r="DW93" i="8"/>
  <c r="DW107" i="8"/>
  <c r="DK205" i="8"/>
  <c r="CO170" i="8"/>
  <c r="O103" i="8"/>
  <c r="O104" i="8" s="1"/>
  <c r="DK108" i="8"/>
  <c r="CC110" i="8"/>
  <c r="DX95" i="8"/>
  <c r="CM109" i="8"/>
  <c r="CM89" i="8"/>
  <c r="CM116" i="8"/>
  <c r="CM108" i="8"/>
  <c r="CD113" i="8"/>
  <c r="DB101" i="8"/>
  <c r="DB113" i="8" s="1"/>
  <c r="DZ10" i="8"/>
  <c r="DL90" i="8"/>
  <c r="DL92" i="8" s="1"/>
  <c r="DL89" i="8"/>
  <c r="DL88" i="8" s="1"/>
  <c r="AQ101" i="8"/>
  <c r="AQ113" i="8" s="1"/>
  <c r="CG103" i="8"/>
  <c r="CG113" i="8"/>
  <c r="CK89" i="8"/>
  <c r="CK116" i="8"/>
  <c r="CC103" i="8"/>
  <c r="CC113" i="8"/>
  <c r="CE103" i="8"/>
  <c r="CE113" i="8"/>
  <c r="CI101" i="8"/>
  <c r="CI110" i="8"/>
  <c r="CJ103" i="8"/>
  <c r="CJ113" i="8"/>
  <c r="CF103" i="8"/>
  <c r="CF113" i="8"/>
  <c r="CH103" i="8"/>
  <c r="CH113" i="8"/>
  <c r="CD104" i="8"/>
  <c r="CD112" i="8"/>
  <c r="CL116" i="8"/>
  <c r="CL109" i="8"/>
  <c r="CL108" i="8"/>
  <c r="CK109" i="8"/>
  <c r="CK108" i="8"/>
  <c r="Z101" i="8"/>
  <c r="Z111" i="8" s="1"/>
  <c r="DE93" i="8"/>
  <c r="DE110" i="8" s="1"/>
  <c r="P103" i="8"/>
  <c r="P189" i="8" s="1"/>
  <c r="DJ93" i="8"/>
  <c r="CO87" i="8"/>
  <c r="L104" i="8"/>
  <c r="DC103" i="8"/>
  <c r="DC104" i="8" s="1"/>
  <c r="DD103" i="8"/>
  <c r="DD104" i="8" s="1"/>
  <c r="DD113" i="8"/>
  <c r="M189" i="8"/>
  <c r="M104" i="8"/>
  <c r="AN101" i="8"/>
  <c r="AK101" i="8"/>
  <c r="V189" i="8"/>
  <c r="AG101" i="8"/>
  <c r="K104" i="8"/>
  <c r="K189" i="8"/>
  <c r="AP101" i="8"/>
  <c r="AC101" i="8"/>
  <c r="AC110" i="8"/>
  <c r="AF101" i="8"/>
  <c r="DB103" i="8"/>
  <c r="DB112" i="8" s="1"/>
  <c r="AL101" i="8"/>
  <c r="AI113" i="8"/>
  <c r="AI103" i="8"/>
  <c r="AB101" i="8"/>
  <c r="AB110" i="8"/>
  <c r="AM93" i="8"/>
  <c r="N189" i="8"/>
  <c r="N104" i="8"/>
  <c r="DN205" i="8"/>
  <c r="S189" i="8"/>
  <c r="S104" i="8"/>
  <c r="DH93" i="8"/>
  <c r="AE101" i="8"/>
  <c r="U189" i="8"/>
  <c r="U104" i="8"/>
  <c r="DF93" i="8"/>
  <c r="AO101" i="8"/>
  <c r="AL116" i="8"/>
  <c r="DO204" i="8"/>
  <c r="AA93" i="8"/>
  <c r="DG93" i="8"/>
  <c r="T189" i="8"/>
  <c r="T104" i="8"/>
  <c r="DM90" i="8"/>
  <c r="DM92" i="8" s="1"/>
  <c r="DM89" i="8"/>
  <c r="DM88" i="8" s="1"/>
  <c r="DB111" i="8" l="1"/>
  <c r="CN116" i="8"/>
  <c r="CN89" i="8"/>
  <c r="CN107" i="8" s="1"/>
  <c r="CR116" i="8"/>
  <c r="CO89" i="8"/>
  <c r="CS116" i="8"/>
  <c r="O189" i="8"/>
  <c r="CN108" i="8"/>
  <c r="CN109" i="8"/>
  <c r="Z113" i="8"/>
  <c r="CM107" i="8"/>
  <c r="CM93" i="8"/>
  <c r="CM110" i="8" s="1"/>
  <c r="Z103" i="8"/>
  <c r="Z104" i="8" s="1"/>
  <c r="EA10" i="8"/>
  <c r="DL93" i="8"/>
  <c r="DL101" i="8" s="1"/>
  <c r="DL102" i="8" s="1"/>
  <c r="AQ103" i="8"/>
  <c r="AQ104" i="8" s="1"/>
  <c r="CF104" i="8"/>
  <c r="CF112" i="8"/>
  <c r="CI103" i="8"/>
  <c r="CI113" i="8"/>
  <c r="DE101" i="8"/>
  <c r="DE113" i="8" s="1"/>
  <c r="CH104" i="8"/>
  <c r="CH112" i="8"/>
  <c r="CE104" i="8"/>
  <c r="CE112" i="8"/>
  <c r="CC104" i="8"/>
  <c r="CC112" i="8"/>
  <c r="CJ104" i="8"/>
  <c r="CJ112" i="8"/>
  <c r="CG104" i="8"/>
  <c r="CG112" i="8"/>
  <c r="CP87" i="8"/>
  <c r="CL107" i="8"/>
  <c r="CL93" i="8"/>
  <c r="CO116" i="8"/>
  <c r="CO108" i="8"/>
  <c r="CO109" i="8"/>
  <c r="CK107" i="8"/>
  <c r="CK93" i="8"/>
  <c r="P104" i="8"/>
  <c r="DJ101" i="8"/>
  <c r="DJ102" i="8" s="1"/>
  <c r="DJ113" i="8" s="1"/>
  <c r="DL110" i="8"/>
  <c r="AK102" i="8"/>
  <c r="AK113" i="8" s="1"/>
  <c r="AN113" i="8"/>
  <c r="AN103" i="8"/>
  <c r="AI104" i="8"/>
  <c r="AF103" i="8"/>
  <c r="AF113" i="8"/>
  <c r="AC111" i="8"/>
  <c r="AC113" i="8"/>
  <c r="AC103" i="8"/>
  <c r="AL113" i="8"/>
  <c r="AL103" i="8"/>
  <c r="AP103" i="8"/>
  <c r="AP113" i="8"/>
  <c r="AG113" i="8"/>
  <c r="AG103" i="8"/>
  <c r="DN90" i="8"/>
  <c r="DN92" i="8" s="1"/>
  <c r="DN89" i="8"/>
  <c r="DI93" i="8"/>
  <c r="DF110" i="8"/>
  <c r="DF101" i="8"/>
  <c r="DK93" i="8"/>
  <c r="DK107" i="8"/>
  <c r="AM101" i="8"/>
  <c r="DG101" i="8"/>
  <c r="AO103" i="8"/>
  <c r="AO113" i="8"/>
  <c r="AE102" i="8"/>
  <c r="AE113" i="8" s="1"/>
  <c r="AJ93" i="8"/>
  <c r="AA101" i="8"/>
  <c r="AA110" i="8"/>
  <c r="DM93" i="8"/>
  <c r="DM110" i="8" s="1"/>
  <c r="DP204" i="8"/>
  <c r="DH101" i="8"/>
  <c r="AB111" i="8"/>
  <c r="AB113" i="8"/>
  <c r="AB103" i="8"/>
  <c r="CP116" i="8" l="1"/>
  <c r="CP89" i="8"/>
  <c r="CT116" i="8"/>
  <c r="Z112" i="8"/>
  <c r="CN93" i="8"/>
  <c r="CN101" i="8" s="1"/>
  <c r="DE191" i="8"/>
  <c r="EB10" i="8"/>
  <c r="DE103" i="8"/>
  <c r="DE111" i="8"/>
  <c r="DX86" i="8"/>
  <c r="CM101" i="8"/>
  <c r="CM113" i="8" s="1"/>
  <c r="CI104" i="8"/>
  <c r="CI112" i="8"/>
  <c r="CP108" i="8"/>
  <c r="CP109" i="8"/>
  <c r="CL110" i="8"/>
  <c r="CL101" i="8"/>
  <c r="CO107" i="8"/>
  <c r="CO93" i="8"/>
  <c r="CK110" i="8"/>
  <c r="CK101" i="8"/>
  <c r="AN104" i="8"/>
  <c r="DL103" i="8"/>
  <c r="DN93" i="8"/>
  <c r="DN110" i="8" s="1"/>
  <c r="AK103" i="8"/>
  <c r="AL104" i="8"/>
  <c r="AC104" i="8"/>
  <c r="AC112" i="8"/>
  <c r="AF104" i="8"/>
  <c r="AE103" i="8"/>
  <c r="AE104" i="8" s="1"/>
  <c r="AG104" i="8"/>
  <c r="DJ103" i="8"/>
  <c r="AP104" i="8"/>
  <c r="DO89" i="8"/>
  <c r="DO90" i="8"/>
  <c r="DO92" i="8" s="1"/>
  <c r="DF113" i="8"/>
  <c r="DF103" i="8"/>
  <c r="DF191" i="8"/>
  <c r="AO104" i="8"/>
  <c r="DP205" i="8"/>
  <c r="AM103" i="8"/>
  <c r="AM113" i="8"/>
  <c r="DE104" i="8"/>
  <c r="DE112" i="8"/>
  <c r="AH93" i="8"/>
  <c r="DO205" i="8"/>
  <c r="AB104" i="8"/>
  <c r="AB112" i="8"/>
  <c r="AJ101" i="8"/>
  <c r="DH103" i="8"/>
  <c r="DH113" i="8"/>
  <c r="AA103" i="8"/>
  <c r="AA111" i="8"/>
  <c r="AA113" i="8"/>
  <c r="DN88" i="8"/>
  <c r="DQ204" i="8"/>
  <c r="DI101" i="8"/>
  <c r="DG103" i="8"/>
  <c r="DG113" i="8"/>
  <c r="DK110" i="8"/>
  <c r="DK101" i="8"/>
  <c r="CN110" i="8" l="1"/>
  <c r="DX88" i="8"/>
  <c r="DY86" i="8"/>
  <c r="DX87" i="8"/>
  <c r="EC10" i="8"/>
  <c r="CP93" i="8"/>
  <c r="CP110" i="8" s="1"/>
  <c r="DM100" i="8"/>
  <c r="DM101" i="8" s="1"/>
  <c r="CP107" i="8"/>
  <c r="CM103" i="8"/>
  <c r="CL113" i="8"/>
  <c r="CK113" i="8"/>
  <c r="CO110" i="8"/>
  <c r="CO101" i="8"/>
  <c r="AK104" i="8"/>
  <c r="DQ205" i="8"/>
  <c r="DF104" i="8"/>
  <c r="AJ113" i="8"/>
  <c r="AJ103" i="8"/>
  <c r="DR204" i="8"/>
  <c r="AM104" i="8"/>
  <c r="DK103" i="8"/>
  <c r="DK113" i="8"/>
  <c r="DK111" i="8"/>
  <c r="AA104" i="8"/>
  <c r="AA112" i="8"/>
  <c r="DI102" i="8"/>
  <c r="DI113" i="8" s="1"/>
  <c r="DO93" i="8"/>
  <c r="DO110" i="8" s="1"/>
  <c r="DP89" i="8"/>
  <c r="DP88" i="8" s="1"/>
  <c r="DP90" i="8"/>
  <c r="DP92" i="8" s="1"/>
  <c r="DG104" i="8"/>
  <c r="AH101" i="8"/>
  <c r="DO88" i="8"/>
  <c r="CP101" i="8" l="1"/>
  <c r="CP113" i="8" s="1"/>
  <c r="DX89" i="8"/>
  <c r="DX93" i="8" s="1"/>
  <c r="CN113" i="8"/>
  <c r="ED10" i="8"/>
  <c r="DZ86" i="8"/>
  <c r="DY87" i="8"/>
  <c r="DY89" i="8" s="1"/>
  <c r="CM104" i="8"/>
  <c r="CM112" i="8"/>
  <c r="CN103" i="8"/>
  <c r="CN141" i="8" s="1"/>
  <c r="CK103" i="8"/>
  <c r="CK112" i="8" s="1"/>
  <c r="CL103" i="8"/>
  <c r="CO113" i="8"/>
  <c r="CK104" i="8"/>
  <c r="DI103" i="8"/>
  <c r="DM102" i="8"/>
  <c r="DK112" i="8"/>
  <c r="DQ90" i="8"/>
  <c r="DQ92" i="8" s="1"/>
  <c r="DQ89" i="8"/>
  <c r="DQ88" i="8" s="1"/>
  <c r="AJ104" i="8"/>
  <c r="AH103" i="8"/>
  <c r="DP93" i="8"/>
  <c r="DP110" i="8" s="1"/>
  <c r="DS204" i="8"/>
  <c r="DX107" i="8" l="1"/>
  <c r="DY88" i="8"/>
  <c r="DY107" i="8"/>
  <c r="CN104" i="8"/>
  <c r="EA86" i="8"/>
  <c r="DZ87" i="8"/>
  <c r="DX102" i="8"/>
  <c r="EE10" i="8"/>
  <c r="CN112" i="8"/>
  <c r="CP103" i="8"/>
  <c r="CP104" i="8" s="1"/>
  <c r="CO103" i="8"/>
  <c r="CO104" i="8" s="1"/>
  <c r="CL104" i="8"/>
  <c r="CL112" i="8"/>
  <c r="DQ93" i="8"/>
  <c r="DQ110" i="8" s="1"/>
  <c r="DM103" i="8"/>
  <c r="DR90" i="8"/>
  <c r="DR92" i="8" s="1"/>
  <c r="DR89" i="8"/>
  <c r="DT204" i="8"/>
  <c r="DR205" i="8"/>
  <c r="AH104" i="8"/>
  <c r="DX122" i="8" l="1"/>
  <c r="DY95" i="8" s="1"/>
  <c r="DY100" i="8" s="1"/>
  <c r="EF10" i="8"/>
  <c r="DZ89" i="8"/>
  <c r="DZ107" i="8" s="1"/>
  <c r="EB86" i="8"/>
  <c r="EA87" i="8"/>
  <c r="CP112" i="8"/>
  <c r="CO112" i="8"/>
  <c r="DR93" i="8"/>
  <c r="DR110" i="8" s="1"/>
  <c r="DS90" i="8"/>
  <c r="DS92" i="8" s="1"/>
  <c r="DS89" i="8"/>
  <c r="DR88" i="8"/>
  <c r="DS205" i="8"/>
  <c r="DZ88" i="8" l="1"/>
  <c r="EC86" i="8"/>
  <c r="EB87" i="8"/>
  <c r="EA89" i="8"/>
  <c r="EG10" i="8"/>
  <c r="DS93" i="8"/>
  <c r="DS110" i="8" s="1"/>
  <c r="DS88" i="8"/>
  <c r="DN100" i="8"/>
  <c r="DN101" i="8" s="1"/>
  <c r="DT89" i="8"/>
  <c r="DT88" i="8" s="1"/>
  <c r="DT90" i="8"/>
  <c r="DT205" i="8"/>
  <c r="EA88" i="8" l="1"/>
  <c r="EA107" i="8"/>
  <c r="EB90" i="8"/>
  <c r="EB92" i="8" s="1"/>
  <c r="EB89" i="8"/>
  <c r="EH10" i="8"/>
  <c r="ED86" i="8"/>
  <c r="EC87" i="8"/>
  <c r="DT92" i="8"/>
  <c r="DT93" i="8" s="1"/>
  <c r="DT110" i="8" s="1"/>
  <c r="DU90" i="8"/>
  <c r="DU89" i="8"/>
  <c r="DU88" i="8" s="1"/>
  <c r="DN102" i="8"/>
  <c r="EB93" i="8" l="1"/>
  <c r="EB107" i="8"/>
  <c r="EB88" i="8"/>
  <c r="EE86" i="8"/>
  <c r="ED87" i="8"/>
  <c r="EC90" i="8"/>
  <c r="EC92" i="8" s="1"/>
  <c r="EC89" i="8"/>
  <c r="EC107" i="8" s="1"/>
  <c r="EI10" i="8"/>
  <c r="DN103" i="8"/>
  <c r="DU92" i="8"/>
  <c r="DU93" i="8" s="1"/>
  <c r="EC93" i="8" l="1"/>
  <c r="EJ10" i="8"/>
  <c r="EC88" i="8"/>
  <c r="ED90" i="8"/>
  <c r="ED92" i="8" s="1"/>
  <c r="ED89" i="8"/>
  <c r="ED107" i="8" s="1"/>
  <c r="EF86" i="8"/>
  <c r="EE87" i="8"/>
  <c r="DV92" i="8"/>
  <c r="ED88" i="8" l="1"/>
  <c r="EG86" i="8"/>
  <c r="EF87" i="8"/>
  <c r="EE90" i="8"/>
  <c r="EE92" i="8" s="1"/>
  <c r="EE89" i="8"/>
  <c r="EE107" i="8" s="1"/>
  <c r="ED93" i="8"/>
  <c r="DO100" i="8"/>
  <c r="DO101" i="8" s="1"/>
  <c r="EE88" i="8" l="1"/>
  <c r="EE93" i="8"/>
  <c r="EF90" i="8"/>
  <c r="EF92" i="8" s="1"/>
  <c r="EF89" i="8"/>
  <c r="EF88" i="8" s="1"/>
  <c r="EH86" i="8"/>
  <c r="EG87" i="8"/>
  <c r="DO102" i="8"/>
  <c r="DY90" i="8"/>
  <c r="EF93" i="8" l="1"/>
  <c r="EF107" i="8"/>
  <c r="EG90" i="8"/>
  <c r="EG92" i="8" s="1"/>
  <c r="EG89" i="8"/>
  <c r="EI86" i="8"/>
  <c r="EH87" i="8"/>
  <c r="DZ90" i="8"/>
  <c r="DY92" i="8"/>
  <c r="DY93" i="8" s="1"/>
  <c r="DY101" i="8" s="1"/>
  <c r="DO103" i="8"/>
  <c r="EG93" i="8" l="1"/>
  <c r="EG107" i="8"/>
  <c r="EH90" i="8"/>
  <c r="EH92" i="8" s="1"/>
  <c r="EH89" i="8"/>
  <c r="EH88" i="8" s="1"/>
  <c r="EJ86" i="8"/>
  <c r="EJ87" i="8" s="1"/>
  <c r="EI87" i="8"/>
  <c r="EG88" i="8"/>
  <c r="DZ92" i="8"/>
  <c r="DZ93" i="8" s="1"/>
  <c r="EA90" i="8"/>
  <c r="EA92" i="8" s="1"/>
  <c r="EH93" i="8" l="1"/>
  <c r="EH107" i="8"/>
  <c r="EI90" i="8"/>
  <c r="EI92" i="8" s="1"/>
  <c r="EI89" i="8"/>
  <c r="EJ90" i="8"/>
  <c r="EJ92" i="8" s="1"/>
  <c r="EJ89" i="8"/>
  <c r="EJ107" i="8" s="1"/>
  <c r="DP100" i="8"/>
  <c r="DP101" i="8" s="1"/>
  <c r="EA93" i="8"/>
  <c r="EJ88" i="8" l="1"/>
  <c r="EI88" i="8"/>
  <c r="EI107" i="8"/>
  <c r="EJ93" i="8"/>
  <c r="EI93" i="8"/>
  <c r="DP102" i="8"/>
  <c r="DP103" i="8" l="1"/>
  <c r="DQ100" i="8" l="1"/>
  <c r="DQ101" i="8" s="1"/>
  <c r="DQ102" i="8" l="1"/>
  <c r="DQ103" i="8" l="1"/>
  <c r="DR100" i="8" l="1"/>
  <c r="DR101" i="8" s="1"/>
  <c r="DR102" i="8" l="1"/>
  <c r="DR103" i="8" l="1"/>
  <c r="DS100" i="8" l="1"/>
  <c r="DS101" i="8" s="1"/>
  <c r="DS102" i="8" l="1"/>
  <c r="DS103" i="8" l="1"/>
  <c r="DT100" i="8" l="1"/>
  <c r="DT101" i="8" s="1"/>
  <c r="DT102" i="8" l="1"/>
  <c r="DT103" i="8" l="1"/>
  <c r="DU100" i="8" l="1"/>
  <c r="DU101" i="8" s="1"/>
  <c r="DU102" i="8" l="1"/>
  <c r="DU103" i="8" s="1"/>
  <c r="DV100" i="8" l="1"/>
  <c r="DW100" i="8" l="1"/>
  <c r="DW101" i="8" s="1"/>
  <c r="DW103" i="8" s="1"/>
  <c r="DW104" i="8" l="1"/>
  <c r="DX100" i="8" l="1"/>
  <c r="DX101" i="8" s="1"/>
  <c r="DX103" i="8" s="1"/>
  <c r="DX104" i="8" l="1"/>
  <c r="DY102" i="8" l="1"/>
  <c r="DY103" i="8" s="1"/>
  <c r="DY122" i="8" l="1"/>
  <c r="DZ95" i="8" s="1"/>
  <c r="DZ100" i="8" s="1"/>
  <c r="DZ101" i="8" s="1"/>
  <c r="DY104" i="8"/>
  <c r="DZ102" i="8" l="1"/>
  <c r="DZ103" i="8" s="1"/>
  <c r="DZ122" i="8" l="1"/>
  <c r="EA95" i="8" s="1"/>
  <c r="EA100" i="8" s="1"/>
  <c r="EA101" i="8" s="1"/>
  <c r="DZ104" i="8"/>
  <c r="EA102" i="8" l="1"/>
  <c r="EA103" i="8" s="1"/>
  <c r="EA122" i="8" l="1"/>
  <c r="EA104" i="8"/>
  <c r="EB95" i="8" l="1"/>
  <c r="EB100" i="8" s="1"/>
  <c r="EB101" i="8" s="1"/>
  <c r="EB102" i="8" s="1"/>
  <c r="EB103" i="8" s="1"/>
  <c r="EB104" i="8" l="1"/>
  <c r="EB122" i="8"/>
  <c r="EC95" i="8" l="1"/>
  <c r="EC100" i="8" s="1"/>
  <c r="EC101" i="8" s="1"/>
  <c r="EC102" i="8" s="1"/>
  <c r="EC103" i="8" s="1"/>
  <c r="EC104" i="8" l="1"/>
  <c r="EC122" i="8"/>
  <c r="ED95" i="8" l="1"/>
  <c r="ED100" i="8" s="1"/>
  <c r="ED101" i="8" s="1"/>
  <c r="ED102" i="8" s="1"/>
  <c r="ED103" i="8" s="1"/>
  <c r="ED104" i="8" l="1"/>
  <c r="ED122" i="8"/>
  <c r="EE95" i="8" l="1"/>
  <c r="EE100" i="8" s="1"/>
  <c r="EE101" i="8" s="1"/>
  <c r="EE102" i="8" s="1"/>
  <c r="EE103" i="8" s="1"/>
  <c r="EE122" i="8" s="1"/>
  <c r="EF95" i="8" l="1"/>
  <c r="EF100" i="8" s="1"/>
  <c r="EF101" i="8" s="1"/>
  <c r="EF102" i="8" s="1"/>
  <c r="EF103" i="8" s="1"/>
  <c r="EF104" i="8" s="1"/>
  <c r="EE104" i="8"/>
  <c r="EF122" i="8" l="1"/>
  <c r="EG95" i="8" l="1"/>
  <c r="EG100" i="8" s="1"/>
  <c r="EG101" i="8" s="1"/>
  <c r="EG102" i="8" s="1"/>
  <c r="EG103" i="8" s="1"/>
  <c r="EG104" i="8" l="1"/>
  <c r="EG122" i="8"/>
  <c r="EH95" i="8" l="1"/>
  <c r="EH100" i="8" s="1"/>
  <c r="EH101" i="8" s="1"/>
  <c r="EH102" i="8" s="1"/>
  <c r="EH103" i="8" s="1"/>
  <c r="EH104" i="8" s="1"/>
  <c r="EH122" i="8" l="1"/>
  <c r="EI95" i="8" l="1"/>
  <c r="EI100" i="8" s="1"/>
  <c r="EI101" i="8" s="1"/>
  <c r="EI102" i="8" s="1"/>
  <c r="EI103" i="8" s="1"/>
  <c r="EI104" i="8" s="1"/>
  <c r="EI122" i="8" l="1"/>
  <c r="EJ95" i="8" l="1"/>
  <c r="EJ100" i="8" s="1"/>
  <c r="EJ101" i="8" s="1"/>
  <c r="EJ102" i="8" l="1"/>
  <c r="EJ103" i="8" s="1"/>
  <c r="EK103" i="8" l="1"/>
  <c r="EL103" i="8" s="1"/>
  <c r="EM103" i="8" s="1"/>
  <c r="EN103" i="8" s="1"/>
  <c r="EO103" i="8" s="1"/>
  <c r="EP103" i="8" s="1"/>
  <c r="EQ103" i="8" s="1"/>
  <c r="ER103" i="8" s="1"/>
  <c r="ES103" i="8" s="1"/>
  <c r="ET103" i="8" s="1"/>
  <c r="EU103" i="8" s="1"/>
  <c r="EV103" i="8" s="1"/>
  <c r="EW103" i="8" s="1"/>
  <c r="EX103" i="8" s="1"/>
  <c r="EY103" i="8" s="1"/>
  <c r="EZ103" i="8" s="1"/>
  <c r="FA103" i="8" s="1"/>
  <c r="FB103" i="8" s="1"/>
  <c r="FC103" i="8" s="1"/>
  <c r="FD103" i="8" s="1"/>
  <c r="FE103" i="8" s="1"/>
  <c r="FF103" i="8" s="1"/>
  <c r="FG103" i="8" s="1"/>
  <c r="FH103" i="8" s="1"/>
  <c r="FI103" i="8" s="1"/>
  <c r="FJ103" i="8" s="1"/>
  <c r="FK103" i="8" s="1"/>
  <c r="FL103" i="8" s="1"/>
  <c r="FM103" i="8" s="1"/>
  <c r="FN103" i="8" s="1"/>
  <c r="FO103" i="8" s="1"/>
  <c r="FP103" i="8" s="1"/>
  <c r="FQ103" i="8" s="1"/>
  <c r="FR103" i="8" s="1"/>
  <c r="FS103" i="8" s="1"/>
  <c r="FT103" i="8" s="1"/>
  <c r="FU103" i="8" s="1"/>
  <c r="FV103" i="8" s="1"/>
  <c r="FW103" i="8" s="1"/>
  <c r="FX103" i="8" s="1"/>
  <c r="FY103" i="8" s="1"/>
  <c r="FZ103" i="8" s="1"/>
  <c r="GA103" i="8" s="1"/>
  <c r="GB103" i="8" s="1"/>
  <c r="GC103" i="8" s="1"/>
  <c r="GD103" i="8" s="1"/>
  <c r="GE103" i="8" s="1"/>
  <c r="GF103" i="8" s="1"/>
  <c r="GG103" i="8" s="1"/>
  <c r="GH103" i="8" s="1"/>
  <c r="GI103" i="8" s="1"/>
  <c r="GJ103" i="8" s="1"/>
  <c r="GK103" i="8" s="1"/>
  <c r="GL103" i="8" s="1"/>
  <c r="GM103" i="8" s="1"/>
  <c r="GN103" i="8" s="1"/>
  <c r="GO103" i="8" s="1"/>
  <c r="GP103" i="8" s="1"/>
  <c r="GQ103" i="8" s="1"/>
  <c r="GR103" i="8" s="1"/>
  <c r="GS103" i="8" s="1"/>
  <c r="GT103" i="8" s="1"/>
  <c r="GU103" i="8" s="1"/>
  <c r="GV103" i="8" s="1"/>
  <c r="GW103" i="8" s="1"/>
  <c r="GX103" i="8" s="1"/>
  <c r="GY103" i="8" s="1"/>
  <c r="GZ103" i="8" s="1"/>
  <c r="HA103" i="8" s="1"/>
  <c r="EJ122" i="8"/>
  <c r="EJ104" i="8"/>
  <c r="HB103" i="8" l="1"/>
  <c r="HC103" i="8" s="1"/>
  <c r="HD103" i="8" l="1"/>
  <c r="HE103" i="8" s="1"/>
  <c r="HF103" i="8" s="1"/>
  <c r="HG103" i="8" s="1"/>
  <c r="HH103" i="8" s="1"/>
  <c r="HI103" i="8" s="1"/>
  <c r="HJ103" i="8" s="1"/>
  <c r="HK103" i="8" s="1"/>
  <c r="HL103" i="8" s="1"/>
  <c r="HM103" i="8" s="1"/>
  <c r="HN103" i="8" s="1"/>
  <c r="HO103" i="8" s="1"/>
  <c r="HP103" i="8" s="1"/>
  <c r="HQ103" i="8" s="1"/>
  <c r="HR103" i="8" s="1"/>
  <c r="HS103" i="8" s="1"/>
  <c r="HT103" i="8" s="1"/>
  <c r="HU103" i="8" s="1"/>
  <c r="HV103" i="8" s="1"/>
  <c r="HW103" i="8" s="1"/>
  <c r="HX103" i="8" s="1"/>
  <c r="HY103" i="8" s="1"/>
  <c r="HZ103" i="8" s="1"/>
  <c r="IA103" i="8" s="1"/>
  <c r="IB103" i="8" s="1"/>
  <c r="IC103" i="8" s="1"/>
  <c r="ID103" i="8" s="1"/>
  <c r="IE103" i="8" s="1"/>
  <c r="IF103" i="8" s="1"/>
  <c r="IG103" i="8" s="1"/>
  <c r="IH103" i="8" s="1"/>
  <c r="II103" i="8" s="1"/>
  <c r="IJ103" i="8" s="1"/>
  <c r="IK103" i="8" s="1"/>
  <c r="IL103" i="8" s="1"/>
  <c r="IM103" i="8" s="1"/>
  <c r="IN103" i="8" s="1"/>
  <c r="IO103" i="8" s="1"/>
  <c r="IP103" i="8" s="1"/>
  <c r="EM110" i="8"/>
  <c r="EM111" i="8" s="1"/>
  <c r="DV93" i="8"/>
  <c r="DV101" i="8" s="1"/>
  <c r="DV103" i="8" s="1"/>
  <c r="DV104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 - Andre</author>
  </authors>
  <commentList>
    <comment ref="E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Declines from 60% in '09 to 50% in '14. Revised in 12/2007.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tc={EA2654BB-4EA3-47B3-B6FC-17B457A550FF}</author>
    <author>tc={9AC6E709-089E-411C-99CB-CA664F38A07B}</author>
    <author>tc={E2196511-2B33-45B8-B252-29F03CA13909}</author>
    <author>tc={5F00E8E2-DB6B-4E10-97B7-BC967AF58539}</author>
    <author>Martin Shkreli</author>
    <author>tc={5FA60626-5639-4AE5-9365-A902F10010B3}</author>
    <author>MSMB</author>
    <author>MSMB - Andre</author>
    <author>tc={1DBC5D47-B262-4F0A-963C-13D294E7331F}</author>
    <author>tc={743FD384-0E35-44B2-981D-8EFF98B32E47}</author>
    <author>Lane Nussbaum</author>
    <author>Martin</author>
    <author>Bloomberg</author>
    <author xml:space="preserve"> </author>
    <author>mshkreli</author>
    <author>tc={A29B3FF7-0F38-41FD-8B90-13892A472691}</author>
    <author>James A. Kelly</author>
    <author>Authorized User</author>
    <author>RBC</author>
    <author>tc={C1BD413A-99FF-41DF-937A-88EF8D616602}</author>
    <author>tc={F4D29010-B63C-4B58-B2E6-142C51012576}</author>
    <author>tc={7821796D-9EB0-4DFB-8766-A9582AD4F077}</author>
    <author>tc={99E8A869-9A70-49E7-AF36-9A3825C38124}</author>
    <author>tc={140DB855-F5DD-4991-9A54-36A299C8D9FE}</author>
    <author>waterg</author>
  </authors>
  <commentList>
    <comment ref="CS3" authorId="0" shapeId="0" xr:uid="{EA2654BB-4EA3-47B3-B6FC-17B457A550FF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Growth in early stage indications</t>
      </text>
    </comment>
    <comment ref="DO4" authorId="1" shapeId="0" xr:uid="{9AC6E709-089E-411C-99CB-CA664F38A07B}">
      <text>
        <t>[Threaded comment]
Your version of Excel allows you to read this threaded comment; however, any edits to it will get removed if the file is opened in a newer version of Excel. Learn more: https://go.microsoft.com/fwlink/?linkid=870924
Comment:
    12/16/14 approval for AZN</t>
      </text>
    </comment>
    <comment ref="DZ4" authorId="2" shapeId="0" xr:uid="{E2196511-2B33-45B8-B252-29F03CA13909}">
      <text>
        <t>[Threaded comment]
Your version of Excel allows you to read this threaded comment; however, any edits to it will get removed if the file is opened in a newer version of Excel. Learn more: https://go.microsoft.com/fwlink/?linkid=870924
Comment:
    Litigation ongoing, may settle for 26-27?</t>
      </text>
    </comment>
    <comment ref="CS9" authorId="3" shapeId="0" xr:uid="{5F00E8E2-DB6B-4E10-97B7-BC967AF58539}">
      <text>
        <t>[Threaded comment]
Your version of Excel allows you to read this threaded comment; however, any edits to it will get removed if the file is opened in a newer version of Excel. Learn more: https://go.microsoft.com/fwlink/?linkid=870924
Comment:
    Bad China quarter, double-digit growth in almost every other country</t>
      </text>
    </comment>
    <comment ref="DI9" authorId="4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1.4-1.6 was suspended on Q2 call</t>
        </r>
      </text>
    </comment>
    <comment ref="DY9" authorId="5" shapeId="0" xr:uid="{5FA60626-5639-4AE5-9365-A902F10010B3}">
      <text>
        <t>[Threaded comment]
Your version of Excel allows you to read this threaded comment; however, any edits to it will get removed if the file is opened in a newer version of Excel. Learn more: https://go.microsoft.com/fwlink/?linkid=870924
Comment:
    2.0-3.0B China</t>
      </text>
    </comment>
    <comment ref="AM12" authorId="6" shapeId="0" xr:uid="{00000000-0006-0000-03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Inventory build benefit</t>
        </r>
      </text>
    </comment>
    <comment ref="AL17" authorId="7" shapeId="0" xr:uid="{00000000-0006-0000-0300-00000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Still 91% US</t>
        </r>
      </text>
    </comment>
    <comment ref="DJ17" authorId="7" shapeId="0" xr:uid="{00000000-0006-0000-0300-00000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exited year with 91% US</t>
        </r>
      </text>
    </comment>
    <comment ref="DZ18" authorId="4" shapeId="0" xr:uid="{250CC160-02E8-432C-A7B8-88AE4769DE80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JNJ agreement ends</t>
        </r>
      </text>
    </comment>
    <comment ref="BR19" authorId="8" shapeId="0" xr:uid="{1DBC5D47-B262-4F0A-963C-13D294E7331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11/08/2017</t>
      </text>
    </comment>
    <comment ref="AL22" authorId="6" shapeId="0" xr:uid="{00000000-0006-0000-03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635 total 3+3</t>
        </r>
      </text>
    </comment>
    <comment ref="DZ22" authorId="4" shapeId="0" xr:uid="{C0F41FA4-EC30-4643-A7C2-18D98DC0DB35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JNJ agreement ends</t>
        </r>
      </text>
    </comment>
    <comment ref="CS31" authorId="9" shapeId="0" xr:uid="{743FD384-0E35-44B2-981D-8EFF98B32E4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in EU</t>
      </text>
    </comment>
    <comment ref="AL34" authorId="6" shapeId="0" xr:uid="{00000000-0006-0000-03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292 non-gaap 3+3</t>
        </r>
      </text>
    </comment>
    <comment ref="DC35" authorId="10" shapeId="0" xr:uid="{00000000-0006-0000-0300-000013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5443</t>
        </r>
      </text>
    </comment>
    <comment ref="DD35" authorId="10" shapeId="0" xr:uid="{00000000-0006-0000-0300-000014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5011</t>
        </r>
      </text>
    </comment>
    <comment ref="AL37" authorId="6" shapeId="0" xr:uid="{00000000-0006-0000-03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155 total 3+3 non-gaap</t>
        </r>
      </text>
    </comment>
    <comment ref="AM37" authorId="6" shapeId="0" xr:uid="{00000000-0006-0000-0300-00001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Up 9% ex-US!</t>
        </r>
      </text>
    </comment>
    <comment ref="DJ37" authorId="6" shapeId="0" xr:uid="{00000000-0006-0000-0300-00001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30MS expired December 2009</t>
        </r>
      </text>
    </comment>
    <comment ref="AL39" authorId="6" shapeId="0" xr:uid="{00000000-0006-0000-0300-00001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216 total 3+3 non-gaap</t>
        </r>
      </text>
    </comment>
    <comment ref="AL41" authorId="6" shapeId="0" xr:uid="{00000000-0006-0000-03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149 non-gaap 3+3</t>
        </r>
      </text>
    </comment>
    <comment ref="AL45" authorId="6" shapeId="0" xr:uid="{00000000-0006-0000-0300-00000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135 non-gaap total 3+3</t>
        </r>
      </text>
    </comment>
    <comment ref="DI47" authorId="4" shapeId="0" xr:uid="{00000000-0006-0000-03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1.4-1.7 was suspended on Q2 call</t>
        </r>
      </text>
    </comment>
    <comment ref="AL50" authorId="6" shapeId="0" xr:uid="{00000000-0006-0000-03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614 total 3+3 non-gaap</t>
        </r>
      </text>
    </comment>
    <comment ref="AL51" authorId="6" shapeId="0" xr:uid="{00000000-0006-0000-03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577 3+3 total non-gaap</t>
        </r>
      </text>
    </comment>
    <comment ref="AL53" authorId="6" shapeId="0" xr:uid="{00000000-0006-0000-03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286 total 3+3 non-gaap</t>
        </r>
      </text>
    </comment>
    <comment ref="DJ53" authorId="11" shapeId="0" xr:uid="{00000000-0006-0000-03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ANDA submitted 8/09</t>
        </r>
      </text>
    </comment>
    <comment ref="DL53" authorId="11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30-mo stay expires</t>
        </r>
      </text>
    </comment>
    <comment ref="AM54" authorId="6" shapeId="0" xr:uid="{00000000-0006-0000-03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 generics began</t>
        </r>
      </text>
    </comment>
    <comment ref="AN54" authorId="7" shapeId="0" xr:uid="{00000000-0006-0000-0300-00000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Cozaar US generics began in April</t>
        </r>
      </text>
    </comment>
    <comment ref="DI54" authorId="4" shapeId="0" xr:uid="{00000000-0006-0000-03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3.5-3.7 was suspended on Q2 call</t>
        </r>
      </text>
    </comment>
    <comment ref="AL56" authorId="6" shapeId="0" xr:uid="{00000000-0006-0000-0300-00001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60m non-GAAP 3+3</t>
        </r>
      </text>
    </comment>
    <comment ref="Z57" authorId="12" shapeId="0" xr:uid="{00000000-0006-0000-0300-00001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generic 12/19</t>
        </r>
      </text>
    </comment>
    <comment ref="AA57" authorId="12" shapeId="0" xr:uid="{00000000-0006-0000-0300-00001B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80% of sales</t>
        </r>
      </text>
    </comment>
    <comment ref="AL58" authorId="6" shapeId="0" xr:uid="{00000000-0006-0000-0300-00001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 total non-GAAP 3+3</t>
        </r>
      </text>
    </comment>
    <comment ref="AL60" authorId="6" shapeId="0" xr:uid="{00000000-0006-0000-0300-00001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 non-gaap 3+3</t>
        </r>
      </text>
    </comment>
    <comment ref="DI62" authorId="4" shapeId="0" xr:uid="{00000000-0006-0000-0300-00001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4.4-4.6 was suspended on Q2 call</t>
        </r>
      </text>
    </comment>
    <comment ref="DJ62" authorId="13" shapeId="0" xr:uid="{00000000-0006-0000-0300-00001F000000}">
      <text>
        <r>
          <rPr>
            <sz val="8"/>
            <color indexed="81"/>
            <rFont val="Tahoma"/>
            <family val="2"/>
          </rPr>
          <t>Citigroup 4.65</t>
        </r>
      </text>
    </comment>
    <comment ref="DK62" authorId="13" shapeId="0" xr:uid="{00000000-0006-0000-0300-000020000000}">
      <text>
        <r>
          <rPr>
            <sz val="8"/>
            <color indexed="81"/>
            <rFont val="Tahoma"/>
            <family val="2"/>
          </rPr>
          <t>Citigroup 5.02bn
10/09: -2% y/y in US (IMS)</t>
        </r>
      </text>
    </comment>
    <comment ref="DL62" authorId="13" shapeId="0" xr:uid="{00000000-0006-0000-0300-000021000000}">
      <text>
        <r>
          <rPr>
            <sz val="8"/>
            <color indexed="81"/>
            <rFont val="Tahoma"/>
            <family val="2"/>
          </rPr>
          <t>Citigroup 5.4bn</t>
        </r>
      </text>
    </comment>
    <comment ref="AL63" authorId="6" shapeId="0" xr:uid="{00000000-0006-0000-0300-00002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109 non-gaap 3+3</t>
        </r>
      </text>
    </comment>
    <comment ref="AL65" authorId="6" shapeId="0" xr:uid="{00000000-0006-0000-0300-00002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72 total non-gaap 3+3</t>
        </r>
      </text>
    </comment>
    <comment ref="AL66" authorId="6" shapeId="0" xr:uid="{00000000-0006-0000-0300-00002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70m non-gaap 3+3</t>
        </r>
      </text>
    </comment>
    <comment ref="AL67" authorId="6" shapeId="0" xr:uid="{00000000-0006-0000-0300-00002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56m non-gaap 3+3</t>
        </r>
      </text>
    </comment>
    <comment ref="AL68" authorId="6" shapeId="0" xr:uid="{00000000-0006-0000-0300-00002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58 total 3+3 non-gaap</t>
        </r>
      </text>
    </comment>
    <comment ref="AL69" authorId="6" shapeId="0" xr:uid="{00000000-0006-0000-0300-00002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54m total non-gaap 3+3</t>
        </r>
      </text>
    </comment>
    <comment ref="AL74" authorId="6" shapeId="0" xr:uid="{00000000-0006-0000-0300-00002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 non-gaap 3+3</t>
        </r>
      </text>
    </comment>
    <comment ref="DF75" authorId="14" shapeId="0" xr:uid="{00000000-0006-0000-0300-00002B000000}">
      <text>
        <r>
          <rPr>
            <b/>
            <sz val="8"/>
            <color indexed="81"/>
            <rFont val="Tahoma"/>
            <family val="2"/>
          </rPr>
          <t>mshkreli:</t>
        </r>
        <r>
          <rPr>
            <sz val="8"/>
            <color indexed="81"/>
            <rFont val="Tahoma"/>
            <family val="2"/>
          </rPr>
          <t xml:space="preserve">
sold to guilford and then divested?</t>
        </r>
      </text>
    </comment>
    <comment ref="AL77" authorId="6" shapeId="0" xr:uid="{00000000-0006-0000-0300-00002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759 non-gaap 3+3</t>
        </r>
      </text>
    </comment>
    <comment ref="AL78" authorId="6" shapeId="0" xr:uid="{00000000-0006-0000-0300-00002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232 non-gaap 3+3</t>
        </r>
      </text>
    </comment>
    <comment ref="AL86" authorId="6" shapeId="0" xr:uid="{00000000-0006-0000-0300-00002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1186 other human health total non-gaap 3+3
759 animal health total non-gaap 3+3
420 other revenue total non-gaap 3+3</t>
        </r>
      </text>
    </comment>
    <comment ref="CC86" authorId="15" shapeId="0" xr:uid="{A29B3FF7-0F38-41FD-8B90-13892A4726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1,197</t>
      </text>
    </comment>
    <comment ref="AL87" authorId="7" shapeId="0" xr:uid="{00000000-0006-0000-0300-00003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11/3/09 SGP operations
published sales of 10.1bn.
FX +1% favorable.</t>
        </r>
      </text>
    </comment>
    <comment ref="AM87" authorId="7" shapeId="0" xr:uid="{00000000-0006-0000-0300-00003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35m hit from reform</t>
        </r>
      </text>
    </comment>
    <comment ref="DJ87" authorId="7" shapeId="0" xr:uid="{00000000-0006-0000-03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FX -2% hit</t>
        </r>
      </text>
    </comment>
    <comment ref="DK87" authorId="7" shapeId="0" xr:uid="{00000000-0006-0000-0300-00003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170m hit from reform
Q1: 45.4-46.4bn</t>
        </r>
      </text>
    </comment>
    <comment ref="DN87" authorId="7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44.8bn</t>
        </r>
      </text>
    </comment>
    <comment ref="DO87" authorId="7" shapeId="0" xr:uid="{00000000-0006-0000-0300-00003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45.0bn</t>
        </r>
      </text>
    </comment>
    <comment ref="Q91" authorId="16" shapeId="0" xr:uid="{00000000-0006-0000-0300-000035000000}">
      <text>
        <r>
          <rPr>
            <b/>
            <sz val="8"/>
            <color indexed="81"/>
            <rFont val="Tahoma"/>
            <family val="2"/>
          </rPr>
          <t>James A. Kelly:</t>
        </r>
        <r>
          <rPr>
            <sz val="8"/>
            <color indexed="81"/>
            <rFont val="Tahoma"/>
            <family val="2"/>
          </rPr>
          <t xml:space="preserve">
Includes $35mm payment to DOV Pharma</t>
        </r>
      </text>
    </comment>
    <comment ref="AC91" authorId="12" shapeId="0" xr:uid="{00000000-0006-0000-0300-000036000000}">
      <text>
        <r>
          <rPr>
            <sz val="8"/>
            <color indexed="81"/>
            <rFont val="Tahoma"/>
            <family val="2"/>
          </rPr>
          <t>ex Novocardia</t>
        </r>
      </text>
    </comment>
    <comment ref="DK91" authorId="6" shapeId="0" xr:uid="{00000000-0006-0000-0300-00003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8.3-8.7</t>
        </r>
      </text>
    </comment>
    <comment ref="K99" authorId="17" shapeId="0" xr:uid="{00000000-0006-0000-0300-000038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$47.8 is Other net.
$90.4 is acquired R&amp;D from Banyu.</t>
        </r>
      </text>
    </comment>
    <comment ref="O99" authorId="17" shapeId="0" xr:uid="{00000000-0006-0000-0300-000039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317 rfom Management of Banyu investment portfolio (financial asset sales)</t>
        </r>
      </text>
    </comment>
    <comment ref="AE102" authorId="4" shapeId="0" xr:uid="{00000000-0006-0000-0300-00003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estimated</t>
        </r>
      </text>
    </comment>
    <comment ref="DK102" authorId="6" shapeId="0" xr:uid="{00000000-0006-0000-0300-00003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22-24%</t>
        </r>
      </text>
    </comment>
    <comment ref="X104" authorId="12" shapeId="0" xr:uid="{00000000-0006-0000-0300-00003C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guidane 0.62-0.66</t>
        </r>
      </text>
    </comment>
    <comment ref="AL104" authorId="7" shapeId="0" xr:uid="{00000000-0006-0000-0300-00003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0.79 published non-GAAP</t>
        </r>
      </text>
    </comment>
    <comment ref="DI104" authorId="18" shapeId="0" xr:uid="{00000000-0006-0000-0300-00003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Q208: withdraws 3.28-3.38 guidance</t>
        </r>
      </text>
    </comment>
    <comment ref="DJ104" authorId="7" shapeId="0" xr:uid="{00000000-0006-0000-0300-00003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3.25 non-gaap</t>
        </r>
      </text>
    </comment>
    <comment ref="DK104" authorId="11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Q1: Non-GAAP: 3.27-3.41
CS: 3.66
</t>
        </r>
      </text>
    </comment>
    <comment ref="DL104" authorId="11" shapeId="0" xr:uid="{00000000-0006-0000-0300-00004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3.64-3.76, withdrawn at Q410</t>
        </r>
      </text>
    </comment>
    <comment ref="DN104" authorId="7" shapeId="0" xr:uid="{00000000-0006-0000-0300-00004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HSD compound annual growth rate from 2009-2013
DB at 4.16</t>
        </r>
      </text>
    </comment>
    <comment ref="DO104" authorId="7" shapeId="0" xr:uid="{00000000-0006-0000-0300-00004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4.29 EPS</t>
        </r>
      </text>
    </comment>
    <comment ref="DI107" authorId="4" shapeId="0" xr:uid="{00000000-0006-0000-0300-00004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77.5-78.5 was suspended on Q2 call</t>
        </r>
      </text>
    </comment>
    <comment ref="DJ107" authorId="12" shapeId="0" xr:uid="{00000000-0006-0000-0300-000047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77-78% guidance</t>
        </r>
      </text>
    </comment>
    <comment ref="CM117" authorId="19" shapeId="0" xr:uid="{C1BD413A-99FF-41DF-937A-88EF8D616602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N117" authorId="20" shapeId="0" xr:uid="{F4D29010-B63C-4B58-B2E6-142C51012576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O117" authorId="21" shapeId="0" xr:uid="{7821796D-9EB0-4DFB-8766-A9582AD4F077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P117" authorId="22" shapeId="0" xr:uid="{99E8A869-9A70-49E7-AF36-9A3825C38124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S118" authorId="23" shapeId="0" xr:uid="{140DB855-F5DD-4991-9A54-36A299C8D9FE}">
      <text>
        <t>[Threaded comment]
Your version of Excel allows you to read this threaded comment; however, any edits to it will get removed if the file is opened in a newer version of Excel. Learn more: https://go.microsoft.com/fwlink/?linkid=870924
Comment:
    21% cc</t>
      </text>
    </comment>
    <comment ref="AH168" authorId="6" shapeId="0" xr:uid="{00000000-0006-0000-0300-00004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6032 GAAP</t>
        </r>
      </text>
    </comment>
    <comment ref="AL168" authorId="6" shapeId="0" xr:uid="{00000000-0006-0000-0300-00004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10094 GAAP
12216 3+3 non-gaap</t>
        </r>
      </text>
    </comment>
    <comment ref="B185" authorId="24" shapeId="0" xr:uid="{00000000-0006-0000-0300-000048000000}">
      <text>
        <r>
          <rPr>
            <b/>
            <sz val="8"/>
            <color indexed="81"/>
            <rFont val="Tahoma"/>
            <family val="2"/>
          </rPr>
          <t xml:space="preserve">Estimate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86" authorId="24" shapeId="0" xr:uid="{00000000-0006-0000-0300-000049000000}">
      <text>
        <r>
          <rPr>
            <b/>
            <sz val="8"/>
            <color indexed="81"/>
            <rFont val="Tahoma"/>
            <family val="2"/>
          </rPr>
          <t xml:space="preserve">Estimate
</t>
        </r>
      </text>
    </comment>
    <comment ref="N188" authorId="24" shapeId="0" xr:uid="{00000000-0006-0000-0300-00004A000000}">
      <text>
        <r>
          <rPr>
            <b/>
            <sz val="8"/>
            <color indexed="81"/>
            <rFont val="Tahoma"/>
            <family val="2"/>
          </rPr>
          <t>waterg:</t>
        </r>
        <r>
          <rPr>
            <sz val="8"/>
            <color indexed="81"/>
            <rFont val="Tahoma"/>
            <family val="2"/>
          </rPr>
          <t xml:space="preserve">
This is an estimate</t>
        </r>
      </text>
    </comment>
  </commentList>
</comments>
</file>

<file path=xl/sharedStrings.xml><?xml version="1.0" encoding="utf-8"?>
<sst xmlns="http://schemas.openxmlformats.org/spreadsheetml/2006/main" count="1543" uniqueCount="1132">
  <si>
    <t>CINV</t>
  </si>
  <si>
    <t>Cancer</t>
  </si>
  <si>
    <t>Name</t>
  </si>
  <si>
    <t>Indication</t>
  </si>
  <si>
    <t>Rights</t>
  </si>
  <si>
    <t>Competition</t>
  </si>
  <si>
    <t>IP</t>
  </si>
  <si>
    <t>Phase</t>
  </si>
  <si>
    <t>Main</t>
  </si>
  <si>
    <t>Zocor</t>
  </si>
  <si>
    <t>Singulair</t>
  </si>
  <si>
    <t>Fosamax</t>
  </si>
  <si>
    <t>Type 2 Diabetes</t>
  </si>
  <si>
    <t>Gardasil</t>
  </si>
  <si>
    <t>HPV</t>
  </si>
  <si>
    <t>Osteoporosis</t>
  </si>
  <si>
    <t>Proquad</t>
  </si>
  <si>
    <t>MMR+chicken pox</t>
  </si>
  <si>
    <t>Rotateq</t>
  </si>
  <si>
    <t>MRK covers HPV 16, 18, 6 and 11</t>
  </si>
  <si>
    <t>GSK covers HPV 16 and 18 (cervical cancer)</t>
  </si>
  <si>
    <t>GSK using MPL which may result in longer duration of immunity.</t>
  </si>
  <si>
    <t>Dr. Mahmoud - head of MRK vaccine</t>
  </si>
  <si>
    <t>GSK vaccine meeting: 6/30/2005</t>
  </si>
  <si>
    <t>Mahmoud says FDA will require: pathology endpoint of reducing CIN2/3 lesions as well as infection rates.</t>
  </si>
  <si>
    <t>Morgan has datapoint that says FDA would require 7-month antibody titres relative to natural infection.</t>
  </si>
  <si>
    <t>Pricing is often thought to be near Prevnar</t>
  </si>
  <si>
    <t>However, MPL introduces uncertainty in the filing strategy.</t>
  </si>
  <si>
    <t>FUTURE II - quadravalent (Gardasil) 3-dose test with 4-year followup, n=11000</t>
  </si>
  <si>
    <t>Aliphatic acids</t>
  </si>
  <si>
    <t>phenylbutyrate</t>
  </si>
  <si>
    <t>penylacetate</t>
  </si>
  <si>
    <t>pivanex</t>
  </si>
  <si>
    <t>valproic acid</t>
  </si>
  <si>
    <t>cyclic peptides</t>
  </si>
  <si>
    <t>depsipeptide</t>
  </si>
  <si>
    <t>hydroximates</t>
  </si>
  <si>
    <t>saha</t>
  </si>
  <si>
    <t>pyroxamide</t>
  </si>
  <si>
    <t>cbha</t>
  </si>
  <si>
    <t>laq824</t>
  </si>
  <si>
    <t>lbh589a</t>
  </si>
  <si>
    <t>pxd-101</t>
  </si>
  <si>
    <t>benzamides</t>
  </si>
  <si>
    <t>ms-275</t>
  </si>
  <si>
    <t>ci-994</t>
  </si>
  <si>
    <t>histone deacetylase inhibitors</t>
  </si>
  <si>
    <t>SAHA IV - 2 hr infusion 2-15d - DLT: thrombocytopenia, neutropenia - T1/2 = 30 min - 1 PR in Hodgkins</t>
  </si>
  <si>
    <t>SAHA PO - qd/bid - DLT fatigue, N/V, dehydration - T1/2 ~ 2 hrs - 1 CR DLBCL, 5 PR</t>
  </si>
  <si>
    <t>HDAC is a TF with a subset of genes incl. p21. Upstream is SAHA which signals chromatin condensation and open chromatin/transcription</t>
  </si>
  <si>
    <t>blocking results in growth inhibition, apoptosis and differentation</t>
  </si>
  <si>
    <t>(pnas, nature sources)</t>
  </si>
  <si>
    <t>SAHA in relapsed/refractory CTCL, n=33</t>
  </si>
  <si>
    <t>3 different oral dosing schedules, 8 patients with benefit. 31% PR, 54% "evidence of benefit" at 400mg</t>
  </si>
  <si>
    <t>government purchases 57% of all vaccines</t>
  </si>
  <si>
    <t>2003</t>
  </si>
  <si>
    <t>2004</t>
  </si>
  <si>
    <t>2005E</t>
  </si>
  <si>
    <t>2006E</t>
  </si>
  <si>
    <t>2007E</t>
  </si>
  <si>
    <t>2008E</t>
  </si>
  <si>
    <t>2009E</t>
  </si>
  <si>
    <t>Operating Expenses</t>
  </si>
  <si>
    <t>Operating Income</t>
  </si>
  <si>
    <t>Interest Income</t>
  </si>
  <si>
    <t>Interest Expense</t>
  </si>
  <si>
    <t>Foreign Exchange</t>
  </si>
  <si>
    <t>Minority Interests</t>
  </si>
  <si>
    <t>Equity (Income)/Loss</t>
  </si>
  <si>
    <t xml:space="preserve">Merck/Schering-Plough JV </t>
  </si>
  <si>
    <t>Other, net</t>
  </si>
  <si>
    <t>Total Other Deductions</t>
  </si>
  <si>
    <t>Earnings Before Taxes</t>
  </si>
  <si>
    <t>Net Income</t>
  </si>
  <si>
    <t>Operating Margin</t>
  </si>
  <si>
    <t>EBT Margin</t>
  </si>
  <si>
    <t>Net Margin</t>
  </si>
  <si>
    <t>Tax Rate</t>
  </si>
  <si>
    <t>EBITDA</t>
  </si>
  <si>
    <t>Other</t>
  </si>
  <si>
    <t>Period End Shares</t>
  </si>
  <si>
    <t>Other Equity (Income)/Loss</t>
  </si>
  <si>
    <t>Other Income Statement data</t>
  </si>
  <si>
    <t>Depreciation and Amort. Quart.</t>
  </si>
  <si>
    <t>Depreciation</t>
  </si>
  <si>
    <t>Amortization</t>
  </si>
  <si>
    <t>Weighted Average Shares</t>
  </si>
  <si>
    <t>EPS Basic</t>
  </si>
  <si>
    <t>Capex</t>
  </si>
  <si>
    <t>One-time charges</t>
  </si>
  <si>
    <t xml:space="preserve">   Restructuring</t>
  </si>
  <si>
    <t xml:space="preserve">   Vioxx charges - COGS</t>
  </si>
  <si>
    <t xml:space="preserve">   Vioxx charges - SG&amp;A</t>
  </si>
  <si>
    <t xml:space="preserve">   Vioxx charges - Taxes</t>
  </si>
  <si>
    <t>SG&amp;A excluding charges</t>
  </si>
  <si>
    <t>Cost of Sales excluding charges</t>
  </si>
  <si>
    <t>Nexium</t>
  </si>
  <si>
    <t>Vioxx</t>
  </si>
  <si>
    <t>Prinivil/Prinzide</t>
  </si>
  <si>
    <t>Mevacor</t>
  </si>
  <si>
    <t>Aggrastat</t>
  </si>
  <si>
    <t>Maxalt</t>
  </si>
  <si>
    <t>Proscar</t>
  </si>
  <si>
    <t>Primaxin</t>
  </si>
  <si>
    <t>Pepcid</t>
  </si>
  <si>
    <t>Vytorin</t>
  </si>
  <si>
    <t>Cancidas</t>
  </si>
  <si>
    <t>Arcoxia</t>
  </si>
  <si>
    <t>LDL</t>
  </si>
  <si>
    <t>Niaspan 1g</t>
  </si>
  <si>
    <t>Niaspan 2g</t>
  </si>
  <si>
    <t>HDL</t>
  </si>
  <si>
    <t>Tg</t>
  </si>
  <si>
    <t>Tricor 145mg</t>
  </si>
  <si>
    <t>MK-524A</t>
  </si>
  <si>
    <t>20-25%</t>
  </si>
  <si>
    <t>25-30%</t>
  </si>
  <si>
    <t>Lipitor/CTEP</t>
  </si>
  <si>
    <t>41-60%</t>
  </si>
  <si>
    <t>53-66%</t>
  </si>
  <si>
    <t>18-31%</t>
  </si>
  <si>
    <t>58% of patients on niacin are already on a statin</t>
  </si>
  <si>
    <t>planning fixed combination with metformin. That will be filed in 2007 but will be twice daily</t>
  </si>
  <si>
    <t>MEDI</t>
  </si>
  <si>
    <t>MK-524B</t>
  </si>
  <si>
    <t>IV prodrug of Emend</t>
  </si>
  <si>
    <t>emend only had 47m in revs in 2004</t>
  </si>
  <si>
    <t>2% statins/fibrates</t>
  </si>
  <si>
    <t>Zostavax</t>
  </si>
  <si>
    <t>MMR+Varicella</t>
  </si>
  <si>
    <t>ProQuad</t>
  </si>
  <si>
    <t>MRK</t>
  </si>
  <si>
    <t>1 dose</t>
  </si>
  <si>
    <t>Meningococcal Conjugate</t>
  </si>
  <si>
    <t>Menactra</t>
  </si>
  <si>
    <t>SAN</t>
  </si>
  <si>
    <t>Tetanus, Diphtheria, Pertussis</t>
  </si>
  <si>
    <t>BOOSTRIX</t>
  </si>
  <si>
    <t>GSK</t>
  </si>
  <si>
    <t>Influenza</t>
  </si>
  <si>
    <t>FluMist</t>
  </si>
  <si>
    <t>19-20</t>
  </si>
  <si>
    <t>1-2 doses</t>
  </si>
  <si>
    <t>Pneumococcal</t>
  </si>
  <si>
    <t>Prevnar</t>
  </si>
  <si>
    <t>WYE</t>
  </si>
  <si>
    <t>4 doses</t>
  </si>
  <si>
    <t>Hep A/B</t>
  </si>
  <si>
    <t>Varivax</t>
  </si>
  <si>
    <t>2 doses</t>
  </si>
  <si>
    <t>Varicella</t>
  </si>
  <si>
    <t>Twinrix</t>
  </si>
  <si>
    <t>Hep B</t>
  </si>
  <si>
    <t>Recombivax</t>
  </si>
  <si>
    <t>adults over 60 in the pivotal</t>
  </si>
  <si>
    <t>Shingles</t>
  </si>
  <si>
    <t>150/course from csfb given tough disease and comp to varivax</t>
  </si>
  <si>
    <t>file in 2006 for CTCL. Data at ASCO</t>
  </si>
  <si>
    <t>confirmatory p2b study ongoing</t>
  </si>
  <si>
    <t>MK-634</t>
  </si>
  <si>
    <t>urinary incontinence</t>
  </si>
  <si>
    <t>MK-594</t>
  </si>
  <si>
    <t>Vasotec</t>
  </si>
  <si>
    <t>thymalidate synthase</t>
  </si>
  <si>
    <t>Vasotec/Vaseretic (EU only)</t>
  </si>
  <si>
    <t>MK-0524A</t>
  </si>
  <si>
    <t>2010E</t>
  </si>
  <si>
    <t>2011E</t>
  </si>
  <si>
    <t>100%?</t>
  </si>
  <si>
    <t>5/26/06 approval</t>
  </si>
  <si>
    <t>145-150 price</t>
  </si>
  <si>
    <t>ADA Abstracts</t>
  </si>
  <si>
    <t>556-P</t>
  </si>
  <si>
    <t>1995-PO</t>
  </si>
  <si>
    <t>24-week data showed PBO-subtracted 0.70% a1c decrease; (8% baseline)</t>
  </si>
  <si>
    <t>1996-PO</t>
  </si>
  <si>
    <t>24-week data showed PBO-subtracted 0.60% and 0.48% a1c decrease (8.1% baseline)</t>
  </si>
  <si>
    <t>24-week data showed PBO-subtracted 0.79% and 0.94% a1c decrease (8% baseline)</t>
  </si>
  <si>
    <t>Generic Name</t>
  </si>
  <si>
    <t>Brand Name</t>
  </si>
  <si>
    <t>Zolinza</t>
  </si>
  <si>
    <t>Vorinostat, suberoylanilide hydroxamic acid, SAHA</t>
  </si>
  <si>
    <t>HDAC</t>
  </si>
  <si>
    <t>MK-524A, MK-524B (fixed combo of 524A with Zocor)</t>
  </si>
  <si>
    <t>Timeline</t>
  </si>
  <si>
    <t>Class</t>
  </si>
  <si>
    <t>Feb 2010</t>
  </si>
  <si>
    <t>CTCL</t>
  </si>
  <si>
    <t>HDACs (histone deacetylase) pathway:</t>
  </si>
  <si>
    <t>other HDAC: p2 CI-994 (PFE), Pivanex (TTP), FK-228 (Gloucester), PXD-101 (CRGN/TopoTarget), LBH-589 (NVS), MS-275 (SHR), MGCD-0103 (MYG TO/PHRM)</t>
  </si>
  <si>
    <t>CTCL 1500/year - NHL</t>
  </si>
  <si>
    <t>p1 nsclc 56% PR, 22% SD in combo with carbo-tax. Also in p3 for mesothelioma, p2 for leukemia/lymphoma, breast, lung, prostate, renal, thyroid, melanoma, brain, H&amp;N</t>
  </si>
  <si>
    <t>Price</t>
  </si>
  <si>
    <t>Guidelines</t>
  </si>
  <si>
    <t xml:space="preserve">ACIP recommended females age 11-26 receive Gardasil. Also, added to VFC (vaccines for children) program. </t>
  </si>
  <si>
    <t>B of A</t>
  </si>
  <si>
    <t>Pricing</t>
  </si>
  <si>
    <t>VFC price $52/dose, 18% discount from list</t>
  </si>
  <si>
    <t>GlucoFi, Abmaxis - Q2 closing</t>
  </si>
  <si>
    <t>Q106</t>
  </si>
  <si>
    <t>Leerink notes 27% penetration at 6 months and 59% at 2 years. 43% of formulary managers note plans will cover Gardasil.</t>
  </si>
  <si>
    <t>Cowen notes 20% penetration at 12 months</t>
  </si>
  <si>
    <t>Q206</t>
  </si>
  <si>
    <t>$360/regimen - probably ~$300 realized</t>
  </si>
  <si>
    <t>Asthma, Allergic Rhinitis</t>
  </si>
  <si>
    <t>Admin</t>
  </si>
  <si>
    <t>Oral</t>
  </si>
  <si>
    <t>Mechanism</t>
  </si>
  <si>
    <t>HIV</t>
  </si>
  <si>
    <t xml:space="preserve">Integrase Inhibitor </t>
  </si>
  <si>
    <t>Clinical Trials</t>
  </si>
  <si>
    <t>p2 data showed 64-84% of patients on 518 and background therapy achieved HIV RNA &lt;400copies/mL</t>
  </si>
  <si>
    <t>p3 BENCHMRK-1 -2</t>
  </si>
  <si>
    <t>Phase II dose-ranging study</t>
  </si>
  <si>
    <t>data presented at Toronto 2006 - showed faster reduction than Sustiva</t>
  </si>
  <si>
    <t>MK-0518 + Viread or? Epivir shows 85-95% of patients had viral reduction &lt;50copies/ml vs Sustiva 92% with same agents</t>
  </si>
  <si>
    <t>Niacin</t>
  </si>
  <si>
    <t>Integrase</t>
  </si>
  <si>
    <t>Leukotriene</t>
  </si>
  <si>
    <t>Biphosphonate</t>
  </si>
  <si>
    <t>Vaccine</t>
  </si>
  <si>
    <t>Rotavirus</t>
  </si>
  <si>
    <t>MK-524A: fixed combo of niacin XR with inhibitor of niacin flush pathway (prostaglandin D2 blocker). DP-1 selective inhibitor.</t>
  </si>
  <si>
    <t>CETP</t>
  </si>
  <si>
    <t>$87,600/year. $60 per 100mg</t>
  </si>
  <si>
    <t>Market</t>
  </si>
  <si>
    <t>An indolent NHL with 1500 pts/year.</t>
  </si>
  <si>
    <t>$4.86 a day</t>
  </si>
  <si>
    <t>Dyslipidemia</t>
  </si>
  <si>
    <t>Obesity</t>
  </si>
  <si>
    <t>1% of statin patients are on niacin because of flushing. Patients still flush with -0524, just less.</t>
  </si>
  <si>
    <t>Phase II ERN+0524 vs ERN alone.</t>
  </si>
  <si>
    <t>n=272 vs 72 vs 68 placebo.</t>
  </si>
  <si>
    <t>10% had flushing days vs 35% for ERN alone and 1% for placebo. This decreased to 1%, 15% and 1% in week 8.</t>
  </si>
  <si>
    <t>CK (creatine kinase) elevation of 10x ULN was 2.6% vs 1.4% for ERN alone and 1.5% for placebo. This is a biomarker of muscle injury.</t>
  </si>
  <si>
    <t>Statin</t>
  </si>
  <si>
    <t>Approved</t>
  </si>
  <si>
    <t>Q405</t>
  </si>
  <si>
    <t>Q305</t>
  </si>
  <si>
    <t>Q205</t>
  </si>
  <si>
    <t>Q105</t>
  </si>
  <si>
    <t>Q404</t>
  </si>
  <si>
    <t>Q304</t>
  </si>
  <si>
    <t>Q204</t>
  </si>
  <si>
    <t>Q104</t>
  </si>
  <si>
    <t>Q403</t>
  </si>
  <si>
    <t>Q101</t>
  </si>
  <si>
    <t>Q201</t>
  </si>
  <si>
    <t>Q301</t>
  </si>
  <si>
    <t>Q401</t>
  </si>
  <si>
    <t>Q102</t>
  </si>
  <si>
    <t>Q202</t>
  </si>
  <si>
    <t>Q302</t>
  </si>
  <si>
    <t>Q402</t>
  </si>
  <si>
    <t>Q103</t>
  </si>
  <si>
    <t>Q203</t>
  </si>
  <si>
    <t>Q303</t>
  </si>
  <si>
    <t>US</t>
  </si>
  <si>
    <t>ExUS</t>
  </si>
  <si>
    <t>Stroke</t>
  </si>
  <si>
    <t>Fibromyalgia, Hip Fracture</t>
  </si>
  <si>
    <t>Osteoporosis, Oncology, Arthritis</t>
  </si>
  <si>
    <t>MK-533</t>
  </si>
  <si>
    <t>Q306</t>
  </si>
  <si>
    <t>Q406</t>
  </si>
  <si>
    <t>VX-680, MK-0457</t>
  </si>
  <si>
    <t>Aurora kinase inhibitor, JAK2 inhibitor (could have usage in myeloproliferative disorders)</t>
  </si>
  <si>
    <t>CML, Myeloproliferative disease</t>
  </si>
  <si>
    <t>Economics</t>
  </si>
  <si>
    <t>MRK, 15% royalty to VRTX?</t>
  </si>
  <si>
    <t>Administration</t>
  </si>
  <si>
    <t>IV</t>
  </si>
  <si>
    <t>Phase II pivotal study in CML</t>
  </si>
  <si>
    <t>n=270 with resistant CML, Ph+ ALL with BCR-ABL T315I mutation.</t>
  </si>
  <si>
    <t>Phase 1 hematologic cancers - ASH 2006</t>
  </si>
  <si>
    <t>n=44, 15 CML, 17 AML, 9 MPD, 4 ALL</t>
  </si>
  <si>
    <t xml:space="preserve">  CML patients all pretreated with Glivec and Tasigna/Sprycel</t>
  </si>
  <si>
    <t xml:space="preserve">    9 patients had T315I mutation. 8 had hematological and/or cytogenetic response. 6 patients without mutation did not respond.</t>
  </si>
  <si>
    <t xml:space="preserve">  2 patients with Ph+ ALL had responses </t>
  </si>
  <si>
    <t xml:space="preserve">  6/9 patients with MPD with V617F activating mutation in JAK2 had clinical responses</t>
  </si>
  <si>
    <t>4/5/2006: initiated p2 colorectal study</t>
  </si>
  <si>
    <t>Q2 2006: initiated p2 NSCLC study</t>
  </si>
  <si>
    <t>Phase I/II trial in MM?</t>
  </si>
  <si>
    <t>NRX</t>
  </si>
  <si>
    <t>TRX</t>
  </si>
  <si>
    <t>Januvia, Janumet, MK-0431/A</t>
  </si>
  <si>
    <t>Janumet (Januvia+metformin)</t>
  </si>
  <si>
    <t>etoricoxib</t>
  </si>
  <si>
    <t>COX-2 inhibitor</t>
  </si>
  <si>
    <t>Study hoped to evaluate the "real-world" efficacy of a COX-2 inhibitor including patients taking GI protective therapy.</t>
  </si>
  <si>
    <t>MEDAL was a pooled, pre-specified ITT analysis of 3 trials totaling n=34,701.</t>
  </si>
  <si>
    <t>Upper GI tox of Arcoxia vs diclofenac 150mg (traditional NSAID) in patients with OA and RA.</t>
  </si>
  <si>
    <t xml:space="preserve">  Some patients were taking PPIs or low-dose aspirin.</t>
  </si>
  <si>
    <t>Complicated events (perforation, obstruction, witnessed ulcer bleeding or significant bleeding) were also examined.</t>
  </si>
  <si>
    <t>Upper GI clinical events (bleeding, perforation, obstruction or ulcer) were examined.</t>
  </si>
  <si>
    <t>SS less common upper GI events with Arcoxia vs diclofenac. HR=0.69 (95% CI 0.57-0.83, p=0.0001).</t>
  </si>
  <si>
    <t>Less fewer uncomplicated GI events. HR=0.57, p&lt;0.0001.</t>
  </si>
  <si>
    <t>No change in complicated events. HR=0.91, p=0.561.</t>
  </si>
  <si>
    <t>PPIs were used for at least 75% of the study period by 40% of the patients.</t>
  </si>
  <si>
    <t>Low-dose aspiring was used for at least 75% of the study by 33% of the patients.</t>
  </si>
  <si>
    <t>98%, OSIP</t>
  </si>
  <si>
    <t>NSAIDs (aspirin, ibuprofen, etc), which increase the risk of upper GI events such as bleeding ulcers by 2-5x compared to no-NSAID therapy.</t>
  </si>
  <si>
    <t xml:space="preserve">  PPIs are commonly used concomitantly to reduce the incidence of GI events. Misoprostol is also used.</t>
  </si>
  <si>
    <t>Mean followup was 18 months.</t>
  </si>
  <si>
    <t>MEDAL Phase III Program - Lancet 2/10/2007 - Laine et al - Study completed in May 2006</t>
  </si>
  <si>
    <t>Reimbursement</t>
  </si>
  <si>
    <t>UK delay - 3/8/2007</t>
  </si>
  <si>
    <t>EU qw patent invalidated but restored 3/28/2007</t>
  </si>
  <si>
    <t>Papers</t>
  </si>
  <si>
    <t>Flogging Gardasil. Nature Biotechnology Volume 25, Number 3, Pg 261.</t>
  </si>
  <si>
    <t>Human papillomavirus (HPV) vaccine.</t>
  </si>
  <si>
    <t>Januvia (sitagliptin)</t>
  </si>
  <si>
    <t>sitagliptin</t>
  </si>
  <si>
    <t>Dosing</t>
  </si>
  <si>
    <t>qd dosing vs bid dosing for Galvus</t>
  </si>
  <si>
    <t>Fresh from the pipeline: sitagliptin. Drucker et al. Nature Reviews Drug Discovery, Volume 6, Feb 2007. 109.</t>
  </si>
  <si>
    <t>History</t>
  </si>
  <si>
    <t>Approved October 2006.</t>
  </si>
  <si>
    <t>Type 2 diabetes mellitus.</t>
  </si>
  <si>
    <t>DPP4 inhibitor. Dipeptidyl peptidase-4 inhibition potentiates endogenous peptides known as incretins.</t>
  </si>
  <si>
    <t xml:space="preserve">  Native GLP1 effectively lowers blood glucose but is rapidly degraded by DPP4. Byetta is DPP4-resistant.</t>
  </si>
  <si>
    <t xml:space="preserve">  DPP4 is a membrane-spanning cell-anchored protein expressed on many cell types. It also has a soluble form in circulation.</t>
  </si>
  <si>
    <t>Rx</t>
  </si>
  <si>
    <t>The biology of incretin mhormones. Cell Metab. 3,153-165(2006). Drucker, D.</t>
  </si>
  <si>
    <t>Therapeutic strategies based on glucagon-like peptide-1. Diabetes 53,2181-2189(2004). Deacon et al.</t>
  </si>
  <si>
    <t>Enhanced insulin secretion and improved glucose tolerance in mice lacking CD26. PNAS 97,6874-6879(2000). Marguet et al.</t>
  </si>
  <si>
    <t>Shares</t>
  </si>
  <si>
    <t>MC</t>
  </si>
  <si>
    <t>Cash</t>
  </si>
  <si>
    <t>Debt</t>
  </si>
  <si>
    <t>EV</t>
  </si>
  <si>
    <t>MK-0752</t>
  </si>
  <si>
    <t>NOTCH</t>
  </si>
  <si>
    <t>III</t>
  </si>
  <si>
    <t>Isentress, fka MK-0518</t>
  </si>
  <si>
    <t>ARB</t>
  </si>
  <si>
    <t>Hypertension</t>
  </si>
  <si>
    <t>Isentress (raltegravir)</t>
  </si>
  <si>
    <t>Niacin XR</t>
  </si>
  <si>
    <t>Cordaptive (MK-524A)</t>
  </si>
  <si>
    <t>Niacin XR/Zocor</t>
  </si>
  <si>
    <t>II</t>
  </si>
  <si>
    <t>odanacatib (MK-0882)</t>
  </si>
  <si>
    <t>Cathespin-K</t>
  </si>
  <si>
    <t>Cancidas (caspofungin)</t>
  </si>
  <si>
    <t>Antifungal</t>
  </si>
  <si>
    <t>Echinocandin</t>
  </si>
  <si>
    <t>Q107</t>
  </si>
  <si>
    <t>Q207</t>
  </si>
  <si>
    <t>Q307</t>
  </si>
  <si>
    <t>$9855 per annual cost.</t>
  </si>
  <si>
    <t>Hepatitis Vaccines</t>
  </si>
  <si>
    <t>Other Vaccines</t>
  </si>
  <si>
    <t>Cosopt/Trusopt</t>
  </si>
  <si>
    <t>Crixivan/Stocrin</t>
  </si>
  <si>
    <t>Emend</t>
  </si>
  <si>
    <t>Invanz</t>
  </si>
  <si>
    <t>Timoptic</t>
  </si>
  <si>
    <t>MK-7009</t>
  </si>
  <si>
    <t>Protease</t>
  </si>
  <si>
    <t>Hepatitis C</t>
  </si>
  <si>
    <t>MK-3281</t>
  </si>
  <si>
    <t>Polymerase</t>
  </si>
  <si>
    <t>taranabant</t>
  </si>
  <si>
    <t>100% owned by MRK.</t>
  </si>
  <si>
    <t>CB1 inverse agonist</t>
  </si>
  <si>
    <t>Safety</t>
  </si>
  <si>
    <t>Possibly better therapeutic index than Accomplia.</t>
  </si>
  <si>
    <t>MK-0364</t>
  </si>
  <si>
    <t>PN006 Phase II Obesity</t>
  </si>
  <si>
    <t>Approval</t>
  </si>
  <si>
    <t>US: October 2007, Europe: December 2007.</t>
  </si>
  <si>
    <t>Q407</t>
  </si>
  <si>
    <t>Q108</t>
  </si>
  <si>
    <t>Q208</t>
  </si>
  <si>
    <t>Q308</t>
  </si>
  <si>
    <t>Q408</t>
  </si>
  <si>
    <t>Gross Profit</t>
  </si>
  <si>
    <t>SG&amp;A</t>
  </si>
  <si>
    <t>R&amp;D</t>
  </si>
  <si>
    <t>Gross Margin</t>
  </si>
  <si>
    <t>EPS</t>
  </si>
  <si>
    <t>MK-0882</t>
  </si>
  <si>
    <t>7.4% discontinued due to flushing vs 12.4% for extended-release niacin, p=0.002.</t>
  </si>
  <si>
    <t>MK-0646</t>
  </si>
  <si>
    <t>mCRC</t>
  </si>
  <si>
    <t>IGF-1</t>
  </si>
  <si>
    <t>II/III</t>
  </si>
  <si>
    <t>ABT/AZN combo</t>
  </si>
  <si>
    <t>I</t>
  </si>
  <si>
    <t>Calcitonin (CGRP)</t>
  </si>
  <si>
    <t>MK-974, MK-0974</t>
  </si>
  <si>
    <t>Commentary</t>
  </si>
  <si>
    <t>GSK executive notes efficacy not on par with triptans.</t>
  </si>
  <si>
    <t>Migraines</t>
  </si>
  <si>
    <t>Comparable efficacy to Maxalt with no CV safety issues.</t>
  </si>
  <si>
    <t>GERD, Heartburn</t>
  </si>
  <si>
    <t>PPI</t>
  </si>
  <si>
    <t>Generic 2014</t>
  </si>
  <si>
    <t>27% US, AZN</t>
  </si>
  <si>
    <t>ACT NOW - ADA 2008</t>
  </si>
  <si>
    <t>supports earlier use of glucose control to delay onset of diabetes</t>
  </si>
  <si>
    <t>rolofylline</t>
  </si>
  <si>
    <t>MK-7418</t>
  </si>
  <si>
    <t>Heart Failure</t>
  </si>
  <si>
    <t>Adenosine A1 antagonist</t>
  </si>
  <si>
    <t>Phase III aHF n=300</t>
  </si>
  <si>
    <t>60-day outcomes of 19% death/hospitalization vs 33% for placebo.</t>
  </si>
  <si>
    <t>Phase III PROTECT-1, -2 - Data in Q4 2008</t>
  </si>
  <si>
    <t>Phase III - ACC 2008</t>
  </si>
  <si>
    <t>4mg showed 5% placebo-adjusted weight loss at 2 years.</t>
  </si>
  <si>
    <t>2mg showed 4%.</t>
  </si>
  <si>
    <t>4mg psychiatric AE 40% vs 28% for 2mg and 20% for placebo.</t>
  </si>
  <si>
    <t>MK-6213</t>
  </si>
  <si>
    <t>telcagepant</t>
  </si>
  <si>
    <t>PK</t>
  </si>
  <si>
    <t>Modified pill vs gel to delay launch.</t>
  </si>
  <si>
    <t>Tredaptive</t>
  </si>
  <si>
    <t>7/2007</t>
  </si>
  <si>
    <t>Phase III SEAS</t>
  </si>
  <si>
    <t>22T RRR in atherosclerotic events.</t>
  </si>
  <si>
    <t>19-26 age cohort penetration will be a function of creating adoption through OBGYN.</t>
  </si>
  <si>
    <t>Cervarix (GSK). Pap smear?</t>
  </si>
  <si>
    <t>MK-0140</t>
  </si>
  <si>
    <t>Ophthalmic</t>
  </si>
  <si>
    <t>DISCONTINUED</t>
  </si>
  <si>
    <t>MK-1775</t>
  </si>
  <si>
    <t>MK-2206</t>
  </si>
  <si>
    <t>MK-5108</t>
  </si>
  <si>
    <t>MK-4074</t>
  </si>
  <si>
    <t>Diabetes</t>
  </si>
  <si>
    <t>GH secretagogue</t>
  </si>
  <si>
    <t>odanacatib</t>
  </si>
  <si>
    <t>Phase III PMO in Low BMD patients</t>
  </si>
  <si>
    <t>ASMBR 2008 24-month results.</t>
  </si>
  <si>
    <t>Mat</t>
  </si>
  <si>
    <t>Dis</t>
  </si>
  <si>
    <t>NPV</t>
  </si>
  <si>
    <t>8/3/12 COM</t>
  </si>
  <si>
    <t>Singulair (8/3/2012)</t>
  </si>
  <si>
    <t>-</t>
  </si>
  <si>
    <t>montelukast</t>
  </si>
  <si>
    <t>100%, innovated by Merck.</t>
  </si>
  <si>
    <t>5,565,473 issued 10/15/1996. Unsaturated hydroxyalkylquinoline acids as leukotriene antagonists.</t>
  </si>
  <si>
    <t>Model</t>
  </si>
  <si>
    <t>Leukotriene antagonist.</t>
  </si>
  <si>
    <t>Injectable</t>
  </si>
  <si>
    <t>NRx</t>
  </si>
  <si>
    <t>TRx</t>
  </si>
  <si>
    <t>105 vs 70 cancer findings, p=0.01 and HR=1.67 cancer deaths.</t>
  </si>
  <si>
    <t>Migraine Headache</t>
  </si>
  <si>
    <t>Phase III vs Zomig - Will be presented at American Headache Society June 26 2008 - Published Lancet 2008</t>
  </si>
  <si>
    <t>Lancet editorial.</t>
  </si>
  <si>
    <t>Calcitonin-gene related peptide (CGRP) antagonist. Also inhibits vasodilation. CGRP binds to the trigeminal nerve.</t>
  </si>
  <si>
    <t>n=1380 with moderate-to-severe acute migraine attack.  150mg, 300mg vs 5mg Zomig vs placebo.</t>
  </si>
  <si>
    <t>Dry mouth, vomiting and fatigue &gt; placebo but low overall. 31% AE for 150mg, 37% for 300mg, 51% for 5mg and 32% for placebo.</t>
  </si>
  <si>
    <t>Triptans, which have cardiovascular side effects (activate vasoconstriction), dizziness, paraesthesia, throat tightness and chest discomfort. Olcegepant</t>
  </si>
  <si>
    <t>Phase II dose-ranging 25mg to 600mg</t>
  </si>
  <si>
    <t>300mg 2H endpoint vs Zomig was 0.83 (slightly inferior), wheras 2H-24H sustained relief endpoint was 1.18 (slightly superior).</t>
  </si>
  <si>
    <t xml:space="preserve">  26.9% pain free at 2H vs 31.3% for Zomig vs. 9.6% for placebo.</t>
  </si>
  <si>
    <t xml:space="preserve">  55.0% pain relief at 2H vs. 56.4% for Zomig vs. 27.7% for placebo.</t>
  </si>
  <si>
    <t xml:space="preserve">  20.2% pain freedom 2-24H vs. 18.2% for Zomig vs. 5.0% for placebo.</t>
  </si>
  <si>
    <t>Lancet paper.</t>
  </si>
  <si>
    <t>Q109</t>
  </si>
  <si>
    <t>MK2578</t>
  </si>
  <si>
    <t>Betrixaban</t>
  </si>
  <si>
    <t>Q209</t>
  </si>
  <si>
    <t>Q309</t>
  </si>
  <si>
    <t>Q409</t>
  </si>
  <si>
    <t>Zetia/Ezetrol</t>
  </si>
  <si>
    <t>Vytorin/Inegy</t>
  </si>
  <si>
    <t>Taxes</t>
  </si>
  <si>
    <t>2015/2016</t>
  </si>
  <si>
    <t>Zetia (2017)</t>
  </si>
  <si>
    <t>Vytorin (2017)</t>
  </si>
  <si>
    <t>Phase III</t>
  </si>
  <si>
    <t>140mg and 280mg more effective than placebo.</t>
  </si>
  <si>
    <t>3 patients had 3x liver enzyme elevation.</t>
  </si>
  <si>
    <t>Liver enzyme elevations - Only 3 in one phase 3 but cancelled backup program for liver enzyme problems.</t>
  </si>
  <si>
    <t>Approved for men age 9-26 for the prevention of genital warts caused by HPV. 10/16/2009.</t>
  </si>
  <si>
    <t>Cervarix filed in the EU in March 2006 and will file in the US in late 2006. Cervarix approved in the US 10/16/2009.</t>
  </si>
  <si>
    <t>Q110</t>
  </si>
  <si>
    <t>Q210</t>
  </si>
  <si>
    <t>Q310</t>
  </si>
  <si>
    <t>Q410</t>
  </si>
  <si>
    <t>Animal</t>
  </si>
  <si>
    <t>Consumer</t>
  </si>
  <si>
    <t>Elonva</t>
  </si>
  <si>
    <t>Zetia</t>
  </si>
  <si>
    <t>Lipitor</t>
  </si>
  <si>
    <t>Crestor</t>
  </si>
  <si>
    <t>Lovastatin</t>
  </si>
  <si>
    <t>Pravastatin</t>
  </si>
  <si>
    <t>Zocor+Simva</t>
  </si>
  <si>
    <t>Caduet</t>
  </si>
  <si>
    <t>Total</t>
  </si>
  <si>
    <t>Phase III "IMPROVE-IT" - results in 2012 or 2013? N=18000</t>
  </si>
  <si>
    <t>Vytorin vs Simvastatin. Still recruiting as of 11/09.</t>
  </si>
  <si>
    <t>565</t>
  </si>
  <si>
    <t>608</t>
  </si>
  <si>
    <t>564</t>
  </si>
  <si>
    <t>198</t>
  </si>
  <si>
    <t>266</t>
  </si>
  <si>
    <t>278</t>
  </si>
  <si>
    <t>164</t>
  </si>
  <si>
    <t>122</t>
  </si>
  <si>
    <t>131</t>
  </si>
  <si>
    <t>95</t>
  </si>
  <si>
    <t>Claritin RX</t>
  </si>
  <si>
    <t>557</t>
  </si>
  <si>
    <t>256</t>
  </si>
  <si>
    <t>321</t>
  </si>
  <si>
    <t>215</t>
  </si>
  <si>
    <t>226</t>
  </si>
  <si>
    <t>145</t>
  </si>
  <si>
    <t>129</t>
  </si>
  <si>
    <t>96</t>
  </si>
  <si>
    <t>518</t>
  </si>
  <si>
    <t>507</t>
  </si>
  <si>
    <t>247</t>
  </si>
  <si>
    <t>306</t>
  </si>
  <si>
    <t>216</t>
  </si>
  <si>
    <t>174</t>
  </si>
  <si>
    <t>115</t>
  </si>
  <si>
    <t>132</t>
  </si>
  <si>
    <t>491</t>
  </si>
  <si>
    <t>455</t>
  </si>
  <si>
    <t>2,119</t>
  </si>
  <si>
    <t>2,299</t>
  </si>
  <si>
    <t>242</t>
  </si>
  <si>
    <t>234</t>
  </si>
  <si>
    <t>236</t>
  </si>
  <si>
    <t>280</t>
  </si>
  <si>
    <t>307</t>
  </si>
  <si>
    <t>271</t>
  </si>
  <si>
    <t>225</t>
  </si>
  <si>
    <t>239</t>
  </si>
  <si>
    <t>160</t>
  </si>
  <si>
    <t>213</t>
  </si>
  <si>
    <t>127</t>
  </si>
  <si>
    <t>57</t>
  </si>
  <si>
    <t>110</t>
  </si>
  <si>
    <t>45</t>
  </si>
  <si>
    <t>99</t>
  </si>
  <si>
    <t>93</t>
  </si>
  <si>
    <t>128</t>
  </si>
  <si>
    <t>258</t>
  </si>
  <si>
    <t>273</t>
  </si>
  <si>
    <t>235</t>
  </si>
  <si>
    <t>176</t>
  </si>
  <si>
    <t>142</t>
  </si>
  <si>
    <t>118</t>
  </si>
  <si>
    <t>87</t>
  </si>
  <si>
    <t>251</t>
  </si>
  <si>
    <t>311</t>
  </si>
  <si>
    <t>229</t>
  </si>
  <si>
    <t>240</t>
  </si>
  <si>
    <t>162</t>
  </si>
  <si>
    <t>116</t>
  </si>
  <si>
    <t>111</t>
  </si>
  <si>
    <t>1,064</t>
  </si>
  <si>
    <t>1,002</t>
  </si>
  <si>
    <t>1,156</t>
  </si>
  <si>
    <t>1,159</t>
  </si>
  <si>
    <t>Isentress (2023)</t>
  </si>
  <si>
    <t>827</t>
  </si>
  <si>
    <t>914</t>
  </si>
  <si>
    <t>PEG-INTRON (Biologic)</t>
  </si>
  <si>
    <t>Nasonex (2017, sued)</t>
  </si>
  <si>
    <t>Temodar (2013/2014)</t>
  </si>
  <si>
    <t>Rheumatoid Arthritis</t>
  </si>
  <si>
    <t>TNF</t>
  </si>
  <si>
    <t>JNJ</t>
  </si>
  <si>
    <t>Antibody</t>
  </si>
  <si>
    <t>Thrombin Receptor</t>
  </si>
  <si>
    <t>ACS/MI</t>
  </si>
  <si>
    <t>MK-8669 (ridaforolimus)</t>
  </si>
  <si>
    <t>ARIA</t>
  </si>
  <si>
    <t>Sarcoma</t>
  </si>
  <si>
    <t>MTOR</t>
  </si>
  <si>
    <t>boceprevir</t>
  </si>
  <si>
    <t>Fertility</t>
  </si>
  <si>
    <t>EU only?</t>
  </si>
  <si>
    <t>Filed</t>
  </si>
  <si>
    <t>Integrilin</t>
  </si>
  <si>
    <t>Rebetol</t>
  </si>
  <si>
    <t>Proventil</t>
  </si>
  <si>
    <t>Remeron</t>
  </si>
  <si>
    <t>Subutex</t>
  </si>
  <si>
    <t>Caelyx</t>
  </si>
  <si>
    <t>Intron-A</t>
  </si>
  <si>
    <t>Pneumovax</t>
  </si>
  <si>
    <t>Lipitor+Zetia (0653C)</t>
  </si>
  <si>
    <t>narlaprevir</t>
  </si>
  <si>
    <t>Insomnia</t>
  </si>
  <si>
    <t>GSK's Rotarix -- does ACIP find them interchangeable? Rotarix covers 5 serotypes?</t>
  </si>
  <si>
    <t>Rotavirus vaccine, live, oral, pentavalent</t>
  </si>
  <si>
    <t>Prevention of rotavirus gastroenteritis.</t>
  </si>
  <si>
    <t>n=71,000 3 Phase III studies</t>
  </si>
  <si>
    <t>2.4% SAE vs 2.6% for placebo.</t>
  </si>
  <si>
    <t>Reduced severe gastroenteritis by 98%, hospitalizations by 96%.</t>
  </si>
  <si>
    <t>$60/dose X 3 doses X 4m US babies = $750m, ex-US opportunity should be just as big.</t>
  </si>
  <si>
    <t>Simponi (golimumab)</t>
  </si>
  <si>
    <t>Saphris</t>
  </si>
  <si>
    <t>Schizophrenia</t>
  </si>
  <si>
    <t>Atypical</t>
  </si>
  <si>
    <t>?</t>
  </si>
  <si>
    <t>Consensus</t>
  </si>
  <si>
    <t>3.30-3.40</t>
  </si>
  <si>
    <t>Cerazette</t>
  </si>
  <si>
    <t>Implanon</t>
  </si>
  <si>
    <t>Daxas EU</t>
  </si>
  <si>
    <t>Avelox (2011)</t>
  </si>
  <si>
    <t>621</t>
  </si>
  <si>
    <t>Remicade (biologic)</t>
  </si>
  <si>
    <t>Gardasil (vaccine)</t>
  </si>
  <si>
    <t>Viral Vaccines (vaccine)</t>
  </si>
  <si>
    <t>Follistim (biologic)</t>
  </si>
  <si>
    <t>Small Molecule</t>
  </si>
  <si>
    <t>Small Molecule % of sales</t>
  </si>
  <si>
    <t>49</t>
  </si>
  <si>
    <t>54</t>
  </si>
  <si>
    <t>50</t>
  </si>
  <si>
    <t>61</t>
  </si>
  <si>
    <t>41</t>
  </si>
  <si>
    <t>39</t>
  </si>
  <si>
    <t>37</t>
  </si>
  <si>
    <t>76</t>
  </si>
  <si>
    <t>384</t>
  </si>
  <si>
    <t>66</t>
  </si>
  <si>
    <t>109</t>
  </si>
  <si>
    <t>Clarinex (2010?)</t>
  </si>
  <si>
    <t>Propecia (2013)</t>
  </si>
  <si>
    <t>Asmanex (mometasone)</t>
  </si>
  <si>
    <t>Asthma</t>
  </si>
  <si>
    <t>Steroid</t>
  </si>
  <si>
    <t>2012-2018</t>
  </si>
  <si>
    <t>Asmanex (2012-2018)</t>
  </si>
  <si>
    <t>2017-2026.</t>
  </si>
  <si>
    <t>2026, 7326708: salt patent.</t>
  </si>
  <si>
    <t>2022, 6699871: COM patent issued 3/2/2004. Filed 7/5/2002.</t>
  </si>
  <si>
    <t>2017, 6303661: DPP4 method patent.</t>
  </si>
  <si>
    <t>Januvia (2022)</t>
  </si>
  <si>
    <t>Revenue Y/Y</t>
  </si>
  <si>
    <t>Januvia Y/Y</t>
  </si>
  <si>
    <t>ROIC</t>
  </si>
  <si>
    <t>Revenue Consensus/Actual</t>
  </si>
  <si>
    <t>Q111</t>
  </si>
  <si>
    <t>Q211</t>
  </si>
  <si>
    <t>Q311</t>
  </si>
  <si>
    <t>Q411</t>
  </si>
  <si>
    <t>Skin toxicity in rival. UTI imbalance.</t>
  </si>
  <si>
    <t>2024, IPXL</t>
  </si>
  <si>
    <t>vorapaxar</t>
  </si>
  <si>
    <t>fka TRA, fka SCH530348</t>
  </si>
  <si>
    <t>Phase III "TRACER" ACS - discontinued</t>
  </si>
  <si>
    <t>Phase III "TRA-2P"</t>
  </si>
  <si>
    <t>Modified due to tox.</t>
  </si>
  <si>
    <t>Janumet (2022)</t>
  </si>
  <si>
    <t>Remicade Y/Y</t>
  </si>
  <si>
    <t>Vytorin Y/Y</t>
  </si>
  <si>
    <t>Zetia Y/Y</t>
  </si>
  <si>
    <t>Janumet Y/Y</t>
  </si>
  <si>
    <t>Gardasil Y/Y</t>
  </si>
  <si>
    <t>Viral Vaccines Y/Y</t>
  </si>
  <si>
    <t>HPS2-THRIVE: 20,000 patient study to begin in 2006 - 6/7/2006 - Completed Enrollment 5/2010 outcome study. Expect 20% increase in HDL.</t>
  </si>
  <si>
    <t>laropiprant</t>
  </si>
  <si>
    <t>100%</t>
  </si>
  <si>
    <t>10/2008 - &gt;15k</t>
  </si>
  <si>
    <t>CRA</t>
  </si>
  <si>
    <t>2009 NDA filing, potentially Q1. File in 2011.</t>
  </si>
  <si>
    <t>Phase III fracture study</t>
  </si>
  <si>
    <t>Failures</t>
  </si>
  <si>
    <t>Orexin</t>
  </si>
  <si>
    <t>Dulera</t>
  </si>
  <si>
    <t>Bridion</t>
  </si>
  <si>
    <t>ANAC</t>
  </si>
  <si>
    <t>AVEO</t>
  </si>
  <si>
    <t>Simponi</t>
  </si>
  <si>
    <t>Noxafil</t>
  </si>
  <si>
    <t>Q313</t>
  </si>
  <si>
    <t>Q114</t>
  </si>
  <si>
    <t>Cordaptive</t>
  </si>
  <si>
    <t>Q112</t>
  </si>
  <si>
    <t>Q212</t>
  </si>
  <si>
    <t>Q312</t>
  </si>
  <si>
    <t>Q412</t>
  </si>
  <si>
    <t>Q113</t>
  </si>
  <si>
    <t>Q213</t>
  </si>
  <si>
    <t>Q413</t>
  </si>
  <si>
    <t>Q214</t>
  </si>
  <si>
    <t>Q314</t>
  </si>
  <si>
    <t>Q414</t>
  </si>
  <si>
    <t>Nuvaring (device)</t>
  </si>
  <si>
    <t>Victrelis</t>
  </si>
  <si>
    <t>PD-1</t>
  </si>
  <si>
    <t>Crixivan</t>
  </si>
  <si>
    <t>indinavir</t>
  </si>
  <si>
    <t>Protease Inhibitor</t>
  </si>
  <si>
    <t>Revenue</t>
  </si>
  <si>
    <t>800mg every 8 hours (TID) (6 400mg capsules per day)</t>
  </si>
  <si>
    <t>$2.50 per 400mg pill, or $5,475 annually.</t>
  </si>
  <si>
    <t>Kaletra, $6.78 per pill, or $9,903 annually.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</si>
  <si>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</si>
  <si>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</si>
  <si>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</si>
  <si>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</si>
  <si>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</si>
  <si>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</si>
  <si>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</si>
  <si>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</si>
  <si>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</si>
  <si>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</si>
  <si>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</si>
  <si>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</si>
  <si>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</si>
  <si>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</si>
  <si>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</si>
  <si>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</si>
  <si>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</si>
  <si>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</si>
  <si>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</si>
  <si>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</si>
  <si>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</si>
  <si>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</si>
  <si>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</si>
  <si>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</si>
  <si>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</si>
  <si>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</si>
  <si>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</si>
  <si>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</si>
  <si>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</si>
  <si>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</si>
  <si>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</si>
  <si>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</si>
  <si>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</si>
  <si>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</si>
  <si>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</si>
  <si>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</si>
  <si>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Lagevrio</t>
  </si>
  <si>
    <t>Keytruda</t>
  </si>
  <si>
    <t>Lynparza</t>
  </si>
  <si>
    <t>Lenvima</t>
  </si>
  <si>
    <t>Reblozyl</t>
  </si>
  <si>
    <t>Vaqta</t>
  </si>
  <si>
    <t>Prevymis</t>
  </si>
  <si>
    <t>Dificid</t>
  </si>
  <si>
    <t>Belsomra</t>
  </si>
  <si>
    <t>Adempas</t>
  </si>
  <si>
    <t>Adempas Alliance</t>
  </si>
  <si>
    <t>Zerbaxa</t>
  </si>
  <si>
    <t>Keytruda y/y</t>
  </si>
  <si>
    <t>Atozet</t>
  </si>
  <si>
    <t>Cubicin</t>
  </si>
  <si>
    <t>Zepatier</t>
  </si>
  <si>
    <t>Brand</t>
  </si>
  <si>
    <t>Generic</t>
  </si>
  <si>
    <t>Keytruda, fka MK-3475</t>
  </si>
  <si>
    <t>Keytruda (pembrolizumab)</t>
  </si>
  <si>
    <t>Melanoma, NSCLC</t>
  </si>
  <si>
    <t>MOA</t>
  </si>
  <si>
    <t>anacetrapib</t>
  </si>
  <si>
    <t>MK-859</t>
  </si>
  <si>
    <t>ibutamoren</t>
  </si>
  <si>
    <t>MK-677</t>
  </si>
  <si>
    <t>DPP4</t>
  </si>
  <si>
    <t>pembrolizumab</t>
  </si>
  <si>
    <t>Indications</t>
  </si>
  <si>
    <t>PD-1 mab</t>
  </si>
  <si>
    <t>MK-974</t>
  </si>
  <si>
    <t>Remicade (infliximab)</t>
  </si>
  <si>
    <t>Zolinza, fka SAHA</t>
  </si>
  <si>
    <t>vorinostat</t>
  </si>
  <si>
    <t>losartan</t>
  </si>
  <si>
    <t>Cozaar/Hyzaar</t>
  </si>
  <si>
    <t>corifollitropin alfa</t>
  </si>
  <si>
    <t>Zontivity (vorapaxar)</t>
  </si>
  <si>
    <t>Share</t>
  </si>
  <si>
    <t>COGS</t>
  </si>
  <si>
    <t>58</t>
  </si>
  <si>
    <t>189</t>
  </si>
  <si>
    <t>103</t>
  </si>
  <si>
    <t>47</t>
  </si>
  <si>
    <t>91</t>
  </si>
  <si>
    <t>82</t>
  </si>
  <si>
    <t>28</t>
  </si>
  <si>
    <t>68</t>
  </si>
  <si>
    <t>KEYNOTE-869</t>
  </si>
  <si>
    <t>Phase Ib/II "EV-103" Cohort K</t>
  </si>
  <si>
    <t>1L mUC cisplatin-ineligible</t>
  </si>
  <si>
    <t>n=76 with efortumab vedotin</t>
  </si>
  <si>
    <t>64.5% ORR vs. 45% ORR with EV alone</t>
  </si>
  <si>
    <t>CMO: Eliav Barr</t>
  </si>
  <si>
    <t>NCT03288545</t>
  </si>
  <si>
    <t>KEYNOTE-A39</t>
  </si>
  <si>
    <t>NCT04223856</t>
  </si>
  <si>
    <t>KEYNOTE-905</t>
  </si>
  <si>
    <t>NCT03924895</t>
  </si>
  <si>
    <t>EV-304</t>
  </si>
  <si>
    <t>EV-303</t>
  </si>
  <si>
    <t>EV-302</t>
  </si>
  <si>
    <t>KEYNOTE-B15</t>
  </si>
  <si>
    <t>NCT04700124</t>
  </si>
  <si>
    <t>9/12/22: KEYNOTE-869 results</t>
  </si>
  <si>
    <t>COVID-19</t>
  </si>
  <si>
    <t>NRTI?</t>
  </si>
  <si>
    <t>Assets</t>
  </si>
  <si>
    <t>AR</t>
  </si>
  <si>
    <t>Inventories</t>
  </si>
  <si>
    <t>OCA</t>
  </si>
  <si>
    <t>PP&amp;E</t>
  </si>
  <si>
    <t>Goodwill</t>
  </si>
  <si>
    <t>OA</t>
  </si>
  <si>
    <t>AP</t>
  </si>
  <si>
    <t>AL</t>
  </si>
  <si>
    <t>Dividends</t>
  </si>
  <si>
    <t>ONCL</t>
  </si>
  <si>
    <t>S/E</t>
  </si>
  <si>
    <t>L+SE</t>
  </si>
  <si>
    <t>Primaxin (cilastatin/imipenem)</t>
  </si>
  <si>
    <t>Antibiotic</t>
  </si>
  <si>
    <t>MK-0724 (ONO-2506)</t>
  </si>
  <si>
    <t>MK-0482</t>
  </si>
  <si>
    <t>Oncology</t>
  </si>
  <si>
    <t>ILT3 mab</t>
  </si>
  <si>
    <t>MK-1942</t>
  </si>
  <si>
    <t>MK-4280 (favezelimab)</t>
  </si>
  <si>
    <t>LAG3 mab</t>
  </si>
  <si>
    <t>PPAR</t>
  </si>
  <si>
    <t>Gardasil 9, fka V503</t>
  </si>
  <si>
    <t>TROP2 ADC</t>
  </si>
  <si>
    <t>SKB</t>
  </si>
  <si>
    <t>MK-0616</t>
  </si>
  <si>
    <t>Hypercholesterolemia</t>
  </si>
  <si>
    <t>PCSK9 oral</t>
  </si>
  <si>
    <t>MK-2060</t>
  </si>
  <si>
    <t>FXI mab</t>
  </si>
  <si>
    <t>Lynparza (olaparib)</t>
  </si>
  <si>
    <t>PARP</t>
  </si>
  <si>
    <t>AZN</t>
  </si>
  <si>
    <t>Lenvima (lenvatinib)</t>
  </si>
  <si>
    <t>TKI</t>
  </si>
  <si>
    <t>4523 JP</t>
  </si>
  <si>
    <t>Bridion (sugammadex)</t>
  </si>
  <si>
    <t>Anesthesia Reversal</t>
  </si>
  <si>
    <t>Reblozyl (luspatercept)</t>
  </si>
  <si>
    <t>MDS</t>
  </si>
  <si>
    <t>BMY</t>
  </si>
  <si>
    <t>MK-5684/ODM-208</t>
  </si>
  <si>
    <t>CYP11 inhibitor</t>
  </si>
  <si>
    <t>ORNBV</t>
  </si>
  <si>
    <t>nemtabrutinib (fka MK-1026)</t>
  </si>
  <si>
    <t>BTK inhibitor</t>
  </si>
  <si>
    <t>HemOnc</t>
  </si>
  <si>
    <t>AKT</t>
  </si>
  <si>
    <t>WEE1</t>
  </si>
  <si>
    <t>ACC1</t>
  </si>
  <si>
    <t>VRTX?</t>
  </si>
  <si>
    <t>Aurora kinase</t>
  </si>
  <si>
    <t>zilovertamab vedotin (MK-2140/VLS-101)</t>
  </si>
  <si>
    <t>ROR1 ADC</t>
  </si>
  <si>
    <t>100% (VelosBio)</t>
  </si>
  <si>
    <t>MK-4830</t>
  </si>
  <si>
    <t>ILT4 mab</t>
  </si>
  <si>
    <t>quavonlimab (MK-1308)</t>
  </si>
  <si>
    <t>CTLA4</t>
  </si>
  <si>
    <t>MK-5475</t>
  </si>
  <si>
    <t>sGC</t>
  </si>
  <si>
    <t>PAH</t>
  </si>
  <si>
    <t>MK-3655</t>
  </si>
  <si>
    <t>NASH</t>
  </si>
  <si>
    <t>NGM</t>
  </si>
  <si>
    <t>FGFR</t>
  </si>
  <si>
    <t>CD27</t>
  </si>
  <si>
    <t>SNY partnership in the EU?</t>
  </si>
  <si>
    <t>MK-6024 (efinopegdutide)</t>
  </si>
  <si>
    <t>Hanmi</t>
  </si>
  <si>
    <t>GIP/GLP</t>
  </si>
  <si>
    <t>1/11/23: Completes Imago tender</t>
  </si>
  <si>
    <t>1/10/23: named JUST company</t>
  </si>
  <si>
    <t>1/5/23: Q4 earnings date</t>
  </si>
  <si>
    <t>Myelofibrosis</t>
  </si>
  <si>
    <t>LSD1 inhibitor</t>
  </si>
  <si>
    <t>1/3/23: investor conference</t>
  </si>
  <si>
    <t>12/22/22: investor conference</t>
  </si>
  <si>
    <t>12/22/22: licenses 7 ADCs from Kelun-Biotech for $175m</t>
  </si>
  <si>
    <t>Lynparza, fka AZD2281</t>
  </si>
  <si>
    <t>olaparib</t>
  </si>
  <si>
    <t>aOC, mCRPC, pancreatic, mBC</t>
  </si>
  <si>
    <t>LogP=1.9, MW=434, HBD=1, HBA=5, RB=4, TPSA=82. Capsule discontinued, Tablet replaced</t>
  </si>
  <si>
    <t>7151102 first patent doesn't correspond to structure, expired</t>
  </si>
  <si>
    <t>7449464 expires 2024</t>
  </si>
  <si>
    <t>8071579 expires 2027, MOU patent</t>
  </si>
  <si>
    <t>8143241 expires 2027, MOU patent</t>
  </si>
  <si>
    <t>8475842 expires 2029, formulation patent</t>
  </si>
  <si>
    <t>8859562 expires 2031, ridiculous claim</t>
  </si>
  <si>
    <t>Phase III SOLO-2 - NCT01874353</t>
  </si>
  <si>
    <t>Phase III POLO</t>
  </si>
  <si>
    <t>Phase III "SOLO-1" n=391 1L aOC BRCA+ in PR/CR - NEJM 2018, NCT01844986</t>
  </si>
  <si>
    <t>HR=0.30 TTP/OS</t>
  </si>
  <si>
    <t>Phase III "PROpel" 1L CRPC abiraterone+-olaparib - NEJM 2022, NCT03732820</t>
  </si>
  <si>
    <t>mibPFS HR=0.66, OS=0.86 (p=0.29 immature)</t>
  </si>
  <si>
    <t>24.8 months vs. 16.6 months mibPFS</t>
  </si>
  <si>
    <t>Padcev (enfortumab vedotin)</t>
  </si>
  <si>
    <t>Urothelial Cancer</t>
  </si>
  <si>
    <t>SGEN, 4503</t>
  </si>
  <si>
    <t>Padcev</t>
  </si>
  <si>
    <t>enfortumab vedotin</t>
  </si>
  <si>
    <t>Nectin-4 ADC</t>
  </si>
  <si>
    <t>Urothelial carcinoma</t>
  </si>
  <si>
    <t>Priority review for BLA</t>
  </si>
  <si>
    <t>12/21/22: Lynparza approved in EU for CRPC</t>
  </si>
  <si>
    <t>12/20/22: Padcev priority review for 1L UC</t>
  </si>
  <si>
    <t>Phase Ib/2 KEYNOTE-869/EV-103 1L UC - NCT03288545</t>
  </si>
  <si>
    <t>12/15/22: Lynparza CRPC PDUFA extended</t>
  </si>
  <si>
    <t>12/13/22: V940 results</t>
  </si>
  <si>
    <t>mRNA-4157/V940</t>
  </si>
  <si>
    <t>Melanoma</t>
  </si>
  <si>
    <t>MRNA</t>
  </si>
  <si>
    <t>MRK 50/50 global P&amp;L profit share</t>
  </si>
  <si>
    <t>personalized mRNA vaccine</t>
  </si>
  <si>
    <t>Phase IIb "KEYNOTE-942" n=157 adjuvant melanoma - NCT0389788</t>
  </si>
  <si>
    <t>RFS HR=0.56 p=0.0266 (one-sided!)</t>
  </si>
  <si>
    <t>CEO: Robert Davis</t>
  </si>
  <si>
    <t xml:space="preserve">  CC Y/Y</t>
  </si>
  <si>
    <t>56</t>
  </si>
  <si>
    <t>53</t>
  </si>
  <si>
    <t>138</t>
  </si>
  <si>
    <t>35</t>
  </si>
  <si>
    <t>29</t>
  </si>
  <si>
    <t>46</t>
  </si>
  <si>
    <t>27</t>
  </si>
  <si>
    <t>Welireg</t>
  </si>
  <si>
    <t>Vaxneuvance</t>
  </si>
  <si>
    <t>sotatercept</t>
  </si>
  <si>
    <t>lenvatinib</t>
  </si>
  <si>
    <t>differentiated thyroid cancer first indication</t>
  </si>
  <si>
    <t>VEGFR1/2/3 inhibitor</t>
  </si>
  <si>
    <t>7253286 - 2025 first expiry</t>
  </si>
  <si>
    <t>286 claim</t>
  </si>
  <si>
    <t>7612208 - 2026 expiry of crystal patent</t>
  </si>
  <si>
    <t>Lagevrio (molnupiravir)</t>
  </si>
  <si>
    <t>Welireg (belzutifan)</t>
  </si>
  <si>
    <t>N/A</t>
  </si>
  <si>
    <t>Net Cash</t>
  </si>
  <si>
    <t>Q124</t>
  </si>
  <si>
    <t>Q224</t>
  </si>
  <si>
    <t>Q324</t>
  </si>
  <si>
    <t>Q424</t>
  </si>
  <si>
    <t>Delstrigo</t>
  </si>
  <si>
    <t>Pifeltro</t>
  </si>
  <si>
    <t>Model NI</t>
  </si>
  <si>
    <t>Reported NI</t>
  </si>
  <si>
    <t>CFFO</t>
  </si>
  <si>
    <t>WC</t>
  </si>
  <si>
    <t>SBC</t>
  </si>
  <si>
    <t>DT</t>
  </si>
  <si>
    <t>Investment &amp; Acquisitions</t>
  </si>
  <si>
    <t>CFFI</t>
  </si>
  <si>
    <t>CapEx</t>
  </si>
  <si>
    <t>Investments</t>
  </si>
  <si>
    <t>Acquisitions</t>
  </si>
  <si>
    <t>CFFF</t>
  </si>
  <si>
    <t>ESOP</t>
  </si>
  <si>
    <t>Buybacks</t>
  </si>
  <si>
    <t>Debt Repayment</t>
  </si>
  <si>
    <t>FX</t>
  </si>
  <si>
    <t>3</t>
  </si>
  <si>
    <t>Gardasil (HPV Quadrivalent)</t>
  </si>
  <si>
    <t>Adempas (riociguat)</t>
  </si>
  <si>
    <t>Belsomra (suvorexant, fka MK-4305)</t>
  </si>
  <si>
    <t>Q125</t>
  </si>
  <si>
    <t>Q225</t>
  </si>
  <si>
    <t>Q325</t>
  </si>
  <si>
    <t>Q425</t>
  </si>
  <si>
    <t>Winrevair</t>
  </si>
  <si>
    <t>CIC</t>
  </si>
  <si>
    <t>Prometheus - 10.8B</t>
  </si>
  <si>
    <t>bomedemstat (fka MK-3543)</t>
  </si>
  <si>
    <t>MK-3475 (pembrolizumab + hyaluronidase)</t>
  </si>
  <si>
    <t>NSCLC</t>
  </si>
  <si>
    <t>HALO</t>
  </si>
  <si>
    <t>TIGIT</t>
  </si>
  <si>
    <t>CRPC</t>
  </si>
  <si>
    <t>RSV</t>
  </si>
  <si>
    <t>MK-1654 (clesrovimab)</t>
  </si>
  <si>
    <t>MK-7240/PRA023 (tulisokibart)</t>
  </si>
  <si>
    <t>UC</t>
  </si>
  <si>
    <t>TNF L1A</t>
  </si>
  <si>
    <t>LEAP-015</t>
  </si>
  <si>
    <t>Met ORR &amp; PFS, failed OS</t>
  </si>
  <si>
    <t>Global Clinical Development: Gregory Lubiniecki</t>
  </si>
  <si>
    <t>KEYNOTE-859</t>
  </si>
  <si>
    <t>KEYNOTE-811</t>
  </si>
  <si>
    <t>Phase III 1L HER-2-negative metastatic gastric/GEJ</t>
  </si>
  <si>
    <t>KEYNOTE-590</t>
  </si>
  <si>
    <t>Phase III metastatic esophageal/GEJ</t>
  </si>
  <si>
    <t>Phase III 1L HER2+ G/GEJ</t>
  </si>
  <si>
    <t>NCT04662710</t>
  </si>
  <si>
    <t>KEYNOTE-006</t>
  </si>
  <si>
    <t>KEYNOTE-054</t>
  </si>
  <si>
    <t>KEYNOTE-189</t>
  </si>
  <si>
    <t>KEYNOTE-407</t>
  </si>
  <si>
    <t>KEYNOTE-042</t>
  </si>
  <si>
    <t>KEYNOTE-010</t>
  </si>
  <si>
    <t>KEYNOTE-671</t>
  </si>
  <si>
    <t>KEYNOTE-091</t>
  </si>
  <si>
    <t>KEYNOTE-048</t>
  </si>
  <si>
    <t>KEYNOTE-012</t>
  </si>
  <si>
    <t>KEYNOTE-204</t>
  </si>
  <si>
    <t>cHL</t>
  </si>
  <si>
    <t>HNSCC</t>
  </si>
  <si>
    <t>melanoma</t>
  </si>
  <si>
    <t>KEYNOTE-170</t>
  </si>
  <si>
    <t>PMBCL</t>
  </si>
  <si>
    <t>KEYNOTE-087</t>
  </si>
  <si>
    <t>KEYNOTE-052</t>
  </si>
  <si>
    <t>urothelial carcinoma</t>
  </si>
  <si>
    <t>NSCLC, Melanoma, HCC, BTC, cervical, MCC, RCC, endometrial, cSCC, TNBC, urothelial, cHL, HNSCC, MPM</t>
  </si>
  <si>
    <t>KEYNOTE-051</t>
  </si>
  <si>
    <t>KEYNOTE-355</t>
  </si>
  <si>
    <t>TNBC</t>
  </si>
  <si>
    <t>KEYNOTE-522</t>
  </si>
  <si>
    <t>KEYNOTE-775</t>
  </si>
  <si>
    <t>endometrial</t>
  </si>
  <si>
    <t>KEYNOTE-868</t>
  </si>
  <si>
    <t>KEYNOTE-564</t>
  </si>
  <si>
    <t>RCC</t>
  </si>
  <si>
    <t>KEYNOTE-581</t>
  </si>
  <si>
    <t>KEYNOTE-426</t>
  </si>
  <si>
    <t>KEYNOTE-017</t>
  </si>
  <si>
    <t>MCC</t>
  </si>
  <si>
    <t>KEYNOTE-913</t>
  </si>
  <si>
    <t>KEYNOTE-966</t>
  </si>
  <si>
    <t>BTC</t>
  </si>
  <si>
    <t>KEYNOTE-394</t>
  </si>
  <si>
    <t>HCC</t>
  </si>
  <si>
    <t>KEYNOTE-158</t>
  </si>
  <si>
    <t>cervical</t>
  </si>
  <si>
    <t>KEYNOTE-826</t>
  </si>
  <si>
    <t>KEYNOTE-A18</t>
  </si>
  <si>
    <t>KEYNOTE-057</t>
  </si>
  <si>
    <t>NMIBC</t>
  </si>
  <si>
    <t>KEYNOTE-045</t>
  </si>
  <si>
    <t>2028, SB27 (Samsung), GME751 (Sandoz), mAbxience, ABP234 (Amgen)</t>
  </si>
  <si>
    <t>1/24/25: LEAP-015 in GEA fails OS</t>
  </si>
  <si>
    <t>1/16/25: Q4 earnings date.</t>
  </si>
  <si>
    <t>1/8/25: Gardasil expanded indication in China</t>
  </si>
  <si>
    <t>1/6/25: investor conference</t>
  </si>
  <si>
    <t>Regulatory</t>
  </si>
  <si>
    <t>Gardasil Quadrivalent (6, 11, 16, 18)</t>
  </si>
  <si>
    <t>China - NMPA approved males 9-26.</t>
  </si>
  <si>
    <t xml:space="preserve">  Genotype 16 and 18 of HPV are commonly associated with cervical cancer and anal cancer. Gardasil has 100% efficacy in protection infection against these two genotypes.</t>
  </si>
  <si>
    <t>Genotypes 6 and 11 cause genital warts.</t>
  </si>
  <si>
    <t>Genotypes 6, 11, 16 and 18 cause AIN (anal intraepithelial neoplasia)</t>
  </si>
  <si>
    <t>International: Joseph Romanelli</t>
  </si>
  <si>
    <t>US - FDA label has females 9-45, males 9-26??</t>
  </si>
  <si>
    <t>12/20/24: closes LM-299 licensing deal.</t>
  </si>
  <si>
    <t>Eyebiotech - 1.344B</t>
  </si>
  <si>
    <t>Elanco aqua business - 1.301B</t>
  </si>
  <si>
    <t>Harpoon - 0.746B</t>
  </si>
  <si>
    <t>MK-1045 - 0.7B</t>
  </si>
  <si>
    <t>Imago: 1.327B</t>
  </si>
  <si>
    <t>Winrevair (sotatercept)</t>
  </si>
  <si>
    <t>Capvaxive</t>
  </si>
  <si>
    <t>Pneumococcal Disease</t>
  </si>
  <si>
    <t>21-valent Vaccine</t>
  </si>
  <si>
    <t>MK-1045/CN201</t>
  </si>
  <si>
    <t>B-cell, autoimmune</t>
  </si>
  <si>
    <t>CD3xCD19</t>
  </si>
  <si>
    <t>Curon</t>
  </si>
  <si>
    <t>NDA 215383 approved 8/13/2021</t>
  </si>
  <si>
    <t>belzutifan</t>
  </si>
  <si>
    <t>Zhifei in China</t>
  </si>
  <si>
    <t>HIF2alpha inhibitor</t>
  </si>
  <si>
    <t>HIF-2alpha inhibitor</t>
  </si>
  <si>
    <t>von Hippel-Lindau</t>
  </si>
  <si>
    <t>von Hippel-Lindau (RCC, CNS hemangioblastoma, pNET)</t>
  </si>
  <si>
    <t>Phase II "MK-6482-004" n=61 VHL+ RCC</t>
  </si>
  <si>
    <t>49.2% RR, mDOR not reached at minimum follow up of 18 months</t>
  </si>
  <si>
    <t>83% pNET ORR, 62.5% for CNS hemangioblastoma</t>
  </si>
  <si>
    <t>BLA 761363 approved 3/26/2024</t>
  </si>
  <si>
    <t>Activin IIA</t>
  </si>
  <si>
    <t>IND 1/5/2018</t>
  </si>
  <si>
    <t>Activin receptor IIA-Fc. Activin-A is the natural ligand for this receptor.</t>
  </si>
  <si>
    <t>Phase II "SPECTRA" n=21</t>
  </si>
  <si>
    <t>Winrevair, fka MK-7962, A-011</t>
  </si>
  <si>
    <t>Phase II "PULSAR" n=106</t>
  </si>
  <si>
    <t>Phase III "STELLAR" n=323</t>
  </si>
  <si>
    <t>Phase III "SOTERIA" n=403</t>
  </si>
  <si>
    <t>sotatercept binds activin A, activin B, GDF11, BMP10 in pm range</t>
  </si>
  <si>
    <t>0.3mg, 0.7mg/kg</t>
  </si>
  <si>
    <t>hemoglobin increases</t>
  </si>
  <si>
    <t>6MW: 24.6 and 22.3</t>
  </si>
  <si>
    <t>PVR: -151 and -269</t>
  </si>
  <si>
    <t>Hgb: 1.2 and 1.5g/dL</t>
  </si>
  <si>
    <t>40.1 6MW vs. -1.4 for placebo</t>
  </si>
  <si>
    <t>Opsumit 2.2B, Uptravi 1.8B</t>
  </si>
  <si>
    <t>CFO: Caroline Litchfield</t>
  </si>
  <si>
    <t>AZN. Originally from KuDOS, acquired by AZN in 2006</t>
  </si>
  <si>
    <t>11633396</t>
  </si>
  <si>
    <t>Natco filed ANDA 218044 12/28/2022 (23-796 NJ district), 3:24-cv-10624-RK-TJB, consolidated under 3:23796</t>
  </si>
  <si>
    <t>Docket active as of 1/22/2025.</t>
  </si>
  <si>
    <t>Sandoz, Natco, Cipla generics</t>
  </si>
  <si>
    <t>PARP1 inhibitor. Also inhibits PARP2, PARP3</t>
  </si>
  <si>
    <t>NCT03918278</t>
  </si>
  <si>
    <t>12% ORR</t>
  </si>
  <si>
    <t>ABBV, NGM</t>
  </si>
  <si>
    <t>KEYMAKER-U01</t>
  </si>
  <si>
    <t>MK-0482-001 monotherapy and Keytruda</t>
  </si>
  <si>
    <t>MKT-0482-002 - CMML/AML</t>
  </si>
  <si>
    <t>n=11, 0% ORR</t>
  </si>
  <si>
    <t>combinaY}</t>
  </si>
  <si>
    <t>MK-5890 (boserolimab)</t>
  </si>
  <si>
    <t>MK-7684 (vibostolimab)</t>
  </si>
  <si>
    <t>TRD, Alzheimer's</t>
  </si>
  <si>
    <t>discontinued for liver toxicity</t>
  </si>
  <si>
    <t>MK-2400 (ifinatamab deruxtecan)</t>
  </si>
  <si>
    <t>B7-H3 ADC</t>
  </si>
  <si>
    <t>UCB</t>
  </si>
  <si>
    <t>MK-1084</t>
  </si>
  <si>
    <t>KRAS G12C</t>
  </si>
  <si>
    <t>Taiho</t>
  </si>
  <si>
    <t>MK-3000</t>
  </si>
  <si>
    <t>DME</t>
  </si>
  <si>
    <t>Wnt trispecific agonist</t>
  </si>
  <si>
    <t>MK-1022 (patritumab deruxtecan)</t>
  </si>
  <si>
    <t>HER3 ADC</t>
  </si>
  <si>
    <t>Daiichi</t>
  </si>
  <si>
    <t>MK-5905 (raludotatug deruxtecan)</t>
  </si>
  <si>
    <t>CDH6 ADC</t>
  </si>
  <si>
    <t>MK-2870/SKB264 (sacituzumab tirumotecan)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</si>
</sst>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.0_);_(&quot;$&quot;* \(#,##0.0\);_(&quot;$&quot;* &quot;-&quot;??_);_(@_)"/>
    <numFmt numFmtId="166" formatCode="_(* #,##0_);_(* \(#,##0\);_(* &quot;-&quot;??_);_(@_)"/>
    <numFmt numFmtId="167" formatCode="0.0%"/>
    <numFmt numFmtId="168" formatCode="0.0"/>
    <numFmt numFmtId="169" formatCode="0.0%\ ;\(0.0%\)"/>
    <numFmt numFmtId="170" formatCode="#,##0.0\ ;\(#,##0.0\)"/>
    <numFmt numFmtId="171" formatCode="#,##0;\(#,##0\)"/>
    <numFmt numFmtId="172" formatCode="_(* #,##0.000_);_(* \(#,##0.000\);_(* &quot;-&quot;??_);_(@_)"/>
    <numFmt numFmtId="173" formatCode="&quot;$&quot;#,##0.0\ \ \ ;\(&quot;$&quot;#,##0.0\)\ \ "/>
    <numFmt numFmtId="174" formatCode="#,##0.0\ \ \ ;\(#,##0.0\)\ \ "/>
    <numFmt numFmtId="175" formatCode="\¥#,##0.00_);\(\¥#,##0.00\)"/>
    <numFmt numFmtId="176" formatCode="0\A"/>
    <numFmt numFmtId="177" formatCode="_-* #,##0_-;\(#,##0\);_-* &quot;–&quot;_-;_-@_-"/>
    <numFmt numFmtId="178" formatCode="#,##0;\(#,##0\);\–;@"/>
    <numFmt numFmtId="179" formatCode="0.0&quot;  &quot;"/>
    <numFmt numFmtId="180" formatCode="#,##0.0_);\(#,##0.0\)"/>
    <numFmt numFmtId="181" formatCode="&quot;$&quot;_(#,##0.00_);&quot;$&quot;\(#,##0.00\)"/>
    <numFmt numFmtId="182" formatCode="#,##0.0_)\x;\(#,##0.0\)\x"/>
    <numFmt numFmtId="183" formatCode="#,##0.0_)_x;\(#,##0.0\)_x"/>
    <numFmt numFmtId="184" formatCode="0.0_)\%;\(0.0\)\%"/>
    <numFmt numFmtId="185" formatCode="#,##0.0_)_%;\(#,##0.0\)_%"/>
    <numFmt numFmtId="186" formatCode="_-&quot;$&quot;* #,##0.00_-;\-&quot;$&quot;* #,##0.00_-;_-&quot;$&quot;* &quot;-&quot;??_-;_-@_-"/>
    <numFmt numFmtId="187" formatCode="0.00_)"/>
  </numFmts>
  <fonts count="5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9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"/>
      <name val="Helvetica 65"/>
    </font>
    <font>
      <sz val="7"/>
      <color indexed="8"/>
      <name val="Helvetica 45"/>
      <family val="2"/>
    </font>
    <font>
      <sz val="7"/>
      <color indexed="8"/>
      <name val="Helvetica 65"/>
      <family val="2"/>
    </font>
    <font>
      <sz val="6"/>
      <color indexed="8"/>
      <name val="Helvetica 65"/>
      <family val="2"/>
    </font>
    <font>
      <sz val="8"/>
      <name val="Arial"/>
      <family val="2"/>
    </font>
    <font>
      <sz val="9"/>
      <color indexed="9"/>
      <name val="Times New Roman"/>
      <family val="1"/>
    </font>
    <font>
      <b/>
      <sz val="24"/>
      <name val="Times New Roman"/>
      <family val="1"/>
    </font>
    <font>
      <sz val="8"/>
      <name val="Helv"/>
    </font>
    <font>
      <sz val="9"/>
      <color indexed="12"/>
      <name val="Times New Roman"/>
      <family val="1"/>
    </font>
    <font>
      <b/>
      <sz val="8.5"/>
      <color indexed="17"/>
      <name val="Arial"/>
      <family val="2"/>
    </font>
    <font>
      <sz val="7"/>
      <name val="Arial"/>
      <family val="2"/>
    </font>
    <font>
      <b/>
      <sz val="7"/>
      <color indexed="17"/>
      <name val="Arial"/>
      <family val="2"/>
    </font>
    <font>
      <sz val="8.5"/>
      <color indexed="8"/>
      <name val="Arial"/>
      <family val="2"/>
    </font>
    <font>
      <b/>
      <sz val="12"/>
      <name val="Arial"/>
      <family val="2"/>
    </font>
    <font>
      <sz val="10"/>
      <color indexed="10"/>
      <name val="Times New Roman"/>
      <family val="1"/>
    </font>
    <font>
      <sz val="10"/>
      <name val="MS Sans Serif"/>
      <family val="2"/>
    </font>
    <font>
      <b/>
      <sz val="14"/>
      <name val="Arial"/>
      <family val="2"/>
    </font>
    <font>
      <sz val="10"/>
      <name val="CG Times (WN)"/>
    </font>
    <font>
      <b/>
      <sz val="9"/>
      <color indexed="8"/>
      <name val="Helvetica 65"/>
      <family val="2"/>
    </font>
    <font>
      <sz val="9"/>
      <color indexed="8"/>
      <name val="Helvetica 45"/>
      <family val="2"/>
    </font>
    <font>
      <b/>
      <sz val="8"/>
      <color indexed="8"/>
      <name val="Helvetica 65"/>
    </font>
    <font>
      <sz val="8"/>
      <name val="Helvetica 65"/>
      <family val="2"/>
    </font>
    <font>
      <b/>
      <sz val="14"/>
      <name val="Times New Roman"/>
      <family val="1"/>
    </font>
    <font>
      <sz val="12"/>
      <name val="Helvetica"/>
      <family val="2"/>
    </font>
    <font>
      <b/>
      <sz val="8"/>
      <name val="HelveticaNeue Condensed"/>
    </font>
    <font>
      <sz val="8"/>
      <name val="HelveticaNeue LightCond"/>
      <family val="2"/>
    </font>
    <font>
      <b/>
      <sz val="7"/>
      <name val="HelveticaNeue Condensed"/>
      <family val="2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8.5"/>
      <color indexed="8"/>
      <name val="Arial"/>
      <family val="2"/>
    </font>
    <font>
      <b/>
      <sz val="8.5"/>
      <color indexed="17"/>
      <name val="Arial"/>
      <family val="2"/>
    </font>
    <font>
      <sz val="8"/>
      <color indexed="16"/>
      <name val="Helv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gray0625">
        <fgColor indexed="10"/>
        <bgColor indexed="9"/>
      </patternFill>
    </fill>
    <fill>
      <patternFill patternType="lightGray">
        <fgColor indexed="14"/>
        <bgColor indexed="9"/>
      </patternFill>
    </fill>
    <fill>
      <patternFill patternType="lightGray">
        <fgColor indexed="12"/>
        <bgColor indexed="9"/>
      </patternFill>
    </fill>
    <fill>
      <patternFill patternType="solid">
        <fgColor indexed="11"/>
        <bgColor indexed="9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4">
    <xf numFmtId="0" fontId="0" fillId="0" borderId="0"/>
    <xf numFmtId="170" fontId="6" fillId="0" borderId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71" fontId="7" fillId="3" borderId="0" applyNumberFormat="0" applyFont="0" applyBorder="0" applyAlignment="0">
      <alignment horizontal="right"/>
    </xf>
    <xf numFmtId="176" fontId="8" fillId="3" borderId="1" applyFont="0">
      <alignment horizontal="right"/>
    </xf>
    <xf numFmtId="0" fontId="2" fillId="0" borderId="0" applyNumberFormat="0" applyFill="0" applyBorder="0" applyAlignment="0" applyProtection="0"/>
    <xf numFmtId="0" fontId="9" fillId="0" borderId="0" applyNumberFormat="0" applyAlignment="0"/>
    <xf numFmtId="0" fontId="10" fillId="0" borderId="0" applyNumberFormat="0" applyAlignment="0"/>
    <xf numFmtId="0" fontId="11" fillId="0" borderId="0" applyNumberFormat="0" applyAlignment="0"/>
    <xf numFmtId="0" fontId="12" fillId="0" borderId="0" applyNumberFormat="0" applyAlignment="0"/>
    <xf numFmtId="0" fontId="13" fillId="0" borderId="2" applyNumberFormat="0" applyFill="0" applyAlignment="0" applyProtection="0"/>
    <xf numFmtId="0" fontId="14" fillId="0" borderId="0" applyNumberFormat="0" applyFill="0" applyBorder="0" applyAlignment="0"/>
    <xf numFmtId="2" fontId="2" fillId="4" borderId="0" applyNumberFormat="0" applyFont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>
      <alignment horizontal="right"/>
    </xf>
    <xf numFmtId="44" fontId="1" fillId="0" borderId="0" applyFont="0" applyFill="0" applyBorder="0" applyAlignment="0" applyProtection="0"/>
    <xf numFmtId="173" fontId="16" fillId="0" borderId="0"/>
    <xf numFmtId="0" fontId="17" fillId="0" borderId="3" applyNumberFormat="0" applyBorder="0"/>
    <xf numFmtId="179" fontId="2" fillId="5" borderId="3" applyNumberFormat="0" applyFont="0" applyBorder="0" applyAlignment="0" applyProtection="0">
      <alignment horizontal="right"/>
    </xf>
    <xf numFmtId="1" fontId="2" fillId="0" borderId="0" applyNumberFormat="0" applyBorder="0" applyAlignment="0" applyProtection="0"/>
    <xf numFmtId="177" fontId="18" fillId="0" borderId="0">
      <alignment vertical="center"/>
    </xf>
    <xf numFmtId="49" fontId="19" fillId="0" borderId="0">
      <alignment horizontal="right"/>
    </xf>
    <xf numFmtId="49" fontId="20" fillId="0" borderId="0">
      <alignment horizontal="right"/>
    </xf>
    <xf numFmtId="177" fontId="21" fillId="0" borderId="0">
      <alignment vertical="center"/>
    </xf>
    <xf numFmtId="0" fontId="22" fillId="0" borderId="0"/>
    <xf numFmtId="0" fontId="4" fillId="0" borderId="0" applyNumberFormat="0" applyFill="0" applyBorder="0" applyAlignment="0" applyProtection="0">
      <alignment vertical="top"/>
      <protection locked="0"/>
    </xf>
    <xf numFmtId="1" fontId="23" fillId="0" borderId="0" applyNumberFormat="0">
      <alignment horizontal="right"/>
    </xf>
    <xf numFmtId="0" fontId="24" fillId="6" borderId="0" applyNumberFormat="0" applyFont="0" applyBorder="0" applyAlignment="0" applyProtection="0"/>
    <xf numFmtId="0" fontId="25" fillId="0" borderId="0"/>
    <xf numFmtId="186" fontId="6" fillId="0" borderId="0"/>
    <xf numFmtId="2" fontId="24" fillId="0" borderId="0" applyBorder="0" applyProtection="0"/>
    <xf numFmtId="0" fontId="26" fillId="0" borderId="0"/>
    <xf numFmtId="174" fontId="16" fillId="0" borderId="0"/>
    <xf numFmtId="0" fontId="27" fillId="0" borderId="0" applyNumberFormat="0" applyAlignment="0"/>
    <xf numFmtId="0" fontId="28" fillId="0" borderId="0" applyNumberFormat="0" applyAlignment="0"/>
    <xf numFmtId="0" fontId="29" fillId="0" borderId="0" applyNumberFormat="0" applyAlignment="0"/>
    <xf numFmtId="0" fontId="30" fillId="0" borderId="0"/>
    <xf numFmtId="0" fontId="31" fillId="0" borderId="0" applyNumberFormat="0" applyFill="0" applyBorder="0">
      <alignment horizontal="left"/>
    </xf>
    <xf numFmtId="9" fontId="1" fillId="0" borderId="0" applyFont="0" applyFill="0" applyBorder="0" applyAlignment="0" applyProtection="0"/>
    <xf numFmtId="0" fontId="32" fillId="0" borderId="0"/>
    <xf numFmtId="168" fontId="24" fillId="2" borderId="4" applyNumberFormat="0" applyFont="0" applyBorder="0" applyAlignment="0" applyProtection="0">
      <alignment horizontal="center"/>
    </xf>
    <xf numFmtId="1" fontId="32" fillId="7" borderId="0" applyNumberFormat="0" applyFont="0" applyBorder="0" applyAlignment="0">
      <alignment horizontal="left"/>
    </xf>
    <xf numFmtId="0" fontId="12" fillId="0" borderId="0" applyNumberFormat="0" applyAlignment="0"/>
    <xf numFmtId="0" fontId="1" fillId="0" borderId="0" applyFont="0" applyFill="0" applyBorder="0" applyAlignment="0" applyProtection="0"/>
    <xf numFmtId="178" fontId="33" fillId="0" borderId="0" applyNumberFormat="0" applyFill="0" applyBorder="0" applyAlignment="0" applyProtection="0">
      <alignment horizontal="right" vertical="center" wrapText="1"/>
    </xf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>
      <protection locked="0"/>
    </xf>
    <xf numFmtId="0" fontId="36" fillId="0" borderId="3" applyNumberFormat="0" applyFill="0" applyProtection="0">
      <alignment horizontal="right"/>
    </xf>
    <xf numFmtId="0" fontId="36" fillId="0" borderId="5" applyNumberFormat="0" applyProtection="0">
      <alignment horizontal="right"/>
    </xf>
    <xf numFmtId="0" fontId="37" fillId="0" borderId="6" applyNumberFormat="0" applyFill="0" applyProtection="0"/>
    <xf numFmtId="0" fontId="38" fillId="0" borderId="0">
      <alignment vertical="center"/>
    </xf>
    <xf numFmtId="0" fontId="39" fillId="0" borderId="0">
      <alignment vertical="center"/>
    </xf>
    <xf numFmtId="0" fontId="21" fillId="0" borderId="0">
      <alignment vertical="center"/>
    </xf>
    <xf numFmtId="0" fontId="24" fillId="0" borderId="0" applyBorder="0"/>
    <xf numFmtId="170" fontId="40" fillId="0" borderId="0" applyNumberFormat="0"/>
    <xf numFmtId="187" fontId="6" fillId="0" borderId="0"/>
    <xf numFmtId="1" fontId="41" fillId="0" borderId="1" applyFill="0" applyProtection="0">
      <alignment horizontal="right"/>
    </xf>
    <xf numFmtId="175" fontId="13" fillId="0" borderId="0" applyFill="0" applyBorder="0" applyAlignment="0" applyProtection="0"/>
  </cellStyleXfs>
  <cellXfs count="137">
    <xf numFmtId="0" fontId="0" fillId="0" borderId="0" xfId="0"/>
    <xf numFmtId="0" fontId="0" fillId="8" borderId="0" xfId="0" applyFill="1"/>
    <xf numFmtId="0" fontId="0" fillId="8" borderId="0" xfId="0" applyFill="1" applyAlignment="1">
      <alignment horizontal="center"/>
    </xf>
    <xf numFmtId="0" fontId="4" fillId="8" borderId="0" xfId="31" applyFill="1" applyAlignment="1" applyProtection="1"/>
    <xf numFmtId="0" fontId="44" fillId="0" borderId="0" xfId="0" applyFont="1"/>
    <xf numFmtId="0" fontId="4" fillId="0" borderId="0" xfId="31" applyAlignment="1" applyProtection="1"/>
    <xf numFmtId="9" fontId="0" fillId="8" borderId="0" xfId="0" applyNumberFormat="1" applyFill="1" applyAlignment="1">
      <alignment horizontal="center"/>
    </xf>
    <xf numFmtId="0" fontId="3" fillId="0" borderId="0" xfId="19" applyNumberFormat="1" applyFont="1" applyFill="1" applyBorder="1" applyAlignment="1">
      <alignment horizontal="right"/>
    </xf>
    <xf numFmtId="0" fontId="3" fillId="0" borderId="0" xfId="37" applyFont="1"/>
    <xf numFmtId="43" fontId="3" fillId="0" borderId="0" xfId="19" applyFont="1" applyFill="1" applyBorder="1" applyAlignment="1">
      <alignment horizontal="right"/>
    </xf>
    <xf numFmtId="0" fontId="46" fillId="8" borderId="0" xfId="0" applyFont="1" applyFill="1"/>
    <xf numFmtId="0" fontId="5" fillId="8" borderId="0" xfId="0" applyFont="1" applyFill="1"/>
    <xf numFmtId="14" fontId="0" fillId="8" borderId="0" xfId="0" applyNumberFormat="1" applyFill="1"/>
    <xf numFmtId="3" fontId="0" fillId="8" borderId="0" xfId="0" applyNumberFormat="1" applyFill="1" applyAlignment="1">
      <alignment horizontal="center"/>
    </xf>
    <xf numFmtId="0" fontId="44" fillId="8" borderId="0" xfId="0" applyFont="1" applyFill="1"/>
    <xf numFmtId="0" fontId="0" fillId="8" borderId="0" xfId="0" applyFill="1" applyAlignment="1">
      <alignment horizontal="right"/>
    </xf>
    <xf numFmtId="0" fontId="46" fillId="0" borderId="0" xfId="0" applyFont="1"/>
    <xf numFmtId="0" fontId="3" fillId="8" borderId="0" xfId="0" applyFont="1" applyFill="1"/>
    <xf numFmtId="3" fontId="44" fillId="8" borderId="0" xfId="21" applyNumberFormat="1" applyFont="1" applyFill="1" applyBorder="1" applyAlignment="1">
      <alignment horizontal="center"/>
    </xf>
    <xf numFmtId="0" fontId="44" fillId="8" borderId="0" xfId="19" applyNumberFormat="1" applyFont="1" applyFill="1" applyBorder="1" applyAlignment="1">
      <alignment horizontal="center"/>
    </xf>
    <xf numFmtId="172" fontId="44" fillId="8" borderId="0" xfId="19" quotePrefix="1" applyNumberFormat="1" applyFont="1" applyFill="1" applyBorder="1" applyAlignment="1">
      <alignment horizontal="center"/>
    </xf>
    <xf numFmtId="43" fontId="44" fillId="8" borderId="0" xfId="19" quotePrefix="1" applyFont="1" applyFill="1" applyBorder="1" applyAlignment="1">
      <alignment horizontal="center"/>
    </xf>
    <xf numFmtId="43" fontId="44" fillId="8" borderId="0" xfId="19" applyFont="1" applyFill="1" applyBorder="1" applyAlignment="1">
      <alignment horizontal="center"/>
    </xf>
    <xf numFmtId="43" fontId="3" fillId="0" borderId="0" xfId="19" quotePrefix="1" applyFont="1" applyFill="1" applyBorder="1" applyAlignment="1">
      <alignment horizontal="right"/>
    </xf>
    <xf numFmtId="0" fontId="3" fillId="0" borderId="0" xfId="37" applyFont="1" applyAlignment="1">
      <alignment horizontal="right"/>
    </xf>
    <xf numFmtId="166" fontId="3" fillId="0" borderId="0" xfId="19" quotePrefix="1" applyNumberFormat="1" applyFont="1" applyFill="1" applyBorder="1" applyAlignment="1">
      <alignment horizontal="right"/>
    </xf>
    <xf numFmtId="3" fontId="3" fillId="0" borderId="0" xfId="21" applyNumberFormat="1" applyFont="1" applyFill="1" applyBorder="1" applyAlignment="1">
      <alignment horizontal="right"/>
    </xf>
    <xf numFmtId="4" fontId="3" fillId="0" borderId="0" xfId="19" applyNumberFormat="1" applyFont="1" applyFill="1" applyBorder="1" applyAlignment="1">
      <alignment horizontal="right"/>
    </xf>
    <xf numFmtId="3" fontId="3" fillId="0" borderId="0" xfId="37" applyNumberFormat="1" applyFont="1" applyAlignment="1">
      <alignment horizontal="right"/>
    </xf>
    <xf numFmtId="4" fontId="3" fillId="0" borderId="0" xfId="37" applyNumberFormat="1" applyFont="1" applyAlignment="1">
      <alignment horizontal="right"/>
    </xf>
    <xf numFmtId="0" fontId="44" fillId="0" borderId="0" xfId="0" applyFont="1" applyAlignment="1">
      <alignment horizontal="right"/>
    </xf>
    <xf numFmtId="37" fontId="3" fillId="0" borderId="0" xfId="19" applyNumberFormat="1" applyFont="1" applyFill="1" applyBorder="1" applyAlignment="1">
      <alignment horizontal="right"/>
    </xf>
    <xf numFmtId="4" fontId="3" fillId="0" borderId="0" xfId="21" applyNumberFormat="1" applyFont="1" applyFill="1" applyBorder="1" applyAlignment="1">
      <alignment horizontal="right"/>
    </xf>
    <xf numFmtId="44" fontId="3" fillId="0" borderId="0" xfId="37" applyNumberFormat="1" applyFont="1" applyAlignment="1">
      <alignment horizontal="right"/>
    </xf>
    <xf numFmtId="0" fontId="3" fillId="0" borderId="0" xfId="19" applyNumberFormat="1" applyFont="1" applyFill="1" applyBorder="1"/>
    <xf numFmtId="9" fontId="44" fillId="8" borderId="0" xfId="0" quotePrefix="1" applyNumberFormat="1" applyFont="1" applyFill="1"/>
    <xf numFmtId="17" fontId="0" fillId="0" borderId="0" xfId="0" applyNumberFormat="1"/>
    <xf numFmtId="3" fontId="0" fillId="0" borderId="0" xfId="0" applyNumberFormat="1"/>
    <xf numFmtId="9" fontId="0" fillId="0" borderId="0" xfId="0" applyNumberFormat="1"/>
    <xf numFmtId="3" fontId="3" fillId="0" borderId="0" xfId="37" applyNumberFormat="1" applyFont="1"/>
    <xf numFmtId="3" fontId="3" fillId="0" borderId="0" xfId="19" applyNumberFormat="1" applyFont="1" applyFill="1" applyBorder="1" applyAlignment="1">
      <alignment horizontal="right"/>
    </xf>
    <xf numFmtId="3" fontId="49" fillId="0" borderId="0" xfId="37" applyNumberFormat="1" applyFont="1"/>
    <xf numFmtId="9" fontId="3" fillId="0" borderId="0" xfId="37" applyNumberFormat="1" applyFont="1" applyAlignment="1">
      <alignment horizontal="right"/>
    </xf>
    <xf numFmtId="169" fontId="3" fillId="0" borderId="0" xfId="37" applyNumberFormat="1" applyFont="1" applyAlignment="1">
      <alignment horizontal="right"/>
    </xf>
    <xf numFmtId="3" fontId="1" fillId="0" borderId="0" xfId="19" applyNumberFormat="1" applyFont="1" applyFill="1" applyBorder="1" applyAlignment="1"/>
    <xf numFmtId="0" fontId="1" fillId="0" borderId="0" xfId="19" applyNumberFormat="1" applyFont="1" applyFill="1" applyBorder="1" applyAlignment="1"/>
    <xf numFmtId="3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37" fontId="0" fillId="0" borderId="0" xfId="0" applyNumberFormat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0" xfId="0" applyNumberFormat="1"/>
    <xf numFmtId="0" fontId="4" fillId="0" borderId="9" xfId="31" applyFill="1" applyBorder="1" applyAlignment="1" applyProtection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44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44" fillId="0" borderId="10" xfId="0" applyFont="1" applyBorder="1" applyAlignment="1">
      <alignment horizontal="center"/>
    </xf>
    <xf numFmtId="0" fontId="44" fillId="0" borderId="9" xfId="0" applyFont="1" applyBorder="1"/>
    <xf numFmtId="9" fontId="44" fillId="0" borderId="0" xfId="0" applyNumberFormat="1" applyFont="1" applyAlignment="1">
      <alignment horizontal="center"/>
    </xf>
    <xf numFmtId="0" fontId="0" fillId="0" borderId="9" xfId="0" applyBorder="1"/>
    <xf numFmtId="17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45" fillId="0" borderId="0" xfId="0" applyFont="1"/>
    <xf numFmtId="0" fontId="4" fillId="0" borderId="0" xfId="31" applyFill="1" applyAlignment="1" applyProtection="1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31" applyFill="1" applyBorder="1" applyAlignment="1" applyProtection="1"/>
    <xf numFmtId="0" fontId="1" fillId="0" borderId="0" xfId="0" applyFont="1" applyAlignment="1">
      <alignment horizontal="left"/>
    </xf>
    <xf numFmtId="17" fontId="0" fillId="0" borderId="0" xfId="0" quotePrefix="1" applyNumberFormat="1" applyAlignment="1">
      <alignment horizontal="center"/>
    </xf>
    <xf numFmtId="0" fontId="4" fillId="0" borderId="0" xfId="31" applyNumberFormat="1" applyFill="1" applyBorder="1" applyAlignment="1" applyProtection="1"/>
    <xf numFmtId="0" fontId="1" fillId="0" borderId="0" xfId="37" applyFont="1"/>
    <xf numFmtId="0" fontId="1" fillId="0" borderId="0" xfId="37" applyFont="1" applyAlignment="1">
      <alignment horizontal="right"/>
    </xf>
    <xf numFmtId="165" fontId="1" fillId="0" borderId="0" xfId="37" applyNumberFormat="1" applyFont="1" applyAlignment="1">
      <alignment horizontal="right"/>
    </xf>
    <xf numFmtId="44" fontId="1" fillId="0" borderId="0" xfId="37" applyNumberFormat="1" applyFont="1" applyAlignment="1">
      <alignment horizontal="right"/>
    </xf>
    <xf numFmtId="3" fontId="1" fillId="0" borderId="0" xfId="37" applyNumberFormat="1" applyFont="1" applyAlignment="1">
      <alignment horizontal="right"/>
    </xf>
    <xf numFmtId="166" fontId="1" fillId="0" borderId="0" xfId="37" applyNumberFormat="1" applyFont="1" applyAlignment="1">
      <alignment horizontal="right"/>
    </xf>
    <xf numFmtId="43" fontId="1" fillId="0" borderId="0" xfId="19" applyFont="1" applyFill="1" applyBorder="1" applyAlignment="1">
      <alignment horizontal="center"/>
    </xf>
    <xf numFmtId="0" fontId="1" fillId="0" borderId="0" xfId="19" applyNumberFormat="1" applyFont="1" applyFill="1" applyBorder="1" applyAlignment="1">
      <alignment horizontal="right"/>
    </xf>
    <xf numFmtId="1" fontId="1" fillId="0" borderId="0" xfId="21" applyNumberFormat="1" applyFont="1" applyFill="1" applyBorder="1" applyAlignment="1">
      <alignment horizontal="right"/>
    </xf>
    <xf numFmtId="3" fontId="1" fillId="0" borderId="0" xfId="37" applyNumberFormat="1" applyFont="1"/>
    <xf numFmtId="3" fontId="1" fillId="0" borderId="0" xfId="19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right"/>
    </xf>
    <xf numFmtId="3" fontId="1" fillId="0" borderId="0" xfId="0" applyNumberFormat="1" applyFont="1"/>
    <xf numFmtId="3" fontId="1" fillId="0" borderId="0" xfId="21" quotePrefix="1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center"/>
    </xf>
    <xf numFmtId="166" fontId="1" fillId="0" borderId="0" xfId="19" applyNumberFormat="1" applyFont="1" applyFill="1" applyBorder="1" applyAlignment="1">
      <alignment horizontal="right"/>
    </xf>
    <xf numFmtId="0" fontId="1" fillId="0" borderId="0" xfId="37" quotePrefix="1" applyFont="1"/>
    <xf numFmtId="0" fontId="1" fillId="0" borderId="0" xfId="19" applyNumberFormat="1" applyFont="1" applyFill="1" applyBorder="1"/>
    <xf numFmtId="43" fontId="1" fillId="0" borderId="0" xfId="19" applyFont="1" applyFill="1" applyBorder="1" applyAlignment="1">
      <alignment horizontal="right"/>
    </xf>
    <xf numFmtId="9" fontId="1" fillId="0" borderId="0" xfId="37" applyNumberFormat="1" applyFont="1"/>
    <xf numFmtId="167" fontId="1" fillId="0" borderId="0" xfId="37" applyNumberFormat="1" applyFont="1"/>
    <xf numFmtId="167" fontId="1" fillId="0" borderId="0" xfId="19" applyNumberFormat="1" applyFont="1" applyFill="1" applyBorder="1"/>
    <xf numFmtId="167" fontId="1" fillId="0" borderId="0" xfId="44" applyNumberFormat="1" applyFont="1" applyFill="1" applyBorder="1" applyAlignment="1">
      <alignment horizontal="right"/>
    </xf>
    <xf numFmtId="167" fontId="1" fillId="0" borderId="0" xfId="21" applyNumberFormat="1" applyFont="1" applyFill="1" applyBorder="1" applyAlignment="1">
      <alignment horizontal="right"/>
    </xf>
    <xf numFmtId="167" fontId="1" fillId="0" borderId="0" xfId="0" applyNumberFormat="1" applyFont="1"/>
    <xf numFmtId="167" fontId="1" fillId="0" borderId="0" xfId="37" applyNumberFormat="1" applyFont="1" applyAlignment="1">
      <alignment horizontal="right"/>
    </xf>
    <xf numFmtId="4" fontId="1" fillId="0" borderId="0" xfId="37" applyNumberFormat="1" applyFont="1" applyAlignment="1">
      <alignment horizontal="right"/>
    </xf>
    <xf numFmtId="43" fontId="1" fillId="0" borderId="0" xfId="19" applyFont="1" applyFill="1" applyBorder="1"/>
    <xf numFmtId="169" fontId="1" fillId="0" borderId="0" xfId="37" applyNumberFormat="1" applyFont="1" applyAlignment="1">
      <alignment horizontal="right"/>
    </xf>
    <xf numFmtId="9" fontId="1" fillId="0" borderId="0" xfId="37" applyNumberFormat="1" applyFont="1" applyAlignment="1">
      <alignment horizontal="right"/>
    </xf>
    <xf numFmtId="3" fontId="1" fillId="0" borderId="0" xfId="19" applyNumberFormat="1" applyFont="1" applyFill="1" applyBorder="1"/>
    <xf numFmtId="3" fontId="1" fillId="0" borderId="0" xfId="0" applyNumberFormat="1" applyFont="1" applyAlignment="1">
      <alignment horizontal="right"/>
    </xf>
    <xf numFmtId="3" fontId="1" fillId="0" borderId="0" xfId="21" applyNumberFormat="1" applyFont="1" applyFill="1" applyBorder="1"/>
    <xf numFmtId="3" fontId="1" fillId="0" borderId="0" xfId="44" applyNumberFormat="1" applyFont="1" applyFill="1" applyBorder="1" applyAlignment="1">
      <alignment horizontal="right"/>
    </xf>
    <xf numFmtId="0" fontId="1" fillId="0" borderId="0" xfId="44" applyNumberFormat="1" applyFont="1" applyFill="1" applyBorder="1" applyAlignment="1">
      <alignment horizontal="right"/>
    </xf>
    <xf numFmtId="169" fontId="1" fillId="0" borderId="0" xfId="44" applyNumberFormat="1" applyFont="1" applyFill="1" applyBorder="1" applyAlignment="1">
      <alignment horizontal="right"/>
    </xf>
    <xf numFmtId="9" fontId="1" fillId="0" borderId="0" xfId="44" applyFont="1" applyFill="1" applyBorder="1" applyAlignment="1">
      <alignment horizontal="right"/>
    </xf>
    <xf numFmtId="14" fontId="44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45" fillId="0" borderId="0" xfId="0" applyFont="1" applyAlignment="1">
      <alignment horizontal="left"/>
    </xf>
    <xf numFmtId="0" fontId="1" fillId="0" borderId="11" xfId="0" applyFont="1" applyBorder="1"/>
    <xf numFmtId="0" fontId="1" fillId="0" borderId="6" xfId="0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4" fillId="0" borderId="9" xfId="31" applyBorder="1" applyAlignment="1" applyProtection="1"/>
    <xf numFmtId="0" fontId="50" fillId="0" borderId="0" xfId="0" applyFont="1"/>
    <xf numFmtId="1" fontId="1" fillId="0" borderId="0" xfId="37" applyNumberFormat="1" applyFont="1"/>
    <xf numFmtId="3" fontId="1" fillId="9" borderId="0" xfId="21" applyNumberFormat="1" applyFont="1" applyFill="1" applyBorder="1" applyAlignment="1">
      <alignment horizontal="right"/>
    </xf>
    <xf numFmtId="3" fontId="1" fillId="9" borderId="0" xfId="21" quotePrefix="1" applyNumberFormat="1" applyFont="1" applyFill="1" applyBorder="1" applyAlignment="1">
      <alignment horizontal="right"/>
    </xf>
    <xf numFmtId="0" fontId="1" fillId="0" borderId="0" xfId="0" quotePrefix="1" applyFont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0" xfId="0" quotePrefix="1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9" xfId="0" applyFont="1" applyFill="1" applyBorder="1"/>
    <xf numFmtId="0" fontId="0" fillId="0" borderId="0" xfId="0" applyFont="1" applyFill="1" applyBorder="1" applyAlignment="1">
      <alignment horizontal="center"/>
    </xf>
  </cellXfs>
  <cellStyles count="64">
    <cellStyle name="$" xfId="1" xr:uid="{00000000-0005-0000-0000-000000000000}"/>
    <cellStyle name="_Comma" xfId="2" xr:uid="{00000000-0005-0000-0000-000001000000}"/>
    <cellStyle name="_Currency" xfId="3" xr:uid="{00000000-0005-0000-0000-000002000000}"/>
    <cellStyle name="_CurrencySpace" xfId="4" xr:uid="{00000000-0005-0000-0000-000003000000}"/>
    <cellStyle name="_Multiple" xfId="5" xr:uid="{00000000-0005-0000-0000-000004000000}"/>
    <cellStyle name="_MultipleSpace" xfId="6" xr:uid="{00000000-0005-0000-0000-000005000000}"/>
    <cellStyle name="_Percent" xfId="7" xr:uid="{00000000-0005-0000-0000-000006000000}"/>
    <cellStyle name="_PercentSpace" xfId="8" xr:uid="{00000000-0005-0000-0000-000007000000}"/>
    <cellStyle name="Actual data" xfId="9" xr:uid="{00000000-0005-0000-0000-000008000000}"/>
    <cellStyle name="Actual year" xfId="10" xr:uid="{00000000-0005-0000-0000-000009000000}"/>
    <cellStyle name="Actuals Cells" xfId="11" xr:uid="{00000000-0005-0000-0000-00000A000000}"/>
    <cellStyle name="Adj L1" xfId="12" xr:uid="{00000000-0005-0000-0000-00000B000000}"/>
    <cellStyle name="Adj L2" xfId="13" xr:uid="{00000000-0005-0000-0000-00000C000000}"/>
    <cellStyle name="Adj L3" xfId="14" xr:uid="{00000000-0005-0000-0000-00000D000000}"/>
    <cellStyle name="Adj Space" xfId="15" xr:uid="{00000000-0005-0000-0000-00000E000000}"/>
    <cellStyle name="ArialNormal" xfId="16" xr:uid="{00000000-0005-0000-0000-00000F000000}"/>
    <cellStyle name="Blank" xfId="17" xr:uid="{00000000-0005-0000-0000-000010000000}"/>
    <cellStyle name="Calc Cells" xfId="18" xr:uid="{00000000-0005-0000-0000-000011000000}"/>
    <cellStyle name="Comma" xfId="19" builtinId="3"/>
    <cellStyle name="Company name" xfId="20" xr:uid="{00000000-0005-0000-0000-000013000000}"/>
    <cellStyle name="Currency" xfId="21" builtinId="4"/>
    <cellStyle name="Dollar" xfId="22" xr:uid="{00000000-0005-0000-0000-000015000000}"/>
    <cellStyle name="Download" xfId="23" xr:uid="{00000000-0005-0000-0000-000016000000}"/>
    <cellStyle name="External File Cells" xfId="24" xr:uid="{00000000-0005-0000-0000-000017000000}"/>
    <cellStyle name="Forecast Cells" xfId="25" xr:uid="{00000000-0005-0000-0000-000018000000}"/>
    <cellStyle name="G1_1999 figures" xfId="26" xr:uid="{00000000-0005-0000-0000-000019000000}"/>
    <cellStyle name="H_1998_col_head" xfId="27" xr:uid="{00000000-0005-0000-0000-00001A000000}"/>
    <cellStyle name="H_1999_col_head" xfId="28" xr:uid="{00000000-0005-0000-0000-00001B000000}"/>
    <cellStyle name="H1_1998 figures" xfId="29" xr:uid="{00000000-0005-0000-0000-00001C000000}"/>
    <cellStyle name="Heading1" xfId="30" xr:uid="{00000000-0005-0000-0000-00001D000000}"/>
    <cellStyle name="Hyperlink" xfId="31" builtinId="8"/>
    <cellStyle name="Input" xfId="32" builtinId="20" customBuiltin="1"/>
    <cellStyle name="Input Cells" xfId="33" xr:uid="{00000000-0005-0000-0000-000020000000}"/>
    <cellStyle name="Mainhead" xfId="34" xr:uid="{00000000-0005-0000-0000-000021000000}"/>
    <cellStyle name="multiple" xfId="35" xr:uid="{00000000-0005-0000-0000-000022000000}"/>
    <cellStyle name="Normal" xfId="0" builtinId="0"/>
    <cellStyle name="Normal Cells" xfId="36" xr:uid="{00000000-0005-0000-0000-000024000000}"/>
    <cellStyle name="Normal_mrk_is2" xfId="37" xr:uid="{00000000-0005-0000-0000-000025000000}"/>
    <cellStyle name="Number" xfId="38" xr:uid="{00000000-0005-0000-0000-000026000000}"/>
    <cellStyle name="Original L1" xfId="39" xr:uid="{00000000-0005-0000-0000-000027000000}"/>
    <cellStyle name="Original L2" xfId="40" xr:uid="{00000000-0005-0000-0000-000028000000}"/>
    <cellStyle name="Original L3" xfId="41" xr:uid="{00000000-0005-0000-0000-000029000000}"/>
    <cellStyle name="Original Space" xfId="42" xr:uid="{00000000-0005-0000-0000-00002A000000}"/>
    <cellStyle name="Page header" xfId="43" xr:uid="{00000000-0005-0000-0000-00002B000000}"/>
    <cellStyle name="Percent" xfId="44" builtinId="5"/>
    <cellStyle name="Price" xfId="45" xr:uid="{00000000-0005-0000-0000-00002D000000}"/>
    <cellStyle name="Reuters Cells" xfId="46" xr:uid="{00000000-0005-0000-0000-00002E000000}"/>
    <cellStyle name="ShadedCells_Database" xfId="47" xr:uid="{00000000-0005-0000-0000-00002F000000}"/>
    <cellStyle name="Space" xfId="48" xr:uid="{00000000-0005-0000-0000-000030000000}"/>
    <cellStyle name="Style 1" xfId="49" xr:uid="{00000000-0005-0000-0000-000031000000}"/>
    <cellStyle name="Style D green" xfId="50" xr:uid="{00000000-0005-0000-0000-000032000000}"/>
    <cellStyle name="Style E" xfId="51" xr:uid="{00000000-0005-0000-0000-000033000000}"/>
    <cellStyle name="Style H" xfId="52" xr:uid="{00000000-0005-0000-0000-000034000000}"/>
    <cellStyle name="Sub total" xfId="53" xr:uid="{00000000-0005-0000-0000-000035000000}"/>
    <cellStyle name="Table end" xfId="54" xr:uid="{00000000-0005-0000-0000-000036000000}"/>
    <cellStyle name="Table head" xfId="55" xr:uid="{00000000-0005-0000-0000-000037000000}"/>
    <cellStyle name="table text bold" xfId="56" xr:uid="{00000000-0005-0000-0000-000038000000}"/>
    <cellStyle name="table text bold green" xfId="57" xr:uid="{00000000-0005-0000-0000-000039000000}"/>
    <cellStyle name="table text light" xfId="58" xr:uid="{00000000-0005-0000-0000-00003A000000}"/>
    <cellStyle name="Titles" xfId="59" xr:uid="{00000000-0005-0000-0000-00003B000000}"/>
    <cellStyle name="Upload Only" xfId="60" xr:uid="{00000000-0005-0000-0000-00003C000000}"/>
    <cellStyle name="x" xfId="61" xr:uid="{00000000-0005-0000-0000-00003D000000}"/>
    <cellStyle name="Year" xfId="62" xr:uid="{00000000-0005-0000-0000-00003E000000}"/>
    <cellStyle name="yen" xfId="63" xr:uid="{00000000-0005-0000-0000-00003F000000}"/>
  </cellStyles>
  <dxfs count="0"/>
  <tableStyles count="1" defaultTableStyle="TableStyleMedium9" defaultPivotStyle="PivotStyleLight16">
    <tableStyle name="Invisible" pivot="0" table="0" count="0" xr9:uid="{8362A390-4732-4D01-899B-7DD71F958D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128</xdr:col>
      <xdr:colOff>64294</xdr:colOff>
      <xdr:row>0</xdr:row>
      <xdr:rowOff>0</xdr:rowOff>
    </xdr:from>
    <xdr:to>
      <xdr:col>128</xdr:col>
      <xdr:colOff>64294</xdr:colOff>
      <xdr:row>129</xdr:row>
      <xdr:rowOff>5953</xdr:rowOff>
    </xdr:to>
    <xdr:sp macro="" textlink="">
      <xdr:nvSpPr>
        <xdr:cNvPr id="27912" name="Line 18">
          <a:extLst>
            <a:ext uri="{FF2B5EF4-FFF2-40B4-BE49-F238E27FC236}">
              <a16:creationId xmlns:a16="http://schemas.microsoft.com/office/drawing/2014/main" id="{8B383BE8-1649-8CA7-A587-E0A8BEF97340}"/>
            </a:ext>
          </a:extLst>
        </xdr:cNvPr>
        <xdr:cNvSpPr>
          <a:spLocks noChangeShapeType="1"/>
        </xdr:cNvSpPr>
      </xdr:nvSpPr>
      <xdr:spPr bwMode="auto">
        <a:xfrm flipH="1">
          <a:off x="58631138" y="0"/>
          <a:ext cx="0" cy="207406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97</xdr:col>
      <xdr:colOff>65869</xdr:colOff>
      <xdr:row>0</xdr:row>
      <xdr:rowOff>5953</xdr:rowOff>
    </xdr:from>
    <xdr:to>
      <xdr:col>97</xdr:col>
      <xdr:colOff>65869</xdr:colOff>
      <xdr:row>205</xdr:row>
      <xdr:rowOff>59531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490210-C131-CC38-AB9F-03F75C182598}"/>
            </a:ext>
          </a:extLst>
        </xdr:cNvPr>
        <xdr:cNvCxnSpPr/>
      </xdr:nvCxnSpPr>
      <xdr:spPr>
        <a:xfrm>
          <a:off x="45625135" y="5953"/>
          <a:ext cx="0" cy="2503289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215565</xdr:colOff>
      <xdr:row>6</xdr:row>
      <xdr:rowOff>41047</xdr:rowOff>
    </xdr:from>
    <xdr:to>
      <xdr:col>11</xdr:col>
      <xdr:colOff>382026</xdr:colOff>
      <xdr:row>18</xdr:row>
      <xdr:rowOff>85224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DA248F-4E05-AD57-96A4-CE44CF14C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3407" y="843152"/>
          <a:ext cx="3836093" cy="19692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596673</xdr:colOff>
      <xdr:row>7</xdr:row>
      <xdr:rowOff>75198</xdr:rowOff>
    </xdr:from>
    <xdr:to>
      <xdr:col>3</xdr:col>
      <xdr:colOff>271127</xdr:colOff>
      <xdr:row>10</xdr:row>
      <xdr:rowOff>120315</xdr:rowOff>
    </xdr:to>
    <xdr:pic>
      <xdr:nvPicPr>
        <xdr:cNvPr id="2" name="Picture 1" descr="Figure US07253286-20070807-C01204">
          <a:extLst>
            <a:ext uri="{FF2B5EF4-FFF2-40B4-BE49-F238E27FC236}">
              <a16:creationId xmlns:a16="http://schemas.microsoft.com/office/drawing/2014/main" id="{C9F01DA2-3082-DCF6-93D2-B88C5F903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555" y="1198145"/>
          <a:ext cx="1078138" cy="526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439615</xdr:colOff>
      <xdr:row>3</xdr:row>
      <xdr:rowOff>36634</xdr:rowOff>
    </xdr:from>
    <xdr:to>
      <xdr:col>17</xdr:col>
      <xdr:colOff>475480</xdr:colOff>
      <xdr:row>12</xdr:row>
      <xdr:rowOff>66087</xdr:rowOff>
    </xdr:to>
    <xdr:pic>
      <xdr:nvPicPr>
        <xdr:cNvPr id="2" name="Picture 1" descr="Olaparib - Wikipedia">
          <a:extLst>
            <a:ext uri="{FF2B5EF4-FFF2-40B4-BE49-F238E27FC236}">
              <a16:creationId xmlns:a16="http://schemas.microsoft.com/office/drawing/2014/main" id="{6EEFE893-972E-4290-AFD0-6ABF71D67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20211"/>
          <a:ext cx="3684672" cy="1480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608134</xdr:colOff>
      <xdr:row>25</xdr:row>
      <xdr:rowOff>0</xdr:rowOff>
    </xdr:from>
    <xdr:to>
      <xdr:col>19</xdr:col>
      <xdr:colOff>391626</xdr:colOff>
      <xdr:row>39</xdr:row>
      <xdr:rowOff>107012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B8C866-FAC3-47FE-8008-9A43A3E23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2788" y="3546231"/>
          <a:ext cx="3432300" cy="236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resln01s/res1/Pharmaceuticals/TRACEM/EXCEL/ROCHE/Roch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1.81/work/Oil/NEW_TEAM/Company%20models/BPA_ARCOw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CHE"/>
      <sheetName val="Valuation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gures"/>
      <sheetName val="projections"/>
    </sheetNames>
    <sheetDataSet>
      <sheetData sheetId="0" refreshError="1"/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A593782-0C54-4957-8AFA-F9666DD85167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S3" dT="2025-01-28T04:13:18.09" personId="{8A593782-0C54-4957-8AFA-F9666DD85167}" id="{EA2654BB-4EA3-47B3-B6FC-17B457A550FF}">
    <text>Growth in early stage indications</text>
  </threadedComment>
  <threadedComment ref="DO4" dT="2025-01-29T17:47:56.09" personId="{8A593782-0C54-4957-8AFA-F9666DD85167}" id="{9AC6E709-089E-411C-99CB-CA664F38A07B}">
    <text>12/16/14 approval for AZN</text>
  </threadedComment>
  <threadedComment ref="DZ4" dT="2025-01-29T17:46:21.96" personId="{8A593782-0C54-4957-8AFA-F9666DD85167}" id="{E2196511-2B33-45B8-B252-29F03CA13909}">
    <text>Litigation ongoing, may settle for 26-27?</text>
  </threadedComment>
  <threadedComment ref="CS9" dT="2025-01-28T01:29:47.56" personId="{8A593782-0C54-4957-8AFA-F9666DD85167}" id="{5F00E8E2-DB6B-4E10-97B7-BC967AF58539}">
    <text>Bad China quarter, double-digit growth in almost every other country</text>
  </threadedComment>
  <threadedComment ref="DY9" dT="2025-01-29T17:20:19.81" personId="{8A593782-0C54-4957-8AFA-F9666DD85167}" id="{5FA60626-5639-4AE5-9365-A902F10010B3}">
    <text>2.0-3.0B China</text>
  </threadedComment>
  <threadedComment ref="BR19" dT="2023-05-07T22:59:32.92" personId="{8A593782-0C54-4957-8AFA-F9666DD85167}" id="{1DBC5D47-B262-4F0A-963C-13D294E7331F}">
    <text>Approved 11/08/2017</text>
  </threadedComment>
  <threadedComment ref="CS31" dT="2025-01-28T01:26:59.31" personId="{8A593782-0C54-4957-8AFA-F9666DD85167}" id="{743FD384-0E35-44B2-981D-8EFF98B32E47}">
    <text>Approved in EU</text>
  </threadedComment>
  <threadedComment ref="CC86" dT="2022-09-13T11:07:18.69" personId="{8A593782-0C54-4957-8AFA-F9666DD85167}" id="{A29B3FF7-0F38-41FD-8B90-13892A472691}">
    <text>Was 1,197</text>
  </threadedComment>
  <threadedComment ref="CM117" dT="2024-05-31T01:27:59.35" personId="{8A593782-0C54-4957-8AFA-F9666DD85167}" id="{C1BD413A-99FF-41DF-937A-88EF8D616602}">
    <text>Excludes Lagevrio</text>
  </threadedComment>
  <threadedComment ref="CN117" dT="2024-05-31T01:27:59.35" personId="{8A593782-0C54-4957-8AFA-F9666DD85167}" id="{F4D29010-B63C-4B58-B2E6-142C51012576}">
    <text>Excludes Lagevrio</text>
  </threadedComment>
  <threadedComment ref="CO117" dT="2024-05-31T01:27:59.35" personId="{8A593782-0C54-4957-8AFA-F9666DD85167}" id="{7821796D-9EB0-4DFB-8766-A9582AD4F077}">
    <text>Excludes Lagevrio</text>
  </threadedComment>
  <threadedComment ref="CP117" dT="2024-05-31T01:27:59.35" personId="{8A593782-0C54-4957-8AFA-F9666DD85167}" id="{99E8A869-9A70-49E7-AF36-9A3825C38124}">
    <text>Excludes Lagevrio</text>
  </threadedComment>
  <threadedComment ref="CS118" dT="2025-01-28T01:26:21.09" personId="{8A593782-0C54-4957-8AFA-F9666DD85167}" id="{140DB855-F5DD-4991-9A54-36A299C8D9FE}">
    <text>21% cc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RK/CGRP%20Lancet%202008%20paper.pdf" TargetMode="External"/><Relationship Id="rId1" Type="http://schemas.openxmlformats.org/officeDocument/2006/relationships/hyperlink" Target="MRK/CGRP%20Lancet%202008%20editorial.pdf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B59" sqref="B59"/>
    </sheetView>
  </sheetViews>
  <sheetFormatPr defaultColWidth="8.85546875" defaultRowHeight="12.75"/>
  <cols>
    <col min="1" max="1" width="5" bestFit="1" customWidth="1"/>
    <col min="2" max="2" width="13.85546875" customWidth="1"/>
    <col min="3" max="3" width="13.42578125" customWidth="1"/>
    <col min="4" max="4" width="10.140625" style="76" customWidth="1"/>
    <col min="5" max="5" width="17.140625" customWidth="1"/>
  </cols>
  <sheetData>
    <row r="1" spans="1:11">
      <c r="A1" s="77" t="s">
        <v>8</v>
      </c>
    </row>
    <row r="2" spans="1:11">
      <c r="B2" s="73" t="s">
        <v>755</v>
      </c>
      <c r="C2" s="73" t="s">
        <v>756</v>
      </c>
      <c r="D2" s="78" t="s">
        <v>3</v>
      </c>
      <c r="E2" s="73" t="s">
        <v>760</v>
      </c>
      <c r="K2" t="s">
        <v>198</v>
      </c>
    </row>
    <row r="3" spans="1:11">
      <c r="C3" s="73" t="s">
        <v>580</v>
      </c>
      <c r="D3" s="78" t="s">
        <v>360</v>
      </c>
      <c r="E3" s="73" t="s">
        <v>359</v>
      </c>
    </row>
    <row r="4" spans="1:11">
      <c r="B4" s="73" t="s">
        <v>774</v>
      </c>
      <c r="C4" s="73" t="s">
        <v>773</v>
      </c>
      <c r="D4" s="48" t="s">
        <v>336</v>
      </c>
      <c r="E4" s="48" t="s">
        <v>335</v>
      </c>
      <c r="F4" s="55">
        <v>1</v>
      </c>
      <c r="G4" s="48">
        <v>1995</v>
      </c>
      <c r="H4" s="79" t="s">
        <v>186</v>
      </c>
    </row>
    <row r="5" spans="1:11">
      <c r="B5" s="73" t="s">
        <v>487</v>
      </c>
      <c r="C5" s="73" t="s">
        <v>775</v>
      </c>
      <c r="D5" s="57" t="s">
        <v>581</v>
      </c>
      <c r="E5" s="48"/>
      <c r="F5" s="57" t="s">
        <v>582</v>
      </c>
      <c r="G5" s="57" t="s">
        <v>583</v>
      </c>
      <c r="H5" s="57" t="s">
        <v>446</v>
      </c>
    </row>
    <row r="6" spans="1:11">
      <c r="B6" s="77" t="s">
        <v>11</v>
      </c>
      <c r="D6" s="48" t="s">
        <v>15</v>
      </c>
      <c r="E6" s="48" t="s">
        <v>219</v>
      </c>
      <c r="F6" s="55">
        <v>1</v>
      </c>
      <c r="G6" s="48">
        <v>2008</v>
      </c>
    </row>
    <row r="7" spans="1:11">
      <c r="B7" s="73" t="s">
        <v>757</v>
      </c>
    </row>
    <row r="8" spans="1:11">
      <c r="B8" s="64" t="s">
        <v>417</v>
      </c>
      <c r="C8" s="48" t="s">
        <v>228</v>
      </c>
      <c r="D8" s="48"/>
      <c r="E8" s="55"/>
      <c r="F8" s="57" t="s">
        <v>418</v>
      </c>
      <c r="G8" s="58" t="s">
        <v>206</v>
      </c>
      <c r="J8" s="49"/>
    </row>
    <row r="9" spans="1:11">
      <c r="B9" s="77" t="s">
        <v>470</v>
      </c>
      <c r="D9" s="48" t="s">
        <v>228</v>
      </c>
      <c r="E9" s="48" t="s">
        <v>235</v>
      </c>
      <c r="F9" s="55">
        <v>1</v>
      </c>
      <c r="G9" s="56">
        <v>38191</v>
      </c>
      <c r="H9" s="57" t="s">
        <v>652</v>
      </c>
    </row>
    <row r="10" spans="1:11">
      <c r="B10" s="4" t="s">
        <v>469</v>
      </c>
      <c r="D10" s="57" t="s">
        <v>228</v>
      </c>
      <c r="E10" s="48"/>
      <c r="F10" s="63">
        <v>1</v>
      </c>
      <c r="G10" s="56">
        <v>37554</v>
      </c>
      <c r="H10" s="57" t="s">
        <v>472</v>
      </c>
    </row>
    <row r="11" spans="1:11">
      <c r="B11" s="77" t="s">
        <v>771</v>
      </c>
      <c r="C11" s="73" t="s">
        <v>772</v>
      </c>
      <c r="D11" s="48" t="s">
        <v>187</v>
      </c>
      <c r="E11" s="48" t="s">
        <v>182</v>
      </c>
      <c r="F11" s="55">
        <v>1</v>
      </c>
      <c r="G11" s="57"/>
      <c r="H11" s="48"/>
      <c r="J11" s="49"/>
    </row>
    <row r="12" spans="1:11">
      <c r="B12" s="77" t="s">
        <v>10</v>
      </c>
      <c r="C12" s="73" t="s">
        <v>441</v>
      </c>
      <c r="D12" s="48" t="s">
        <v>204</v>
      </c>
      <c r="E12" s="48" t="s">
        <v>218</v>
      </c>
      <c r="F12" s="55">
        <v>1</v>
      </c>
      <c r="G12" s="48">
        <v>2002</v>
      </c>
      <c r="H12" s="48" t="s">
        <v>438</v>
      </c>
    </row>
    <row r="13" spans="1:11">
      <c r="B13" s="77" t="s">
        <v>128</v>
      </c>
      <c r="D13" s="48" t="s">
        <v>155</v>
      </c>
      <c r="E13" s="48" t="s">
        <v>220</v>
      </c>
      <c r="F13" s="55">
        <v>1</v>
      </c>
      <c r="G13" s="48"/>
      <c r="H13" s="48" t="s">
        <v>446</v>
      </c>
      <c r="J13" s="49"/>
    </row>
    <row r="14" spans="1:11">
      <c r="B14" s="64" t="s">
        <v>96</v>
      </c>
      <c r="C14" s="48" t="s">
        <v>396</v>
      </c>
      <c r="D14" s="48" t="s">
        <v>397</v>
      </c>
      <c r="E14" s="55" t="s">
        <v>399</v>
      </c>
      <c r="F14" s="48"/>
      <c r="G14" s="58" t="s">
        <v>398</v>
      </c>
      <c r="J14" s="49"/>
    </row>
    <row r="15" spans="1:11">
      <c r="B15" s="62" t="s">
        <v>603</v>
      </c>
      <c r="C15" s="57" t="s">
        <v>604</v>
      </c>
      <c r="D15" s="57" t="s">
        <v>605</v>
      </c>
      <c r="E15" s="63" t="s">
        <v>168</v>
      </c>
      <c r="F15" s="57" t="s">
        <v>606</v>
      </c>
      <c r="G15" s="58"/>
      <c r="J15" s="49"/>
    </row>
    <row r="16" spans="1:11">
      <c r="B16" s="62" t="s">
        <v>633</v>
      </c>
      <c r="C16" s="57" t="s">
        <v>634</v>
      </c>
      <c r="D16" s="57" t="s">
        <v>635</v>
      </c>
      <c r="E16" s="63">
        <v>1</v>
      </c>
      <c r="F16" s="57">
        <v>2005</v>
      </c>
      <c r="G16" s="61" t="s">
        <v>636</v>
      </c>
      <c r="J16" s="49"/>
    </row>
    <row r="17" spans="2:10">
      <c r="B17" s="74" t="s">
        <v>162</v>
      </c>
      <c r="C17" s="48"/>
      <c r="D17" s="48"/>
      <c r="E17" s="55"/>
      <c r="F17" s="48"/>
      <c r="G17" s="48"/>
      <c r="J17" s="49"/>
    </row>
    <row r="18" spans="2:10">
      <c r="B18" s="54" t="s">
        <v>776</v>
      </c>
      <c r="C18" s="57" t="s">
        <v>575</v>
      </c>
      <c r="D18" s="57" t="s">
        <v>574</v>
      </c>
      <c r="E18" s="55">
        <v>1</v>
      </c>
      <c r="F18" s="57" t="s">
        <v>333</v>
      </c>
      <c r="G18" s="61" t="s">
        <v>206</v>
      </c>
      <c r="J18" s="49"/>
    </row>
    <row r="19" spans="2:10">
      <c r="B19" s="64" t="s">
        <v>344</v>
      </c>
      <c r="C19" s="48" t="s">
        <v>345</v>
      </c>
      <c r="D19" s="48" t="s">
        <v>346</v>
      </c>
      <c r="E19" s="55">
        <v>1</v>
      </c>
      <c r="F19" s="48">
        <v>2001</v>
      </c>
      <c r="G19" s="57"/>
      <c r="J19" s="49"/>
    </row>
    <row r="20" spans="2:10">
      <c r="B20" s="77"/>
      <c r="C20" s="57"/>
      <c r="D20" s="57"/>
      <c r="E20" s="55"/>
      <c r="F20" s="57"/>
      <c r="G20" s="57"/>
      <c r="J20" s="49"/>
    </row>
    <row r="21" spans="2:10">
      <c r="B21" s="77"/>
      <c r="C21" s="57"/>
      <c r="D21" s="57"/>
      <c r="E21" s="55"/>
      <c r="F21" s="57"/>
      <c r="G21" s="57"/>
      <c r="J21" s="49"/>
    </row>
    <row r="22" spans="2:10">
      <c r="B22" s="77"/>
      <c r="C22" s="57"/>
      <c r="D22" s="57"/>
      <c r="E22" s="55"/>
      <c r="F22" s="57"/>
      <c r="G22" s="57"/>
      <c r="J22" s="49"/>
    </row>
    <row r="23" spans="2:10">
      <c r="B23" s="77"/>
      <c r="C23" s="57"/>
      <c r="D23" s="57"/>
      <c r="E23" s="55"/>
      <c r="F23" s="57"/>
      <c r="G23" s="57"/>
      <c r="J23" s="49"/>
    </row>
    <row r="24" spans="2:10">
      <c r="B24" s="77"/>
      <c r="C24" s="57"/>
      <c r="D24" s="57"/>
      <c r="E24" s="55"/>
      <c r="F24" s="57"/>
      <c r="G24" s="57"/>
      <c r="J24" s="49"/>
    </row>
    <row r="25" spans="2:10">
      <c r="B25" s="77"/>
      <c r="C25" s="57"/>
      <c r="D25" s="57"/>
      <c r="E25" s="55"/>
      <c r="F25" s="57"/>
      <c r="G25" s="57"/>
      <c r="J25" s="49"/>
    </row>
    <row r="26" spans="2:10">
      <c r="B26" s="77"/>
      <c r="C26" s="57"/>
      <c r="D26" s="57"/>
      <c r="E26" s="55"/>
      <c r="F26" s="57"/>
      <c r="G26" s="57"/>
      <c r="J26" s="49"/>
    </row>
    <row r="27" spans="2:10">
      <c r="B27" s="77"/>
      <c r="C27" s="57"/>
      <c r="D27" s="57"/>
      <c r="E27" s="55"/>
      <c r="F27" s="57"/>
      <c r="G27" s="57"/>
      <c r="J27" s="49"/>
    </row>
    <row r="28" spans="2:10">
      <c r="B28" s="77"/>
      <c r="C28" s="57"/>
      <c r="D28" s="57"/>
      <c r="E28" s="55"/>
      <c r="F28" s="57"/>
      <c r="G28" s="57"/>
      <c r="J28" s="49"/>
    </row>
    <row r="29" spans="2:10">
      <c r="B29" s="16" t="s">
        <v>672</v>
      </c>
    </row>
    <row r="30" spans="2:10">
      <c r="B30" s="73" t="s">
        <v>358</v>
      </c>
      <c r="D30" s="78" t="s">
        <v>360</v>
      </c>
      <c r="E30" s="73" t="s">
        <v>359</v>
      </c>
    </row>
    <row r="31" spans="2:10">
      <c r="B31" s="73" t="s">
        <v>762</v>
      </c>
      <c r="C31" s="73" t="s">
        <v>761</v>
      </c>
      <c r="D31" s="78" t="s">
        <v>228</v>
      </c>
      <c r="E31" s="73" t="s">
        <v>223</v>
      </c>
    </row>
    <row r="32" spans="2:10">
      <c r="B32" s="4" t="s">
        <v>464</v>
      </c>
    </row>
    <row r="33" spans="2:11">
      <c r="B33" s="4" t="s">
        <v>465</v>
      </c>
    </row>
    <row r="34" spans="2:11">
      <c r="B34" s="4" t="s">
        <v>676</v>
      </c>
    </row>
    <row r="35" spans="2:11">
      <c r="B35" s="4" t="s">
        <v>677</v>
      </c>
    </row>
    <row r="36" spans="2:11">
      <c r="B36" s="4" t="s">
        <v>682</v>
      </c>
    </row>
    <row r="37" spans="2:11">
      <c r="B37" s="77" t="s">
        <v>339</v>
      </c>
      <c r="C37" t="s">
        <v>338</v>
      </c>
      <c r="D37" s="76" t="s">
        <v>216</v>
      </c>
      <c r="E37" s="55"/>
      <c r="G37" s="48" t="s">
        <v>333</v>
      </c>
      <c r="H37" s="48" t="s">
        <v>388</v>
      </c>
      <c r="I37" s="48" t="s">
        <v>206</v>
      </c>
      <c r="J37" s="4"/>
      <c r="K37" s="49"/>
    </row>
    <row r="38" spans="2:11">
      <c r="B38" s="77" t="s">
        <v>124</v>
      </c>
      <c r="C38" s="75" t="s">
        <v>340</v>
      </c>
      <c r="D38" s="76" t="s">
        <v>216</v>
      </c>
      <c r="E38" s="55"/>
      <c r="G38" s="48" t="s">
        <v>333</v>
      </c>
      <c r="H38" s="48"/>
      <c r="I38" s="48"/>
      <c r="K38" s="49"/>
    </row>
    <row r="39" spans="2:11">
      <c r="B39" s="73" t="s">
        <v>764</v>
      </c>
      <c r="C39" s="73" t="s">
        <v>763</v>
      </c>
      <c r="D39" s="76" t="s">
        <v>260</v>
      </c>
      <c r="E39" s="48" t="s">
        <v>431</v>
      </c>
      <c r="F39" s="55">
        <v>1</v>
      </c>
      <c r="G39" s="48" t="s">
        <v>333</v>
      </c>
    </row>
    <row r="40" spans="2:11">
      <c r="B40" s="77" t="s">
        <v>769</v>
      </c>
      <c r="C40" s="73" t="s">
        <v>414</v>
      </c>
      <c r="D40" s="76" t="s">
        <v>450</v>
      </c>
      <c r="E40" s="48" t="s">
        <v>390</v>
      </c>
      <c r="F40" s="55">
        <v>1</v>
      </c>
      <c r="G40" s="48" t="s">
        <v>333</v>
      </c>
      <c r="H40" s="48" t="s">
        <v>206</v>
      </c>
    </row>
    <row r="41" spans="2:11">
      <c r="B41" s="54" t="s">
        <v>342</v>
      </c>
      <c r="C41" s="48" t="s">
        <v>261</v>
      </c>
      <c r="D41" s="57" t="s">
        <v>343</v>
      </c>
      <c r="E41" s="57" t="s">
        <v>669</v>
      </c>
      <c r="F41" s="48" t="s">
        <v>333</v>
      </c>
      <c r="G41" s="58"/>
      <c r="J41" s="49"/>
    </row>
    <row r="42" spans="2:11">
      <c r="B42" s="62" t="s">
        <v>592</v>
      </c>
      <c r="C42" s="57" t="s">
        <v>228</v>
      </c>
      <c r="D42" s="57" t="s">
        <v>235</v>
      </c>
      <c r="E42" s="63">
        <v>1</v>
      </c>
      <c r="F42" s="57" t="s">
        <v>583</v>
      </c>
      <c r="G42" s="61"/>
      <c r="I42" s="4"/>
      <c r="J42" s="49"/>
    </row>
    <row r="43" spans="2:11">
      <c r="B43" s="62" t="s">
        <v>576</v>
      </c>
      <c r="C43" s="57" t="s">
        <v>578</v>
      </c>
      <c r="D43" s="57" t="s">
        <v>579</v>
      </c>
      <c r="E43" s="63" t="s">
        <v>577</v>
      </c>
      <c r="F43" s="48" t="s">
        <v>333</v>
      </c>
    </row>
    <row r="44" spans="2:11">
      <c r="B44" s="74" t="s">
        <v>821</v>
      </c>
      <c r="C44" s="48" t="s">
        <v>259</v>
      </c>
      <c r="D44" s="48"/>
      <c r="E44" s="48"/>
      <c r="F44" s="48" t="s">
        <v>341</v>
      </c>
      <c r="G44" s="58"/>
      <c r="I44" s="4"/>
      <c r="J44" s="49"/>
    </row>
    <row r="45" spans="2:11">
      <c r="B45" s="64" t="s">
        <v>384</v>
      </c>
      <c r="C45" s="48" t="s">
        <v>385</v>
      </c>
      <c r="D45" s="48" t="s">
        <v>386</v>
      </c>
      <c r="E45" s="55">
        <v>1</v>
      </c>
      <c r="F45" s="48" t="s">
        <v>387</v>
      </c>
    </row>
    <row r="46" spans="2:11">
      <c r="B46" s="62" t="s">
        <v>413</v>
      </c>
      <c r="C46" s="57" t="s">
        <v>228</v>
      </c>
    </row>
    <row r="47" spans="2:11">
      <c r="B47" t="s">
        <v>593</v>
      </c>
    </row>
    <row r="48" spans="2:11">
      <c r="B48" s="64" t="s">
        <v>262</v>
      </c>
      <c r="C48" s="48" t="s">
        <v>12</v>
      </c>
      <c r="D48" s="75" t="s">
        <v>828</v>
      </c>
      <c r="E48" s="48"/>
      <c r="F48" s="48" t="s">
        <v>341</v>
      </c>
    </row>
    <row r="49" spans="2:10">
      <c r="B49" s="74" t="s">
        <v>423</v>
      </c>
      <c r="C49" s="48" t="s">
        <v>424</v>
      </c>
      <c r="D49" s="48"/>
      <c r="E49" s="48"/>
      <c r="F49" s="48" t="s">
        <v>341</v>
      </c>
    </row>
    <row r="50" spans="2:10">
      <c r="B50" s="64" t="s">
        <v>331</v>
      </c>
      <c r="C50" s="48" t="s">
        <v>1</v>
      </c>
      <c r="D50" s="48" t="s">
        <v>332</v>
      </c>
      <c r="E50" s="55">
        <v>1</v>
      </c>
      <c r="F50" s="48" t="s">
        <v>389</v>
      </c>
    </row>
    <row r="51" spans="2:10">
      <c r="B51" s="64" t="s">
        <v>427</v>
      </c>
      <c r="C51" s="75" t="s">
        <v>823</v>
      </c>
      <c r="D51" s="75" t="s">
        <v>854</v>
      </c>
      <c r="E51" s="55"/>
      <c r="F51" s="48" t="s">
        <v>389</v>
      </c>
    </row>
    <row r="52" spans="2:10">
      <c r="B52" s="64" t="s">
        <v>426</v>
      </c>
      <c r="C52" s="48"/>
      <c r="D52" s="75" t="s">
        <v>855</v>
      </c>
      <c r="E52" s="55"/>
      <c r="F52" s="48" t="s">
        <v>389</v>
      </c>
    </row>
    <row r="53" spans="2:10">
      <c r="B53" s="64" t="s">
        <v>429</v>
      </c>
      <c r="C53" s="48" t="s">
        <v>430</v>
      </c>
      <c r="D53" s="75" t="s">
        <v>856</v>
      </c>
      <c r="E53" s="55"/>
      <c r="F53" s="48" t="s">
        <v>389</v>
      </c>
    </row>
    <row r="54" spans="2:10">
      <c r="B54" s="64" t="s">
        <v>428</v>
      </c>
      <c r="C54" s="48"/>
      <c r="D54" s="75" t="s">
        <v>858</v>
      </c>
      <c r="E54" s="119" t="s">
        <v>857</v>
      </c>
      <c r="F54" s="48" t="s">
        <v>389</v>
      </c>
    </row>
    <row r="55" spans="2:10">
      <c r="B55" s="64" t="s">
        <v>159</v>
      </c>
      <c r="C55" s="48" t="s">
        <v>160</v>
      </c>
    </row>
    <row r="56" spans="2:10">
      <c r="B56" s="64" t="s">
        <v>361</v>
      </c>
      <c r="C56" s="48" t="s">
        <v>360</v>
      </c>
      <c r="D56" s="48" t="s">
        <v>362</v>
      </c>
      <c r="E56" s="55">
        <v>1</v>
      </c>
    </row>
    <row r="57" spans="2:10">
      <c r="B57" s="66" t="s">
        <v>161</v>
      </c>
      <c r="C57" s="67" t="s">
        <v>160</v>
      </c>
    </row>
    <row r="58" spans="2:10">
      <c r="B58" s="135" t="s">
        <v>825</v>
      </c>
      <c r="C58" s="136" t="s">
        <v>1115</v>
      </c>
      <c r="J58" s="73" t="s">
        <v>1116</v>
      </c>
    </row>
  </sheetData>
  <hyperlinks>
    <hyperlink ref="B37" location="'524'!A1" display="MK-524A" xr:uid="{00000000-0004-0000-0000-000000000000}"/>
    <hyperlink ref="B38" location="'524'!A1" display="MK-524B" xr:uid="{00000000-0004-0000-0000-000001000000}"/>
    <hyperlink ref="A1" location="Main!A1" display="Main" xr:uid="{906BAA23-997E-4339-827F-58C0E4D40446}"/>
    <hyperlink ref="B40" location="telcagepant!A1" display="MK-974 (telcagepant)" xr:uid="{00000000-0004-0000-0200-00000A000000}"/>
    <hyperlink ref="B6" location="Fosamax!A1" display="Fosamax" xr:uid="{00000000-0004-0000-0200-000009000000}"/>
    <hyperlink ref="B9" location="Vytorin!A1" display="Vytorin" xr:uid="{00000000-0004-0000-0200-00000B000000}"/>
    <hyperlink ref="B11" location="Zolinza!A1" display="Zolinza (SAHA)" xr:uid="{00000000-0004-0000-0200-000001000000}"/>
    <hyperlink ref="B12" location="Singulair!A1" display="Singulair" xr:uid="{00000000-0004-0000-0200-000008000000}"/>
    <hyperlink ref="B13" location="Zostavax!A1" display="Zostavax" xr:uid="{00000000-0004-0000-0200-000003000000}"/>
    <hyperlink ref="B41" location="odanacatib!A1" display="odanacatib (MK-0882)" xr:uid="{00000000-0004-0000-0200-00000C000000}"/>
    <hyperlink ref="B18" location="vorapaxar!A1" display="vorapaxar" xr:uid="{00000000-0004-0000-0200-00000D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7981C-8D40-49C4-8F02-2FFF268709B7}">
  <dimension ref="A1:C9"/>
  <sheetViews>
    <sheetView zoomScale="145" zoomScaleNormal="145" workbookViewId="0">
      <selection activeCell="C9" sqref="C9"/>
    </sheetView>
  </sheetViews>
  <sheetFormatPr defaultColWidth="8.85546875" defaultRowHeight="12.75"/>
  <cols>
    <col min="1" max="1" width="5" bestFit="1" customWidth="1"/>
    <col min="2" max="2" width="12" bestFit="1" customWidth="1"/>
  </cols>
  <sheetData>
    <row r="1" spans="1:3">
      <c r="A1" s="5" t="s">
        <v>8</v>
      </c>
    </row>
    <row r="2" spans="1:3">
      <c r="B2" s="73" t="s">
        <v>755</v>
      </c>
      <c r="C2" s="73" t="s">
        <v>906</v>
      </c>
    </row>
    <row r="3" spans="1:3">
      <c r="B3" s="73" t="s">
        <v>756</v>
      </c>
      <c r="C3" s="73" t="s">
        <v>907</v>
      </c>
    </row>
    <row r="4" spans="1:3">
      <c r="B4" s="73" t="s">
        <v>760</v>
      </c>
      <c r="C4" s="73" t="s">
        <v>908</v>
      </c>
    </row>
    <row r="5" spans="1:3">
      <c r="B5" s="73" t="s">
        <v>3</v>
      </c>
      <c r="C5" s="73" t="s">
        <v>909</v>
      </c>
    </row>
    <row r="6" spans="1:3">
      <c r="B6" s="73" t="s">
        <v>268</v>
      </c>
      <c r="C6" s="73" t="s">
        <v>905</v>
      </c>
    </row>
    <row r="7" spans="1:3">
      <c r="B7" s="73" t="s">
        <v>210</v>
      </c>
    </row>
    <row r="8" spans="1:3">
      <c r="C8" s="16" t="s">
        <v>913</v>
      </c>
    </row>
    <row r="9" spans="1:3">
      <c r="C9" s="73" t="s">
        <v>910</v>
      </c>
    </row>
  </sheetData>
  <hyperlinks>
    <hyperlink ref="A1" location="Main!A1" display="Main" xr:uid="{2799A7CE-31AA-4E0E-899A-2C492B29510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/>
  </sheetViews>
  <sheetFormatPr defaultColWidth="8.85546875" defaultRowHeight="12.75"/>
  <cols>
    <col min="1" max="1" width="5" bestFit="1" customWidth="1"/>
    <col min="2" max="2" width="13" customWidth="1"/>
  </cols>
  <sheetData>
    <row r="1" spans="1:3">
      <c r="A1" s="5" t="s">
        <v>8</v>
      </c>
    </row>
    <row r="2" spans="1:3">
      <c r="A2" s="5"/>
      <c r="B2" t="s">
        <v>179</v>
      </c>
      <c r="C2" t="s">
        <v>18</v>
      </c>
    </row>
    <row r="3" spans="1:3">
      <c r="A3" s="5"/>
      <c r="B3" t="s">
        <v>178</v>
      </c>
      <c r="C3" t="s">
        <v>596</v>
      </c>
    </row>
    <row r="4" spans="1:3">
      <c r="A4" s="5"/>
      <c r="B4" t="s">
        <v>3</v>
      </c>
      <c r="C4" t="s">
        <v>597</v>
      </c>
    </row>
    <row r="5" spans="1:3">
      <c r="A5" s="5"/>
      <c r="B5" t="s">
        <v>270</v>
      </c>
      <c r="C5" t="s">
        <v>206</v>
      </c>
    </row>
    <row r="6" spans="1:3">
      <c r="B6" t="s">
        <v>196</v>
      </c>
      <c r="C6" t="s">
        <v>197</v>
      </c>
    </row>
    <row r="7" spans="1:3">
      <c r="B7" t="s">
        <v>5</v>
      </c>
      <c r="C7" t="s">
        <v>595</v>
      </c>
    </row>
    <row r="8" spans="1:3">
      <c r="B8" s="4" t="s">
        <v>444</v>
      </c>
      <c r="C8" s="4" t="s">
        <v>601</v>
      </c>
    </row>
    <row r="9" spans="1:3">
      <c r="B9" t="s">
        <v>210</v>
      </c>
    </row>
    <row r="10" spans="1:3">
      <c r="C10" s="16" t="s">
        <v>598</v>
      </c>
    </row>
    <row r="11" spans="1:3">
      <c r="C11" s="4" t="s">
        <v>599</v>
      </c>
    </row>
    <row r="12" spans="1:3">
      <c r="C12" s="4" t="s">
        <v>600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F3E4-DC5D-4D31-8D50-6936298325C5}">
  <dimension ref="A1:C7"/>
  <sheetViews>
    <sheetView zoomScale="175" zoomScaleNormal="175" workbookViewId="0"/>
  </sheetViews>
  <sheetFormatPr defaultColWidth="8.85546875" defaultRowHeight="12.75"/>
  <cols>
    <col min="1" max="1" width="5" bestFit="1" customWidth="1"/>
    <col min="2" max="2" width="12" bestFit="1" customWidth="1"/>
  </cols>
  <sheetData>
    <row r="1" spans="1:3">
      <c r="A1" s="5" t="s">
        <v>8</v>
      </c>
    </row>
    <row r="2" spans="1:3">
      <c r="B2" t="s">
        <v>755</v>
      </c>
      <c r="C2" t="s">
        <v>916</v>
      </c>
    </row>
    <row r="3" spans="1:3">
      <c r="B3" t="s">
        <v>268</v>
      </c>
      <c r="C3" t="s">
        <v>919</v>
      </c>
    </row>
    <row r="4" spans="1:3">
      <c r="B4" t="s">
        <v>760</v>
      </c>
      <c r="C4" t="s">
        <v>920</v>
      </c>
    </row>
    <row r="5" spans="1:3">
      <c r="B5" t="s">
        <v>210</v>
      </c>
    </row>
    <row r="6" spans="1:3">
      <c r="C6" s="125" t="s">
        <v>921</v>
      </c>
    </row>
    <row r="7" spans="1:3">
      <c r="C7" t="s">
        <v>922</v>
      </c>
    </row>
  </sheetData>
  <hyperlinks>
    <hyperlink ref="A1" location="Main!A1" display="Main" xr:uid="{6637A397-9CD2-4E73-B7A1-1BC5D0F35C9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3C53-2264-4EB1-99AD-068D10083089}">
  <dimension ref="A1:C17"/>
  <sheetViews>
    <sheetView zoomScale="175" zoomScaleNormal="175" workbookViewId="0"/>
  </sheetViews>
  <sheetFormatPr defaultRowHeight="12.75"/>
  <cols>
    <col min="1" max="1" width="5" bestFit="1" customWidth="1"/>
    <col min="2" max="2" width="12.28515625" customWidth="1"/>
    <col min="3" max="3" width="14.85546875" customWidth="1"/>
  </cols>
  <sheetData>
    <row r="1" spans="1:3">
      <c r="A1" s="5" t="s">
        <v>8</v>
      </c>
    </row>
    <row r="2" spans="1:3">
      <c r="B2" s="73" t="s">
        <v>755</v>
      </c>
      <c r="C2" s="73" t="s">
        <v>822</v>
      </c>
    </row>
    <row r="3" spans="1:3">
      <c r="B3" s="73" t="s">
        <v>5</v>
      </c>
      <c r="C3" s="73" t="s">
        <v>1107</v>
      </c>
    </row>
    <row r="4" spans="1:3">
      <c r="B4" s="73" t="s">
        <v>210</v>
      </c>
    </row>
    <row r="6" spans="1:3">
      <c r="C6" s="16" t="s">
        <v>1105</v>
      </c>
    </row>
    <row r="7" spans="1:3">
      <c r="C7" s="73" t="s">
        <v>1106</v>
      </c>
    </row>
    <row r="10" spans="1:3">
      <c r="C10" s="16" t="s">
        <v>1108</v>
      </c>
    </row>
    <row r="11" spans="1:3">
      <c r="C11" s="73" t="s">
        <v>1112</v>
      </c>
    </row>
    <row r="13" spans="1:3">
      <c r="C13" s="16" t="s">
        <v>1109</v>
      </c>
    </row>
    <row r="16" spans="1:3">
      <c r="C16" s="16" t="s">
        <v>1110</v>
      </c>
    </row>
    <row r="17" spans="3:3">
      <c r="C17" s="73" t="s">
        <v>1111</v>
      </c>
    </row>
  </sheetData>
  <hyperlinks>
    <hyperlink ref="A1" location="Main!A1" display="Main" xr:uid="{BCFE456C-F1A7-4092-9A37-6662173AA70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topLeftCell="A2" workbookViewId="0">
      <selection activeCell="Q53" sqref="Q52:Q53"/>
    </sheetView>
  </sheetViews>
  <sheetFormatPr defaultColWidth="8.85546875" defaultRowHeight="12.75"/>
  <cols>
    <col min="1" max="1" width="5" bestFit="1" customWidth="1"/>
    <col min="2" max="2" width="5.85546875" bestFit="1" customWidth="1"/>
  </cols>
  <sheetData>
    <row r="1" spans="1:3">
      <c r="A1" s="5" t="s">
        <v>8</v>
      </c>
    </row>
    <row r="2" spans="1:3">
      <c r="B2" s="73" t="s">
        <v>755</v>
      </c>
      <c r="C2" s="73" t="s">
        <v>128</v>
      </c>
    </row>
    <row r="3" spans="1:3">
      <c r="C3" t="s">
        <v>154</v>
      </c>
    </row>
    <row r="4" spans="1:3">
      <c r="C4" t="s">
        <v>156</v>
      </c>
    </row>
    <row r="5" spans="1:3">
      <c r="C5" t="s">
        <v>169</v>
      </c>
    </row>
    <row r="6" spans="1:3">
      <c r="C6" t="s">
        <v>170</v>
      </c>
    </row>
    <row r="7" spans="1:3">
      <c r="C7" s="73" t="s">
        <v>874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/>
  </sheetViews>
  <sheetFormatPr defaultColWidth="8.85546875" defaultRowHeight="12.75"/>
  <cols>
    <col min="1" max="1" width="5" bestFit="1" customWidth="1"/>
    <col min="2" max="2" width="12" bestFit="1" customWidth="1"/>
    <col min="3" max="3" width="10.140625" bestFit="1" customWidth="1"/>
    <col min="4" max="10" width="12" customWidth="1"/>
    <col min="11" max="12" width="10.28515625" style="71" customWidth="1"/>
  </cols>
  <sheetData>
    <row r="1" spans="1:12">
      <c r="A1" s="70" t="s">
        <v>8</v>
      </c>
    </row>
    <row r="2" spans="1:12">
      <c r="B2" t="s">
        <v>179</v>
      </c>
      <c r="C2" t="s">
        <v>105</v>
      </c>
    </row>
    <row r="3" spans="1:12">
      <c r="B3" t="s">
        <v>210</v>
      </c>
    </row>
    <row r="4" spans="1:12">
      <c r="C4" s="16" t="s">
        <v>496</v>
      </c>
    </row>
    <row r="5" spans="1:12">
      <c r="C5" s="4" t="s">
        <v>497</v>
      </c>
    </row>
    <row r="7" spans="1:12">
      <c r="C7" s="16" t="s">
        <v>419</v>
      </c>
    </row>
    <row r="8" spans="1:12">
      <c r="C8" t="s">
        <v>420</v>
      </c>
    </row>
    <row r="9" spans="1:12">
      <c r="C9" t="s">
        <v>449</v>
      </c>
    </row>
    <row r="12" spans="1:12">
      <c r="B12" s="4" t="s">
        <v>322</v>
      </c>
      <c r="D12" s="30" t="s">
        <v>105</v>
      </c>
      <c r="E12" s="30" t="s">
        <v>488</v>
      </c>
      <c r="F12" s="30" t="s">
        <v>493</v>
      </c>
      <c r="G12" s="30" t="s">
        <v>489</v>
      </c>
      <c r="H12" s="30" t="s">
        <v>490</v>
      </c>
      <c r="I12" s="30" t="s">
        <v>492</v>
      </c>
      <c r="J12" s="30" t="s">
        <v>491</v>
      </c>
      <c r="K12" s="30" t="s">
        <v>494</v>
      </c>
      <c r="L12" s="30" t="s">
        <v>495</v>
      </c>
    </row>
    <row r="13" spans="1:12">
      <c r="B13" s="4"/>
      <c r="C13" s="72">
        <f t="shared" ref="C13:C24" si="0">C14+7</f>
        <v>40151</v>
      </c>
    </row>
    <row r="14" spans="1:12">
      <c r="B14" s="4"/>
      <c r="C14" s="72">
        <f t="shared" si="0"/>
        <v>40144</v>
      </c>
    </row>
    <row r="15" spans="1:12">
      <c r="B15" s="4"/>
      <c r="C15" s="72">
        <f t="shared" si="0"/>
        <v>40137</v>
      </c>
    </row>
    <row r="16" spans="1:12">
      <c r="B16" s="4"/>
      <c r="C16" s="72">
        <f t="shared" si="0"/>
        <v>40130</v>
      </c>
    </row>
    <row r="17" spans="2:12">
      <c r="B17" s="4"/>
      <c r="C17" s="72">
        <f t="shared" si="0"/>
        <v>40123</v>
      </c>
    </row>
    <row r="18" spans="2:12">
      <c r="B18" s="4"/>
      <c r="C18" s="72">
        <f t="shared" si="0"/>
        <v>40116</v>
      </c>
    </row>
    <row r="19" spans="2:12">
      <c r="B19" s="4"/>
      <c r="C19" s="72">
        <f t="shared" si="0"/>
        <v>40109</v>
      </c>
      <c r="D19" s="37">
        <v>264541</v>
      </c>
      <c r="E19" s="37">
        <v>259754</v>
      </c>
      <c r="F19" s="37">
        <f>1911713+7341</f>
        <v>1919054</v>
      </c>
      <c r="G19" s="37">
        <v>1234272</v>
      </c>
      <c r="H19" s="37">
        <v>542200</v>
      </c>
      <c r="I19" s="37">
        <v>388439</v>
      </c>
      <c r="J19" s="37">
        <v>300593</v>
      </c>
      <c r="K19" s="59">
        <v>56784</v>
      </c>
      <c r="L19" s="59">
        <f>SUM(D19:K19)</f>
        <v>4965637</v>
      </c>
    </row>
    <row r="20" spans="2:12">
      <c r="B20" s="4"/>
      <c r="C20" s="72">
        <f t="shared" si="0"/>
        <v>40102</v>
      </c>
      <c r="D20" s="37">
        <v>257895</v>
      </c>
      <c r="E20" s="37">
        <v>254143</v>
      </c>
      <c r="F20" s="37">
        <f>1847003+7234</f>
        <v>1854237</v>
      </c>
      <c r="G20" s="37">
        <v>1201641</v>
      </c>
      <c r="H20" s="37">
        <v>524453</v>
      </c>
      <c r="I20" s="37">
        <v>374173</v>
      </c>
      <c r="J20" s="37">
        <v>289187</v>
      </c>
      <c r="K20" s="59">
        <v>55575</v>
      </c>
      <c r="L20" s="59">
        <f t="shared" ref="L20:L26" si="1">SUM(D20:K20)</f>
        <v>4811304</v>
      </c>
    </row>
    <row r="21" spans="2:12">
      <c r="B21" s="4"/>
      <c r="C21" s="72">
        <f t="shared" si="0"/>
        <v>40095</v>
      </c>
      <c r="D21" s="37">
        <v>268125</v>
      </c>
      <c r="E21" s="37">
        <v>264951</v>
      </c>
      <c r="F21" s="37">
        <f>1919989+7409</f>
        <v>1927398</v>
      </c>
      <c r="G21" s="37">
        <v>1255623</v>
      </c>
      <c r="H21" s="37">
        <v>539816</v>
      </c>
      <c r="I21" s="37">
        <v>392268</v>
      </c>
      <c r="J21" s="37">
        <v>305485</v>
      </c>
      <c r="K21" s="59">
        <v>58919</v>
      </c>
      <c r="L21" s="59">
        <f t="shared" si="1"/>
        <v>5012585</v>
      </c>
    </row>
    <row r="22" spans="2:12">
      <c r="B22" s="4"/>
      <c r="C22" s="72">
        <f t="shared" si="0"/>
        <v>40088</v>
      </c>
      <c r="D22" s="37">
        <v>282165</v>
      </c>
      <c r="E22" s="37">
        <v>276199</v>
      </c>
      <c r="F22" s="37">
        <f>2001454+7624</f>
        <v>2009078</v>
      </c>
      <c r="G22" s="37">
        <v>1311075</v>
      </c>
      <c r="H22" s="37">
        <v>562927</v>
      </c>
      <c r="I22" s="37">
        <v>409841</v>
      </c>
      <c r="J22" s="37">
        <v>320878</v>
      </c>
      <c r="K22" s="59">
        <v>61715</v>
      </c>
      <c r="L22" s="59">
        <f t="shared" si="1"/>
        <v>5233878</v>
      </c>
    </row>
    <row r="23" spans="2:12">
      <c r="B23" s="4"/>
      <c r="C23" s="72">
        <f t="shared" si="0"/>
        <v>40081</v>
      </c>
      <c r="D23" s="37">
        <v>270801</v>
      </c>
      <c r="E23" s="37">
        <v>264711</v>
      </c>
      <c r="F23" s="37">
        <f>1902259+7405</f>
        <v>1909664</v>
      </c>
      <c r="G23" s="37">
        <v>1256450</v>
      </c>
      <c r="H23" s="37">
        <v>542271</v>
      </c>
      <c r="I23" s="37">
        <v>390436</v>
      </c>
      <c r="J23" s="37">
        <v>303956</v>
      </c>
      <c r="K23" s="59">
        <v>58411</v>
      </c>
      <c r="L23" s="59">
        <f t="shared" si="1"/>
        <v>4996700</v>
      </c>
    </row>
    <row r="24" spans="2:12">
      <c r="B24" s="4"/>
      <c r="C24" s="72">
        <f t="shared" si="0"/>
        <v>40074</v>
      </c>
      <c r="D24" s="37">
        <v>275754</v>
      </c>
      <c r="E24" s="37">
        <v>267620</v>
      </c>
      <c r="F24" s="37">
        <f>1917081+7299</f>
        <v>1924380</v>
      </c>
      <c r="G24" s="37">
        <v>1273950</v>
      </c>
      <c r="H24" s="37">
        <v>544488</v>
      </c>
      <c r="I24" s="37">
        <v>393494</v>
      </c>
      <c r="J24" s="37">
        <v>304228</v>
      </c>
      <c r="K24" s="59">
        <v>59176</v>
      </c>
      <c r="L24" s="59">
        <f t="shared" si="1"/>
        <v>5043090</v>
      </c>
    </row>
    <row r="25" spans="2:12">
      <c r="B25" s="4"/>
      <c r="C25" s="72">
        <f>C26+7</f>
        <v>40067</v>
      </c>
      <c r="D25" s="37">
        <v>254453</v>
      </c>
      <c r="E25" s="37">
        <v>246575</v>
      </c>
      <c r="F25" s="37">
        <f>1789356+7305</f>
        <v>1796661</v>
      </c>
      <c r="G25" s="37">
        <v>1178898</v>
      </c>
      <c r="H25" s="37">
        <v>502323</v>
      </c>
      <c r="I25" s="37">
        <v>363576</v>
      </c>
      <c r="J25" s="37">
        <v>289942</v>
      </c>
      <c r="K25" s="59">
        <v>55572</v>
      </c>
      <c r="L25" s="59">
        <f t="shared" si="1"/>
        <v>4688000</v>
      </c>
    </row>
    <row r="26" spans="2:12">
      <c r="C26" s="72">
        <v>40060</v>
      </c>
      <c r="D26" s="37">
        <v>291613</v>
      </c>
      <c r="E26" s="37">
        <v>282178</v>
      </c>
      <c r="F26" s="37">
        <f>2009399+7982</f>
        <v>2017381</v>
      </c>
      <c r="G26" s="37">
        <v>1344473</v>
      </c>
      <c r="H26" s="37">
        <v>569945</v>
      </c>
      <c r="I26" s="37">
        <v>410389</v>
      </c>
      <c r="J26" s="37">
        <v>329232</v>
      </c>
      <c r="K26" s="59">
        <v>63709</v>
      </c>
      <c r="L26" s="59">
        <f t="shared" si="1"/>
        <v>5308920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5"/>
  <sheetViews>
    <sheetView workbookViewId="0"/>
  </sheetViews>
  <sheetFormatPr defaultColWidth="9.140625" defaultRowHeight="12.75"/>
  <cols>
    <col min="1" max="1" width="5" style="1" bestFit="1" customWidth="1"/>
    <col min="2" max="2" width="13.7109375" style="1" customWidth="1"/>
    <col min="3" max="12" width="7.28515625" style="1" customWidth="1"/>
    <col min="13" max="16384" width="9.140625" style="1"/>
  </cols>
  <sheetData>
    <row r="1" spans="1:12">
      <c r="A1" s="3" t="s">
        <v>8</v>
      </c>
    </row>
    <row r="2" spans="1:12">
      <c r="B2" s="1" t="s">
        <v>179</v>
      </c>
      <c r="C2" s="1" t="s">
        <v>10</v>
      </c>
    </row>
    <row r="3" spans="1:12">
      <c r="B3" s="1" t="s">
        <v>178</v>
      </c>
      <c r="C3" s="1" t="s">
        <v>441</v>
      </c>
    </row>
    <row r="4" spans="1:12">
      <c r="B4" s="1" t="s">
        <v>268</v>
      </c>
      <c r="C4" s="1" t="s">
        <v>442</v>
      </c>
    </row>
    <row r="5" spans="1:12">
      <c r="B5" s="1" t="s">
        <v>6</v>
      </c>
      <c r="C5" s="1" t="s">
        <v>443</v>
      </c>
    </row>
    <row r="6" spans="1:12">
      <c r="B6" s="1" t="s">
        <v>207</v>
      </c>
      <c r="C6" s="1" t="s">
        <v>445</v>
      </c>
    </row>
    <row r="8" spans="1:12">
      <c r="B8" s="1" t="s">
        <v>444</v>
      </c>
      <c r="C8" s="19">
        <v>2002</v>
      </c>
      <c r="D8" s="20" t="s">
        <v>55</v>
      </c>
      <c r="E8" s="21" t="s">
        <v>56</v>
      </c>
      <c r="F8" s="21" t="s">
        <v>57</v>
      </c>
      <c r="G8" s="21" t="s">
        <v>58</v>
      </c>
      <c r="H8" s="22" t="s">
        <v>59</v>
      </c>
      <c r="I8" s="22" t="s">
        <v>60</v>
      </c>
      <c r="J8" s="22" t="s">
        <v>61</v>
      </c>
      <c r="K8" s="22" t="s">
        <v>166</v>
      </c>
      <c r="L8" s="22" t="s">
        <v>167</v>
      </c>
    </row>
    <row r="9" spans="1:12">
      <c r="B9" s="1" t="s">
        <v>257</v>
      </c>
      <c r="C9" s="18">
        <v>1090</v>
      </c>
      <c r="D9" s="18">
        <v>1414</v>
      </c>
      <c r="E9" s="18">
        <v>1854</v>
      </c>
      <c r="F9" s="18">
        <v>2107.6999999999998</v>
      </c>
      <c r="G9" s="18">
        <v>2318.4699999999998</v>
      </c>
      <c r="H9" s="18">
        <v>2550.317</v>
      </c>
      <c r="I9" s="18">
        <v>2754.3423600000001</v>
      </c>
      <c r="J9" s="18">
        <v>2974.6897488000004</v>
      </c>
      <c r="K9" s="18">
        <v>3212.6649287040009</v>
      </c>
      <c r="L9" s="18">
        <v>3469.6781230003212</v>
      </c>
    </row>
    <row r="10" spans="1:12">
      <c r="B10" s="1" t="s">
        <v>258</v>
      </c>
      <c r="C10" s="18">
        <v>415</v>
      </c>
      <c r="D10" s="18">
        <v>611</v>
      </c>
      <c r="E10" s="18">
        <v>768</v>
      </c>
      <c r="F10" s="18">
        <v>928.4</v>
      </c>
      <c r="G10" s="18">
        <v>1021.24</v>
      </c>
      <c r="H10" s="18">
        <v>1123.364</v>
      </c>
      <c r="I10" s="18">
        <v>1213.2331200000001</v>
      </c>
      <c r="J10" s="18">
        <v>1310.2917696000002</v>
      </c>
      <c r="K10" s="18">
        <v>1415.1151111680003</v>
      </c>
      <c r="L10" s="18">
        <v>1528.3243200614404</v>
      </c>
    </row>
    <row r="14" spans="1:12">
      <c r="C14" s="15" t="s">
        <v>447</v>
      </c>
      <c r="D14" s="15" t="s">
        <v>448</v>
      </c>
    </row>
    <row r="15" spans="1:12">
      <c r="B15" s="12">
        <v>39759</v>
      </c>
      <c r="C15" s="15">
        <v>247362</v>
      </c>
      <c r="D15" s="15">
        <v>659474</v>
      </c>
    </row>
    <row r="16" spans="1:12">
      <c r="C16" s="15"/>
      <c r="D16" s="15"/>
    </row>
    <row r="17" spans="3:4">
      <c r="C17" s="15"/>
      <c r="D17" s="15"/>
    </row>
    <row r="18" spans="3:4">
      <c r="C18" s="15"/>
      <c r="D18" s="15"/>
    </row>
    <row r="19" spans="3:4">
      <c r="C19" s="15"/>
      <c r="D19" s="15"/>
    </row>
    <row r="20" spans="3:4">
      <c r="C20" s="15"/>
      <c r="D20" s="15"/>
    </row>
    <row r="21" spans="3:4">
      <c r="C21" s="15"/>
      <c r="D21" s="15"/>
    </row>
    <row r="22" spans="3:4">
      <c r="C22" s="15"/>
      <c r="D22" s="15"/>
    </row>
    <row r="23" spans="3:4">
      <c r="C23" s="15"/>
      <c r="D23" s="15"/>
    </row>
    <row r="24" spans="3:4">
      <c r="C24" s="15"/>
      <c r="D24" s="15"/>
    </row>
    <row r="25" spans="3:4">
      <c r="C25" s="15"/>
      <c r="D25" s="15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2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3" width="10.7109375" style="1" customWidth="1"/>
    <col min="4" max="16384" width="9.140625" style="1"/>
  </cols>
  <sheetData>
    <row r="1" spans="1:3">
      <c r="A1" s="3" t="s">
        <v>8</v>
      </c>
    </row>
    <row r="2" spans="1:3">
      <c r="A2" s="3"/>
      <c r="B2" s="1" t="s">
        <v>179</v>
      </c>
      <c r="C2" s="1" t="s">
        <v>285</v>
      </c>
    </row>
    <row r="3" spans="1:3">
      <c r="A3" s="3"/>
      <c r="B3" s="1" t="s">
        <v>178</v>
      </c>
      <c r="C3" s="1" t="s">
        <v>312</v>
      </c>
    </row>
    <row r="4" spans="1:3">
      <c r="A4" s="3"/>
      <c r="B4" s="1" t="s">
        <v>3</v>
      </c>
      <c r="C4" s="1" t="s">
        <v>318</v>
      </c>
    </row>
    <row r="5" spans="1:3">
      <c r="A5" s="3"/>
      <c r="B5" s="1" t="s">
        <v>207</v>
      </c>
      <c r="C5" s="1" t="s">
        <v>319</v>
      </c>
    </row>
    <row r="6" spans="1:3">
      <c r="A6" s="3"/>
      <c r="C6" s="1" t="s">
        <v>320</v>
      </c>
    </row>
    <row r="7" spans="1:3">
      <c r="A7" s="3"/>
      <c r="C7" s="1" t="s">
        <v>321</v>
      </c>
    </row>
    <row r="8" spans="1:3">
      <c r="A8" s="3"/>
      <c r="B8" s="1" t="s">
        <v>192</v>
      </c>
      <c r="C8" s="1" t="s">
        <v>227</v>
      </c>
    </row>
    <row r="9" spans="1:3">
      <c r="B9" s="1" t="s">
        <v>313</v>
      </c>
      <c r="C9" s="1" t="s">
        <v>314</v>
      </c>
    </row>
    <row r="10" spans="1:3">
      <c r="C10" s="1" t="s">
        <v>122</v>
      </c>
    </row>
    <row r="11" spans="1:3">
      <c r="B11" s="1" t="s">
        <v>308</v>
      </c>
      <c r="C11" s="1" t="s">
        <v>315</v>
      </c>
    </row>
    <row r="12" spans="1:3">
      <c r="C12" s="1" t="s">
        <v>323</v>
      </c>
    </row>
    <row r="13" spans="1:3">
      <c r="C13" s="1" t="s">
        <v>324</v>
      </c>
    </row>
    <row r="14" spans="1:3">
      <c r="C14" s="1" t="s">
        <v>325</v>
      </c>
    </row>
    <row r="15" spans="1:3">
      <c r="B15" s="1" t="s">
        <v>316</v>
      </c>
      <c r="C15" s="1" t="s">
        <v>317</v>
      </c>
    </row>
    <row r="16" spans="1:3">
      <c r="B16" s="14" t="s">
        <v>6</v>
      </c>
      <c r="C16" s="14" t="s">
        <v>638</v>
      </c>
    </row>
    <row r="17" spans="2:5">
      <c r="B17" s="14"/>
      <c r="C17" s="14" t="s">
        <v>639</v>
      </c>
    </row>
    <row r="18" spans="2:5">
      <c r="B18" s="14"/>
      <c r="C18" s="14" t="s">
        <v>640</v>
      </c>
    </row>
    <row r="19" spans="2:5">
      <c r="B19" s="14"/>
      <c r="C19" s="14" t="s">
        <v>641</v>
      </c>
    </row>
    <row r="20" spans="2:5">
      <c r="B20" s="1" t="s">
        <v>210</v>
      </c>
    </row>
    <row r="21" spans="2:5">
      <c r="C21" s="1" t="s">
        <v>171</v>
      </c>
    </row>
    <row r="22" spans="2:5">
      <c r="D22" s="1" t="s">
        <v>172</v>
      </c>
      <c r="E22" s="1" t="s">
        <v>174</v>
      </c>
    </row>
    <row r="23" spans="2:5">
      <c r="D23" s="1" t="s">
        <v>173</v>
      </c>
      <c r="E23" s="1" t="s">
        <v>177</v>
      </c>
    </row>
    <row r="24" spans="2:5">
      <c r="D24" s="1" t="s">
        <v>175</v>
      </c>
      <c r="E24" s="1" t="s">
        <v>176</v>
      </c>
    </row>
    <row r="26" spans="2:5">
      <c r="C26" s="10" t="s">
        <v>400</v>
      </c>
    </row>
    <row r="27" spans="2:5">
      <c r="C27" s="1" t="s">
        <v>401</v>
      </c>
    </row>
    <row r="29" spans="2:5">
      <c r="B29" s="1" t="s">
        <v>322</v>
      </c>
    </row>
    <row r="30" spans="2:5">
      <c r="D30" s="2" t="s">
        <v>283</v>
      </c>
      <c r="E30" s="2" t="s">
        <v>284</v>
      </c>
    </row>
    <row r="31" spans="2:5">
      <c r="C31" s="12">
        <f>C32+7</f>
        <v>39766</v>
      </c>
      <c r="D31" s="2"/>
      <c r="E31" s="2"/>
    </row>
    <row r="32" spans="2:5">
      <c r="C32" s="12">
        <v>39759</v>
      </c>
      <c r="D32" s="2">
        <v>70921</v>
      </c>
      <c r="E32" s="2">
        <v>198960</v>
      </c>
    </row>
    <row r="33" spans="3:5">
      <c r="C33" s="12">
        <f>C32-7</f>
        <v>39752</v>
      </c>
      <c r="D33" s="2"/>
      <c r="E33" s="2"/>
    </row>
    <row r="34" spans="3:5">
      <c r="C34" s="12">
        <f>C33-7</f>
        <v>39745</v>
      </c>
      <c r="D34" s="2"/>
      <c r="E34" s="2"/>
    </row>
    <row r="35" spans="3:5">
      <c r="C35" s="12">
        <f>C34-7</f>
        <v>39738</v>
      </c>
      <c r="D35" s="2"/>
      <c r="E35" s="2"/>
    </row>
    <row r="36" spans="3:5">
      <c r="C36" s="12">
        <v>39360</v>
      </c>
      <c r="D36" s="13">
        <v>37141</v>
      </c>
      <c r="E36" s="13">
        <v>94650</v>
      </c>
    </row>
    <row r="37" spans="3:5">
      <c r="C37" s="12">
        <v>39353</v>
      </c>
      <c r="D37" s="13">
        <v>36584</v>
      </c>
      <c r="E37" s="13">
        <v>89911</v>
      </c>
    </row>
    <row r="38" spans="3:5">
      <c r="C38" s="12">
        <v>39346</v>
      </c>
      <c r="D38" s="13">
        <v>36273</v>
      </c>
      <c r="E38" s="13">
        <v>88447</v>
      </c>
    </row>
    <row r="39" spans="3:5">
      <c r="C39" s="12">
        <v>39339</v>
      </c>
      <c r="D39" s="13"/>
      <c r="E39" s="13"/>
    </row>
    <row r="40" spans="3:5">
      <c r="C40" s="12">
        <v>39332</v>
      </c>
      <c r="D40" s="13"/>
      <c r="E40" s="13"/>
    </row>
    <row r="41" spans="3:5">
      <c r="C41" s="12">
        <v>39325</v>
      </c>
      <c r="D41" s="13"/>
      <c r="E41" s="13"/>
    </row>
    <row r="42" spans="3:5">
      <c r="C42" s="12">
        <v>39318</v>
      </c>
      <c r="D42" s="13"/>
      <c r="E42" s="13"/>
    </row>
    <row r="43" spans="3:5">
      <c r="C43" s="12">
        <v>39311</v>
      </c>
      <c r="D43" s="13"/>
      <c r="E43" s="13"/>
    </row>
    <row r="44" spans="3:5">
      <c r="C44" s="12">
        <v>39304</v>
      </c>
      <c r="D44" s="13"/>
      <c r="E44" s="13"/>
    </row>
    <row r="45" spans="3:5">
      <c r="C45" s="12">
        <v>39297</v>
      </c>
      <c r="D45" s="13"/>
      <c r="E45" s="13"/>
    </row>
    <row r="46" spans="3:5">
      <c r="C46" s="12">
        <v>39290</v>
      </c>
      <c r="D46" s="13"/>
      <c r="E46" s="13"/>
    </row>
    <row r="47" spans="3:5">
      <c r="C47" s="12">
        <v>39283</v>
      </c>
      <c r="D47" s="13"/>
      <c r="E47" s="13"/>
    </row>
    <row r="48" spans="3:5">
      <c r="C48" s="12">
        <v>39276</v>
      </c>
      <c r="D48" s="13"/>
      <c r="E48" s="13"/>
    </row>
    <row r="49" spans="3:5">
      <c r="C49" s="12">
        <v>39269</v>
      </c>
      <c r="D49" s="13"/>
      <c r="E49" s="13"/>
    </row>
    <row r="50" spans="3:5">
      <c r="C50" s="12">
        <v>39262</v>
      </c>
      <c r="D50" s="13"/>
      <c r="E50" s="13"/>
    </row>
    <row r="51" spans="3:5">
      <c r="C51" s="12">
        <v>39255</v>
      </c>
      <c r="D51" s="13"/>
      <c r="E51" s="13"/>
    </row>
    <row r="52" spans="3:5">
      <c r="C52" s="12">
        <v>39248</v>
      </c>
      <c r="D52" s="13"/>
      <c r="E52" s="13"/>
    </row>
    <row r="53" spans="3:5">
      <c r="C53" s="12">
        <v>39241</v>
      </c>
      <c r="D53" s="13"/>
      <c r="E53" s="13"/>
    </row>
    <row r="54" spans="3:5">
      <c r="C54" s="12">
        <v>39234</v>
      </c>
      <c r="D54" s="13"/>
      <c r="E54" s="13"/>
    </row>
    <row r="55" spans="3:5">
      <c r="C55" s="12">
        <v>39227</v>
      </c>
      <c r="D55" s="13"/>
      <c r="E55" s="13"/>
    </row>
    <row r="56" spans="3:5">
      <c r="C56" s="12">
        <v>39220</v>
      </c>
      <c r="D56" s="13"/>
      <c r="E56" s="13"/>
    </row>
    <row r="57" spans="3:5">
      <c r="C57" s="12">
        <v>39213</v>
      </c>
      <c r="D57" s="13"/>
      <c r="E57" s="13"/>
    </row>
    <row r="58" spans="3:5">
      <c r="C58" s="12">
        <v>39206</v>
      </c>
      <c r="D58" s="13"/>
      <c r="E58" s="13"/>
    </row>
    <row r="59" spans="3:5">
      <c r="C59" s="12">
        <v>39199</v>
      </c>
      <c r="D59" s="13"/>
      <c r="E59" s="13"/>
    </row>
    <row r="60" spans="3:5">
      <c r="C60" s="12">
        <v>39192</v>
      </c>
      <c r="D60" s="13">
        <v>21590</v>
      </c>
      <c r="E60" s="13">
        <v>43676</v>
      </c>
    </row>
    <row r="61" spans="3:5">
      <c r="C61" s="12">
        <v>39185</v>
      </c>
      <c r="D61" s="13">
        <v>20981</v>
      </c>
      <c r="E61" s="13">
        <v>42146</v>
      </c>
    </row>
    <row r="62" spans="3:5">
      <c r="C62" s="12">
        <v>39178</v>
      </c>
      <c r="D62" s="13">
        <v>21119</v>
      </c>
      <c r="E62" s="13">
        <v>41949</v>
      </c>
    </row>
    <row r="63" spans="3:5">
      <c r="C63" s="12">
        <v>39171</v>
      </c>
      <c r="D63" s="13"/>
      <c r="E63" s="2"/>
    </row>
    <row r="64" spans="3:5">
      <c r="C64" s="12">
        <v>39164</v>
      </c>
      <c r="D64" s="13"/>
      <c r="E64" s="2"/>
    </row>
    <row r="65" spans="3:5">
      <c r="C65" s="12">
        <v>39157</v>
      </c>
      <c r="D65" s="13"/>
      <c r="E65" s="2"/>
    </row>
    <row r="66" spans="3:5">
      <c r="C66" s="12">
        <v>39150</v>
      </c>
      <c r="D66" s="13"/>
      <c r="E66" s="2"/>
    </row>
    <row r="67" spans="3:5">
      <c r="C67" s="12">
        <v>39143</v>
      </c>
      <c r="D67" s="13"/>
      <c r="E67" s="2"/>
    </row>
    <row r="68" spans="3:5">
      <c r="C68" s="12">
        <v>39136</v>
      </c>
      <c r="D68" s="13"/>
      <c r="E68" s="2"/>
    </row>
    <row r="69" spans="3:5">
      <c r="C69" s="12">
        <v>39129</v>
      </c>
      <c r="D69" s="13"/>
      <c r="E69" s="2"/>
    </row>
    <row r="70" spans="3:5">
      <c r="C70" s="12">
        <v>39122</v>
      </c>
      <c r="D70" s="13"/>
      <c r="E70" s="2"/>
    </row>
    <row r="71" spans="3:5">
      <c r="C71" s="12">
        <v>39115</v>
      </c>
      <c r="D71" s="13"/>
      <c r="E71" s="2"/>
    </row>
    <row r="72" spans="3:5">
      <c r="C72" s="12">
        <v>39108</v>
      </c>
      <c r="D72" s="13"/>
      <c r="E72" s="2"/>
    </row>
    <row r="73" spans="3:5">
      <c r="C73" s="12">
        <v>39101</v>
      </c>
      <c r="D73" s="13"/>
      <c r="E73" s="13"/>
    </row>
    <row r="74" spans="3:5">
      <c r="C74" s="12">
        <v>39094</v>
      </c>
      <c r="D74" s="13">
        <v>16007</v>
      </c>
      <c r="E74" s="13">
        <v>22641</v>
      </c>
    </row>
    <row r="75" spans="3:5">
      <c r="C75" s="12">
        <v>39087</v>
      </c>
      <c r="D75" s="13">
        <v>12984</v>
      </c>
      <c r="E75" s="13">
        <v>18705</v>
      </c>
    </row>
    <row r="76" spans="3:5">
      <c r="C76" s="12">
        <v>39080</v>
      </c>
      <c r="D76" s="13">
        <v>11492</v>
      </c>
      <c r="E76" s="13">
        <v>15624</v>
      </c>
    </row>
    <row r="77" spans="3:5">
      <c r="C77" s="12">
        <v>39073</v>
      </c>
      <c r="D77" s="13">
        <v>13343</v>
      </c>
      <c r="E77" s="13">
        <v>16352</v>
      </c>
    </row>
    <row r="78" spans="3:5">
      <c r="C78" s="12">
        <v>39066</v>
      </c>
      <c r="D78" s="13">
        <v>12660</v>
      </c>
      <c r="E78" s="13">
        <v>15185</v>
      </c>
    </row>
    <row r="79" spans="3:5">
      <c r="C79" s="12">
        <v>39059</v>
      </c>
      <c r="E79" s="13">
        <v>13285</v>
      </c>
    </row>
    <row r="80" spans="3:5">
      <c r="C80" s="12">
        <v>39052</v>
      </c>
      <c r="E80" s="13">
        <v>10771</v>
      </c>
    </row>
    <row r="81" spans="3:5">
      <c r="C81" s="12">
        <v>39045</v>
      </c>
      <c r="E81" s="13">
        <v>6765</v>
      </c>
    </row>
    <row r="82" spans="3:5">
      <c r="C82" s="12">
        <v>39038</v>
      </c>
      <c r="E82" s="13">
        <v>7231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382</v>
      </c>
    </row>
    <row r="3" spans="1:3">
      <c r="B3" s="1" t="s">
        <v>178</v>
      </c>
      <c r="C3" s="1" t="s">
        <v>432</v>
      </c>
    </row>
    <row r="4" spans="1:3">
      <c r="B4" s="14" t="s">
        <v>207</v>
      </c>
      <c r="C4" s="14" t="s">
        <v>343</v>
      </c>
    </row>
    <row r="5" spans="1:3">
      <c r="B5" s="14" t="s">
        <v>366</v>
      </c>
      <c r="C5" s="14" t="s">
        <v>651</v>
      </c>
    </row>
    <row r="6" spans="1:3">
      <c r="B6" s="1" t="s">
        <v>210</v>
      </c>
    </row>
    <row r="7" spans="1:3">
      <c r="C7" s="10" t="s">
        <v>433</v>
      </c>
    </row>
    <row r="8" spans="1:3">
      <c r="C8" s="1" t="s">
        <v>434</v>
      </c>
    </row>
    <row r="10" spans="1:3">
      <c r="C10" s="10" t="s">
        <v>671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/>
  </sheetViews>
  <sheetFormatPr defaultColWidth="9.140625" defaultRowHeight="12.75"/>
  <cols>
    <col min="1" max="1" width="5" style="1" bestFit="1" customWidth="1"/>
    <col min="2" max="2" width="14.42578125" style="1" customWidth="1"/>
    <col min="3" max="4" width="10.28515625" style="1" bestFit="1" customWidth="1"/>
    <col min="5" max="5" width="11.7109375" style="1" bestFit="1" customWidth="1"/>
    <col min="6" max="6" width="11" style="1" customWidth="1"/>
    <col min="7" max="7" width="12.42578125" style="1" customWidth="1"/>
    <col min="8" max="8" width="11.140625" style="1" customWidth="1"/>
    <col min="9" max="16384" width="9.140625" style="1"/>
  </cols>
  <sheetData>
    <row r="1" spans="1:11">
      <c r="A1" s="3" t="s">
        <v>8</v>
      </c>
    </row>
    <row r="2" spans="1:11">
      <c r="B2" s="1" t="s">
        <v>179</v>
      </c>
      <c r="C2" s="1" t="s">
        <v>183</v>
      </c>
    </row>
    <row r="3" spans="1:11">
      <c r="B3" s="1" t="s">
        <v>178</v>
      </c>
      <c r="C3" s="14" t="s">
        <v>666</v>
      </c>
    </row>
    <row r="4" spans="1:11">
      <c r="B4" s="1" t="s">
        <v>207</v>
      </c>
      <c r="C4" s="1" t="s">
        <v>222</v>
      </c>
    </row>
    <row r="5" spans="1:11">
      <c r="B5" s="1" t="s">
        <v>268</v>
      </c>
      <c r="C5" s="35" t="s">
        <v>667</v>
      </c>
    </row>
    <row r="6" spans="1:11">
      <c r="B6" s="1" t="s">
        <v>210</v>
      </c>
    </row>
    <row r="7" spans="1:11">
      <c r="C7" s="10" t="s">
        <v>665</v>
      </c>
    </row>
    <row r="8" spans="1:11">
      <c r="D8" s="2" t="s">
        <v>109</v>
      </c>
      <c r="E8" s="2" t="s">
        <v>110</v>
      </c>
      <c r="F8" s="2" t="s">
        <v>113</v>
      </c>
      <c r="G8" s="2" t="s">
        <v>114</v>
      </c>
      <c r="H8" s="2" t="s">
        <v>117</v>
      </c>
    </row>
    <row r="9" spans="1:11">
      <c r="C9" s="1" t="s">
        <v>108</v>
      </c>
      <c r="D9" s="6">
        <v>7.0000000000000007E-2</v>
      </c>
      <c r="E9" s="6">
        <v>0.16</v>
      </c>
      <c r="F9" s="6">
        <v>0.21</v>
      </c>
      <c r="G9" s="2"/>
      <c r="H9" s="2" t="s">
        <v>118</v>
      </c>
      <c r="K9" s="14" t="s">
        <v>668</v>
      </c>
    </row>
    <row r="10" spans="1:11">
      <c r="C10" s="1" t="s">
        <v>111</v>
      </c>
      <c r="D10" s="6">
        <v>0.14000000000000001</v>
      </c>
      <c r="E10" s="6">
        <v>0.22</v>
      </c>
      <c r="F10" s="6">
        <v>0.11</v>
      </c>
      <c r="G10" s="2" t="s">
        <v>115</v>
      </c>
      <c r="H10" s="2" t="s">
        <v>119</v>
      </c>
    </row>
    <row r="11" spans="1:11">
      <c r="C11" s="1" t="s">
        <v>112</v>
      </c>
      <c r="D11" s="6">
        <v>0.16</v>
      </c>
      <c r="E11" s="6">
        <v>0.38</v>
      </c>
      <c r="F11" s="6">
        <v>0.28999999999999998</v>
      </c>
      <c r="G11" s="2" t="s">
        <v>116</v>
      </c>
      <c r="H11" s="2" t="s">
        <v>120</v>
      </c>
    </row>
    <row r="14" spans="1:11">
      <c r="C14" s="1" t="s">
        <v>230</v>
      </c>
    </row>
    <row r="15" spans="1:11">
      <c r="C15" s="1" t="s">
        <v>121</v>
      </c>
    </row>
    <row r="16" spans="1:11">
      <c r="C16" s="1" t="s">
        <v>383</v>
      </c>
    </row>
    <row r="18" spans="3:3">
      <c r="C18" s="10" t="s">
        <v>231</v>
      </c>
    </row>
    <row r="19" spans="3:3">
      <c r="C19" s="1" t="s">
        <v>232</v>
      </c>
    </row>
    <row r="20" spans="3:3">
      <c r="C20" s="1" t="s">
        <v>233</v>
      </c>
    </row>
    <row r="21" spans="3:3">
      <c r="C21" s="1" t="s">
        <v>234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76"/>
  <sheetViews>
    <sheetView tabSelected="1" topLeftCell="A17" zoomScale="145" zoomScaleNormal="145" workbookViewId="0">
      <selection activeCell="C28" sqref="C28"/>
    </sheetView>
  </sheetViews>
  <sheetFormatPr defaultColWidth="8.85546875" defaultRowHeight="12.75"/>
  <cols>
    <col min="1" max="1" width="2" customWidth="1"/>
    <col min="2" max="2" width="26.7109375" customWidth="1"/>
    <col min="3" max="3" width="30.42578125" customWidth="1"/>
    <col min="4" max="4" width="16.42578125" customWidth="1"/>
    <col min="5" max="5" width="12.7109375" style="48" customWidth="1"/>
    <col min="6" max="6" width="14.140625" customWidth="1"/>
    <col min="7" max="7" width="13.85546875" customWidth="1"/>
    <col min="8" max="8" width="4.7109375" customWidth="1"/>
    <col min="9" max="9" width="8" customWidth="1"/>
    <col min="10" max="10" width="8.42578125" style="49" customWidth="1"/>
    <col min="11" max="11" width="7.28515625" customWidth="1"/>
  </cols>
  <sheetData>
    <row r="1" spans="1:13" ht="11.25" customHeight="1">
      <c r="A1" s="4"/>
    </row>
    <row r="2" spans="1:13">
      <c r="B2" s="50" t="s">
        <v>2</v>
      </c>
      <c r="C2" s="51" t="s">
        <v>3</v>
      </c>
      <c r="D2" s="51" t="s">
        <v>185</v>
      </c>
      <c r="E2" s="51" t="s">
        <v>4</v>
      </c>
      <c r="F2" s="51" t="s">
        <v>236</v>
      </c>
      <c r="G2" s="52" t="s">
        <v>6</v>
      </c>
      <c r="I2" t="s">
        <v>192</v>
      </c>
      <c r="J2" s="53">
        <v>113</v>
      </c>
      <c r="M2" s="4"/>
    </row>
    <row r="3" spans="1:13">
      <c r="B3" s="54" t="s">
        <v>311</v>
      </c>
      <c r="C3" s="48" t="s">
        <v>12</v>
      </c>
      <c r="D3" s="75" t="s">
        <v>765</v>
      </c>
      <c r="E3" s="55">
        <v>1</v>
      </c>
      <c r="F3" s="56">
        <v>39006</v>
      </c>
      <c r="G3" s="58">
        <v>2022</v>
      </c>
      <c r="I3" t="s">
        <v>326</v>
      </c>
      <c r="J3" s="59">
        <v>2544</v>
      </c>
      <c r="K3" s="60" t="s">
        <v>947</v>
      </c>
    </row>
    <row r="4" spans="1:13">
      <c r="B4" s="54" t="s">
        <v>286</v>
      </c>
      <c r="C4" s="48" t="s">
        <v>12</v>
      </c>
      <c r="D4" s="75" t="s">
        <v>765</v>
      </c>
      <c r="E4" s="55" t="s">
        <v>300</v>
      </c>
      <c r="F4" s="118">
        <v>39171</v>
      </c>
      <c r="G4" s="58" t="s">
        <v>206</v>
      </c>
      <c r="I4" t="s">
        <v>327</v>
      </c>
      <c r="J4" s="37">
        <f>J2*J3</f>
        <v>287472</v>
      </c>
    </row>
    <row r="5" spans="1:13">
      <c r="B5" s="54" t="s">
        <v>758</v>
      </c>
      <c r="C5" s="75" t="s">
        <v>759</v>
      </c>
      <c r="D5" s="57" t="s">
        <v>695</v>
      </c>
      <c r="E5" s="55">
        <v>1</v>
      </c>
      <c r="F5" s="118">
        <v>41886</v>
      </c>
      <c r="G5" s="61" t="s">
        <v>271</v>
      </c>
      <c r="I5" t="s">
        <v>328</v>
      </c>
      <c r="J5" s="37">
        <v>15168</v>
      </c>
      <c r="K5" s="60" t="s">
        <v>947</v>
      </c>
    </row>
    <row r="6" spans="1:13">
      <c r="B6" s="74" t="s">
        <v>770</v>
      </c>
      <c r="C6" s="57" t="s">
        <v>570</v>
      </c>
      <c r="D6" s="57" t="s">
        <v>571</v>
      </c>
      <c r="E6" s="63" t="s">
        <v>572</v>
      </c>
      <c r="F6" s="56">
        <v>36031</v>
      </c>
      <c r="G6" s="61" t="s">
        <v>573</v>
      </c>
      <c r="I6" t="s">
        <v>329</v>
      </c>
      <c r="J6" s="37">
        <v>38131</v>
      </c>
      <c r="K6" s="60" t="s">
        <v>947</v>
      </c>
    </row>
    <row r="7" spans="1:13">
      <c r="B7" s="62" t="s">
        <v>602</v>
      </c>
      <c r="C7" s="57" t="s">
        <v>570</v>
      </c>
      <c r="D7" s="57" t="s">
        <v>571</v>
      </c>
      <c r="E7" s="63" t="s">
        <v>572</v>
      </c>
      <c r="F7" s="118">
        <v>39927</v>
      </c>
      <c r="G7" s="130" t="s">
        <v>573</v>
      </c>
      <c r="I7" t="s">
        <v>330</v>
      </c>
      <c r="J7" s="37">
        <f>J4-J5+J6</f>
        <v>310435</v>
      </c>
    </row>
    <row r="8" spans="1:13">
      <c r="B8" s="54" t="s">
        <v>18</v>
      </c>
      <c r="C8" s="48" t="s">
        <v>221</v>
      </c>
      <c r="D8" s="48" t="s">
        <v>220</v>
      </c>
      <c r="E8" s="55" t="s">
        <v>168</v>
      </c>
      <c r="F8" s="48">
        <v>2006</v>
      </c>
      <c r="G8" s="130" t="s">
        <v>943</v>
      </c>
    </row>
    <row r="9" spans="1:13">
      <c r="B9" s="54" t="s">
        <v>968</v>
      </c>
      <c r="C9" s="48" t="s">
        <v>14</v>
      </c>
      <c r="D9" s="48" t="s">
        <v>220</v>
      </c>
      <c r="E9" s="55" t="s">
        <v>123</v>
      </c>
      <c r="F9" s="65">
        <v>38869</v>
      </c>
      <c r="G9" s="58" t="s">
        <v>446</v>
      </c>
    </row>
    <row r="10" spans="1:13">
      <c r="B10" s="74" t="s">
        <v>819</v>
      </c>
      <c r="C10" s="75" t="s">
        <v>820</v>
      </c>
      <c r="D10" s="75" t="s">
        <v>820</v>
      </c>
      <c r="E10" s="119" t="s">
        <v>168</v>
      </c>
      <c r="F10" s="56">
        <v>31377</v>
      </c>
      <c r="G10" s="58"/>
      <c r="I10" t="s">
        <v>923</v>
      </c>
    </row>
    <row r="11" spans="1:13">
      <c r="B11" s="124" t="s">
        <v>837</v>
      </c>
      <c r="C11" s="75" t="s">
        <v>823</v>
      </c>
      <c r="D11" s="75" t="s">
        <v>838</v>
      </c>
      <c r="E11" s="119" t="s">
        <v>839</v>
      </c>
      <c r="F11" s="56">
        <v>41992</v>
      </c>
      <c r="G11" s="58">
        <v>2024</v>
      </c>
      <c r="I11" s="73" t="s">
        <v>1098</v>
      </c>
    </row>
    <row r="12" spans="1:13">
      <c r="B12" s="124" t="s">
        <v>840</v>
      </c>
      <c r="C12" s="75" t="s">
        <v>823</v>
      </c>
      <c r="D12" s="75" t="s">
        <v>841</v>
      </c>
      <c r="E12" s="119" t="s">
        <v>842</v>
      </c>
      <c r="F12" s="56">
        <v>42048</v>
      </c>
      <c r="G12" s="58">
        <v>2025</v>
      </c>
      <c r="I12" s="73" t="s">
        <v>792</v>
      </c>
    </row>
    <row r="13" spans="1:13">
      <c r="B13" s="74" t="s">
        <v>941</v>
      </c>
      <c r="C13" s="75" t="s">
        <v>804</v>
      </c>
      <c r="D13" s="75" t="s">
        <v>805</v>
      </c>
      <c r="E13" s="55">
        <v>1</v>
      </c>
      <c r="F13" s="48"/>
      <c r="G13" s="58"/>
      <c r="I13" s="73" t="s">
        <v>991</v>
      </c>
    </row>
    <row r="14" spans="1:13">
      <c r="B14" s="74" t="s">
        <v>843</v>
      </c>
      <c r="C14" s="75" t="s">
        <v>844</v>
      </c>
      <c r="D14" s="48"/>
      <c r="E14" s="55">
        <v>1</v>
      </c>
      <c r="F14" s="56">
        <v>42353</v>
      </c>
      <c r="G14" s="58">
        <v>2026</v>
      </c>
      <c r="I14" s="73" t="s">
        <v>1055</v>
      </c>
    </row>
    <row r="15" spans="1:13">
      <c r="B15" s="74" t="s">
        <v>845</v>
      </c>
      <c r="C15" s="75" t="s">
        <v>846</v>
      </c>
      <c r="D15" s="48"/>
      <c r="E15" s="119" t="s">
        <v>847</v>
      </c>
      <c r="F15" s="56">
        <v>43924</v>
      </c>
      <c r="G15" s="130" t="s">
        <v>943</v>
      </c>
    </row>
    <row r="16" spans="1:13">
      <c r="B16" s="124" t="s">
        <v>903</v>
      </c>
      <c r="C16" s="75" t="s">
        <v>904</v>
      </c>
      <c r="D16" s="75" t="s">
        <v>908</v>
      </c>
      <c r="E16" s="119" t="s">
        <v>905</v>
      </c>
      <c r="F16" s="56"/>
      <c r="G16" s="130" t="s">
        <v>943</v>
      </c>
    </row>
    <row r="17" spans="2:9">
      <c r="B17" s="74" t="s">
        <v>970</v>
      </c>
      <c r="C17" s="75" t="s">
        <v>594</v>
      </c>
      <c r="D17" s="75" t="s">
        <v>673</v>
      </c>
      <c r="E17" s="55">
        <v>1</v>
      </c>
      <c r="F17" s="48"/>
      <c r="G17" s="58"/>
    </row>
    <row r="18" spans="2:9">
      <c r="B18" s="124" t="s">
        <v>942</v>
      </c>
      <c r="C18" s="75" t="s">
        <v>1076</v>
      </c>
      <c r="D18" s="75" t="s">
        <v>1074</v>
      </c>
      <c r="E18" s="119" t="s">
        <v>168</v>
      </c>
      <c r="F18" s="56">
        <v>44421</v>
      </c>
      <c r="G18" s="58">
        <v>2035</v>
      </c>
    </row>
    <row r="19" spans="2:9">
      <c r="B19" s="74" t="s">
        <v>969</v>
      </c>
      <c r="C19" s="75"/>
      <c r="D19" s="75"/>
      <c r="E19" s="55"/>
      <c r="F19" s="56"/>
      <c r="G19" s="58"/>
    </row>
    <row r="20" spans="2:9">
      <c r="B20" s="74" t="s">
        <v>1064</v>
      </c>
      <c r="C20" s="75" t="s">
        <v>1065</v>
      </c>
      <c r="D20" s="75" t="s">
        <v>1066</v>
      </c>
      <c r="E20" s="55">
        <v>1</v>
      </c>
      <c r="F20" s="56"/>
      <c r="G20" s="58"/>
    </row>
    <row r="21" spans="2:9">
      <c r="B21" s="124" t="s">
        <v>1063</v>
      </c>
      <c r="C21" s="75" t="s">
        <v>868</v>
      </c>
      <c r="D21" s="75" t="s">
        <v>1082</v>
      </c>
      <c r="E21" s="55">
        <v>1</v>
      </c>
      <c r="F21" s="134">
        <v>45377</v>
      </c>
      <c r="G21" s="58"/>
      <c r="I21" s="4"/>
    </row>
    <row r="22" spans="2:9">
      <c r="B22" s="64" t="s">
        <v>16</v>
      </c>
      <c r="C22" s="48" t="s">
        <v>17</v>
      </c>
      <c r="D22" s="48" t="s">
        <v>220</v>
      </c>
      <c r="E22" s="55">
        <v>1</v>
      </c>
      <c r="F22" s="48"/>
      <c r="G22" s="130" t="s">
        <v>943</v>
      </c>
    </row>
    <row r="23" spans="2:9">
      <c r="B23" s="54" t="s">
        <v>337</v>
      </c>
      <c r="C23" s="48" t="s">
        <v>208</v>
      </c>
      <c r="D23" s="48" t="s">
        <v>217</v>
      </c>
      <c r="E23" s="55">
        <v>1</v>
      </c>
      <c r="F23" s="65">
        <v>39356</v>
      </c>
      <c r="G23" s="58"/>
    </row>
    <row r="24" spans="2:9">
      <c r="B24" s="50"/>
      <c r="C24" s="51"/>
      <c r="D24" s="51"/>
      <c r="E24" s="51"/>
      <c r="F24" s="51" t="s">
        <v>7</v>
      </c>
      <c r="G24" s="52" t="s">
        <v>205</v>
      </c>
    </row>
    <row r="25" spans="2:9">
      <c r="B25" s="74" t="s">
        <v>979</v>
      </c>
      <c r="C25" s="75" t="s">
        <v>980</v>
      </c>
      <c r="D25" s="75" t="s">
        <v>695</v>
      </c>
      <c r="E25" s="119" t="s">
        <v>981</v>
      </c>
      <c r="F25" s="48"/>
      <c r="G25" s="58"/>
    </row>
    <row r="26" spans="2:9">
      <c r="B26" s="74" t="s">
        <v>986</v>
      </c>
      <c r="C26" s="75" t="s">
        <v>987</v>
      </c>
      <c r="D26" s="75" t="s">
        <v>988</v>
      </c>
      <c r="E26" s="55"/>
      <c r="F26" s="48"/>
      <c r="G26" s="58"/>
    </row>
    <row r="27" spans="2:9">
      <c r="B27" s="74" t="s">
        <v>826</v>
      </c>
      <c r="C27" s="75" t="s">
        <v>823</v>
      </c>
      <c r="D27" s="75" t="s">
        <v>827</v>
      </c>
      <c r="E27" s="63">
        <v>1</v>
      </c>
      <c r="F27" s="75" t="s">
        <v>341</v>
      </c>
      <c r="G27" s="61"/>
    </row>
    <row r="28" spans="2:9">
      <c r="B28" s="74" t="s">
        <v>1131</v>
      </c>
      <c r="C28" s="75" t="s">
        <v>823</v>
      </c>
      <c r="D28" s="75" t="s">
        <v>830</v>
      </c>
      <c r="E28" s="75" t="s">
        <v>831</v>
      </c>
      <c r="F28" s="75" t="s">
        <v>341</v>
      </c>
      <c r="G28" s="58"/>
    </row>
    <row r="29" spans="2:9">
      <c r="B29" s="74" t="s">
        <v>1114</v>
      </c>
      <c r="C29" s="75" t="s">
        <v>823</v>
      </c>
      <c r="D29" s="75" t="s">
        <v>982</v>
      </c>
      <c r="E29" s="75"/>
      <c r="F29" s="75"/>
      <c r="G29" s="58"/>
    </row>
    <row r="30" spans="2:9">
      <c r="B30" s="74" t="s">
        <v>1126</v>
      </c>
      <c r="C30" s="75" t="s">
        <v>823</v>
      </c>
      <c r="D30" s="75" t="s">
        <v>1127</v>
      </c>
      <c r="E30" s="75" t="s">
        <v>1128</v>
      </c>
      <c r="F30" s="75" t="s">
        <v>341</v>
      </c>
      <c r="G30" s="58"/>
    </row>
    <row r="31" spans="2:9">
      <c r="B31" s="74" t="s">
        <v>832</v>
      </c>
      <c r="C31" s="75" t="s">
        <v>833</v>
      </c>
      <c r="D31" s="75" t="s">
        <v>834</v>
      </c>
      <c r="E31" s="119" t="s">
        <v>1119</v>
      </c>
      <c r="F31" s="75" t="s">
        <v>341</v>
      </c>
      <c r="G31" s="58"/>
    </row>
    <row r="32" spans="2:9">
      <c r="B32" s="74" t="s">
        <v>835</v>
      </c>
      <c r="C32" s="75"/>
      <c r="D32" s="75" t="s">
        <v>836</v>
      </c>
      <c r="E32" s="119">
        <v>1</v>
      </c>
      <c r="F32" s="75" t="s">
        <v>341</v>
      </c>
      <c r="G32" s="58"/>
    </row>
    <row r="33" spans="2:9">
      <c r="B33" s="124" t="s">
        <v>916</v>
      </c>
      <c r="C33" s="75" t="s">
        <v>917</v>
      </c>
      <c r="D33" s="75" t="s">
        <v>220</v>
      </c>
      <c r="E33" s="119" t="s">
        <v>918</v>
      </c>
      <c r="F33" s="75" t="s">
        <v>341</v>
      </c>
      <c r="G33" s="58"/>
    </row>
    <row r="34" spans="2:9">
      <c r="B34" s="74" t="s">
        <v>848</v>
      </c>
      <c r="C34" s="75" t="s">
        <v>983</v>
      </c>
      <c r="D34" s="75" t="s">
        <v>849</v>
      </c>
      <c r="E34" s="119" t="s">
        <v>850</v>
      </c>
      <c r="F34" s="75" t="s">
        <v>341</v>
      </c>
      <c r="G34" s="58"/>
    </row>
    <row r="35" spans="2:9">
      <c r="B35" s="74" t="s">
        <v>851</v>
      </c>
      <c r="C35" s="75" t="s">
        <v>853</v>
      </c>
      <c r="D35" s="75" t="s">
        <v>852</v>
      </c>
      <c r="E35" s="119">
        <v>1</v>
      </c>
      <c r="F35" s="75" t="s">
        <v>341</v>
      </c>
      <c r="G35" s="58"/>
    </row>
    <row r="36" spans="2:9">
      <c r="B36" s="74" t="s">
        <v>859</v>
      </c>
      <c r="C36" s="75"/>
      <c r="D36" s="75" t="s">
        <v>860</v>
      </c>
      <c r="E36" s="119" t="s">
        <v>861</v>
      </c>
      <c r="F36" s="75" t="s">
        <v>341</v>
      </c>
      <c r="G36" s="58"/>
    </row>
    <row r="37" spans="2:9">
      <c r="B37" s="74" t="s">
        <v>862</v>
      </c>
      <c r="C37" s="75" t="s">
        <v>823</v>
      </c>
      <c r="D37" s="75" t="s">
        <v>863</v>
      </c>
      <c r="E37" s="119">
        <v>1</v>
      </c>
      <c r="F37" s="75" t="s">
        <v>341</v>
      </c>
      <c r="G37" s="58"/>
    </row>
    <row r="38" spans="2:9">
      <c r="B38" s="74" t="s">
        <v>864</v>
      </c>
      <c r="C38" s="75" t="s">
        <v>823</v>
      </c>
      <c r="D38" s="75" t="s">
        <v>865</v>
      </c>
      <c r="E38" s="119">
        <v>1</v>
      </c>
      <c r="F38" s="75" t="s">
        <v>341</v>
      </c>
      <c r="G38" s="58"/>
    </row>
    <row r="39" spans="2:9">
      <c r="B39" s="74" t="s">
        <v>866</v>
      </c>
      <c r="C39" s="75" t="s">
        <v>868</v>
      </c>
      <c r="D39" s="75" t="s">
        <v>867</v>
      </c>
      <c r="E39" s="119">
        <v>1</v>
      </c>
      <c r="F39" s="75" t="s">
        <v>341</v>
      </c>
      <c r="G39" s="58"/>
    </row>
    <row r="40" spans="2:9">
      <c r="B40" s="74" t="s">
        <v>1123</v>
      </c>
      <c r="C40" s="75" t="s">
        <v>1124</v>
      </c>
      <c r="D40" s="75" t="s">
        <v>1125</v>
      </c>
      <c r="E40" s="119">
        <v>1</v>
      </c>
      <c r="F40" s="75" t="s">
        <v>341</v>
      </c>
      <c r="G40" s="58"/>
    </row>
    <row r="41" spans="2:9">
      <c r="B41" s="74" t="s">
        <v>1120</v>
      </c>
      <c r="C41" s="75"/>
      <c r="D41" s="75" t="s">
        <v>1121</v>
      </c>
      <c r="E41" s="119" t="s">
        <v>1122</v>
      </c>
      <c r="F41" s="75" t="s">
        <v>341</v>
      </c>
      <c r="G41" s="58"/>
    </row>
    <row r="42" spans="2:9">
      <c r="B42" s="74" t="s">
        <v>1117</v>
      </c>
      <c r="C42" s="75" t="s">
        <v>823</v>
      </c>
      <c r="D42" s="75" t="s">
        <v>1118</v>
      </c>
      <c r="E42" s="119">
        <v>1</v>
      </c>
      <c r="F42" s="75" t="s">
        <v>341</v>
      </c>
      <c r="G42" s="58"/>
    </row>
    <row r="43" spans="2:9">
      <c r="B43" s="74" t="s">
        <v>869</v>
      </c>
      <c r="C43" s="75" t="s">
        <v>870</v>
      </c>
      <c r="D43" s="75" t="s">
        <v>872</v>
      </c>
      <c r="E43" s="119" t="s">
        <v>871</v>
      </c>
      <c r="F43" s="75" t="s">
        <v>341</v>
      </c>
      <c r="G43" s="58"/>
    </row>
    <row r="44" spans="2:9">
      <c r="B44" s="74" t="s">
        <v>985</v>
      </c>
      <c r="C44" s="75" t="s">
        <v>984</v>
      </c>
      <c r="D44" s="75"/>
      <c r="E44" s="119"/>
      <c r="F44" s="75" t="s">
        <v>333</v>
      </c>
      <c r="G44" s="58"/>
    </row>
    <row r="45" spans="2:9">
      <c r="B45" s="124" t="s">
        <v>822</v>
      </c>
      <c r="C45" s="75" t="s">
        <v>823</v>
      </c>
      <c r="D45" s="75" t="s">
        <v>824</v>
      </c>
      <c r="E45" s="55">
        <v>1</v>
      </c>
      <c r="F45" s="75" t="s">
        <v>341</v>
      </c>
      <c r="G45" s="58"/>
      <c r="I45" s="4"/>
    </row>
    <row r="46" spans="2:9">
      <c r="B46" s="74" t="s">
        <v>1067</v>
      </c>
      <c r="C46" s="75" t="s">
        <v>1068</v>
      </c>
      <c r="D46" s="75" t="s">
        <v>1069</v>
      </c>
      <c r="E46" s="119" t="s">
        <v>1070</v>
      </c>
      <c r="F46" s="75"/>
      <c r="G46" s="58"/>
    </row>
    <row r="47" spans="2:9">
      <c r="B47" s="74" t="s">
        <v>1129</v>
      </c>
      <c r="C47" s="75" t="s">
        <v>823</v>
      </c>
      <c r="D47" s="75" t="s">
        <v>1130</v>
      </c>
      <c r="E47" s="119" t="s">
        <v>1128</v>
      </c>
      <c r="F47" s="75" t="s">
        <v>341</v>
      </c>
      <c r="G47" s="58"/>
    </row>
    <row r="48" spans="2:9">
      <c r="B48" s="74" t="s">
        <v>1113</v>
      </c>
      <c r="C48" s="75" t="s">
        <v>823</v>
      </c>
      <c r="D48" s="75" t="s">
        <v>873</v>
      </c>
      <c r="E48" s="119">
        <v>1</v>
      </c>
      <c r="F48" s="75" t="s">
        <v>341</v>
      </c>
      <c r="G48" s="58"/>
    </row>
    <row r="49" spans="2:7">
      <c r="B49" s="74" t="s">
        <v>875</v>
      </c>
      <c r="C49" s="75" t="s">
        <v>870</v>
      </c>
      <c r="D49" s="75" t="s">
        <v>877</v>
      </c>
      <c r="E49" s="119" t="s">
        <v>876</v>
      </c>
      <c r="F49" s="75" t="s">
        <v>341</v>
      </c>
      <c r="G49" s="58"/>
    </row>
    <row r="50" spans="2:7">
      <c r="B50" s="121" t="s">
        <v>978</v>
      </c>
      <c r="C50" s="122" t="s">
        <v>881</v>
      </c>
      <c r="D50" s="122" t="s">
        <v>882</v>
      </c>
      <c r="E50" s="123">
        <v>1</v>
      </c>
      <c r="F50" s="122" t="s">
        <v>341</v>
      </c>
      <c r="G50" s="68"/>
    </row>
    <row r="52" spans="2:7">
      <c r="E52" s="69"/>
    </row>
    <row r="53" spans="2:7">
      <c r="B53" s="47"/>
      <c r="E53" s="69" t="s">
        <v>803</v>
      </c>
    </row>
    <row r="54" spans="2:7">
      <c r="B54" s="47"/>
      <c r="E54" s="69" t="s">
        <v>915</v>
      </c>
    </row>
    <row r="55" spans="2:7">
      <c r="B55" s="47"/>
      <c r="E55" s="120" t="s">
        <v>914</v>
      </c>
    </row>
    <row r="56" spans="2:7">
      <c r="B56" s="47"/>
      <c r="E56" s="120" t="s">
        <v>912</v>
      </c>
    </row>
    <row r="57" spans="2:7">
      <c r="B57" s="47"/>
      <c r="E57" s="69" t="s">
        <v>911</v>
      </c>
    </row>
    <row r="58" spans="2:7">
      <c r="E58" s="69" t="s">
        <v>885</v>
      </c>
    </row>
    <row r="59" spans="2:7">
      <c r="B59" s="4"/>
      <c r="E59" s="69" t="s">
        <v>884</v>
      </c>
    </row>
    <row r="60" spans="2:7">
      <c r="E60" s="120" t="s">
        <v>883</v>
      </c>
    </row>
    <row r="61" spans="2:7">
      <c r="E61" s="120" t="s">
        <v>880</v>
      </c>
    </row>
    <row r="62" spans="2:7">
      <c r="E62" s="69" t="s">
        <v>879</v>
      </c>
    </row>
    <row r="63" spans="2:7">
      <c r="E63" s="69" t="s">
        <v>878</v>
      </c>
    </row>
    <row r="64" spans="2:7">
      <c r="E64" s="120" t="s">
        <v>1057</v>
      </c>
    </row>
    <row r="65" spans="5:5">
      <c r="E65" s="120" t="s">
        <v>1048</v>
      </c>
    </row>
    <row r="66" spans="5:5">
      <c r="E66" s="120" t="s">
        <v>1047</v>
      </c>
    </row>
    <row r="67" spans="5:5">
      <c r="E67" s="120" t="s">
        <v>1046</v>
      </c>
    </row>
    <row r="68" spans="5:5">
      <c r="E68" s="120" t="s">
        <v>1045</v>
      </c>
    </row>
    <row r="69" spans="5:5">
      <c r="E69" s="120"/>
    </row>
    <row r="70" spans="5:5">
      <c r="E70" s="120"/>
    </row>
    <row r="71" spans="5:5">
      <c r="E71" s="69" t="s">
        <v>977</v>
      </c>
    </row>
    <row r="72" spans="5:5">
      <c r="E72" s="76" t="s">
        <v>1058</v>
      </c>
    </row>
    <row r="73" spans="5:5">
      <c r="E73" s="76" t="s">
        <v>1059</v>
      </c>
    </row>
    <row r="74" spans="5:5">
      <c r="E74" s="76" t="s">
        <v>1060</v>
      </c>
    </row>
    <row r="75" spans="5:5">
      <c r="E75" s="76" t="s">
        <v>1061</v>
      </c>
    </row>
    <row r="76" spans="5:5">
      <c r="E76" s="76" t="s">
        <v>1062</v>
      </c>
    </row>
  </sheetData>
  <phoneticPr fontId="2" type="noConversion"/>
  <hyperlinks>
    <hyperlink ref="B3" location="Januvia!A1" display="Januvia (sitagliptin, MK-431)" xr:uid="{00000000-0004-0000-0200-000000000000}"/>
    <hyperlink ref="B9" location="Gardasil!A1" display="Gardasil" xr:uid="{00000000-0004-0000-0200-000002000000}"/>
    <hyperlink ref="B8" location="Rotateq!A1" display="Rotateq" xr:uid="{00000000-0004-0000-0200-000004000000}"/>
    <hyperlink ref="B23" location="Isentress!A1" display="Isentress" xr:uid="{00000000-0004-0000-0200-000005000000}"/>
    <hyperlink ref="B4" location="Januvia!A1" display="MK-0431A (Januvia+metformin)" xr:uid="{00000000-0004-0000-0200-000006000000}"/>
    <hyperlink ref="B5" location="Keytruda!A1" display="Keytruda (pembrolizumab)" xr:uid="{433D8747-409A-417C-AD07-4E613C39AC97}"/>
    <hyperlink ref="B11" location="Lynparza!A1" display="Lynparza (olaparib)" xr:uid="{D84D036E-8C88-4B96-B572-5129CBFE5229}"/>
    <hyperlink ref="B16" location="Padcev!A1" display="Padcev (enfortumab vedotin)" xr:uid="{33EE860D-63D3-418E-B01B-057450F711AA}"/>
    <hyperlink ref="B33" location="'V940'!A1" display="mRNA-4157/V940" xr:uid="{65BBEC83-B707-4BA2-A718-31CE8CC7240A}"/>
    <hyperlink ref="B12" location="Lenvima!A1" display="Lenvima (lenvatinib)" xr:uid="{97BC3190-888D-4EC7-975B-02F7AC4A5C14}"/>
    <hyperlink ref="B18" location="Welireg!A1" display="Welireg (belzutifan)" xr:uid="{B8C6240B-F03B-4D20-A836-C34278C62617}"/>
    <hyperlink ref="B21" location="Winrevair!A1" display="Winrevair (sotatercept)" xr:uid="{7CFBA007-FE65-4565-87A0-6F339987F354}"/>
    <hyperlink ref="B45" location="'0482'!A1" display="MK-0482" xr:uid="{AC8556CC-C7C0-4339-A8C9-24EB8F832C2A}"/>
  </hyperlinks>
  <pageMargins left="0.75" right="0.75" top="1" bottom="1" header="0.5" footer="0.5"/>
  <pageSetup scale="58" orientation="landscape" horizontalDpi="4294967293" verticalDpi="12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B6"/>
  <sheetViews>
    <sheetView workbookViewId="0"/>
  </sheetViews>
  <sheetFormatPr defaultColWidth="8.85546875" defaultRowHeight="12.75"/>
  <sheetData>
    <row r="2" spans="2:2">
      <c r="B2" t="s">
        <v>0</v>
      </c>
    </row>
    <row r="3" spans="2:2">
      <c r="B3" t="s">
        <v>125</v>
      </c>
    </row>
    <row r="5" spans="2:2">
      <c r="B5" t="s">
        <v>126</v>
      </c>
    </row>
    <row r="6" spans="2:2">
      <c r="B6" t="s">
        <v>127</v>
      </c>
    </row>
  </sheetData>
  <phoneticPr fontId="2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7"/>
  <sheetViews>
    <sheetView zoomScaleNormal="100"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334</v>
      </c>
    </row>
    <row r="3" spans="1:3">
      <c r="B3" s="1" t="s">
        <v>178</v>
      </c>
    </row>
    <row r="4" spans="1:3">
      <c r="B4" s="1" t="s">
        <v>207</v>
      </c>
      <c r="C4" s="1" t="s">
        <v>209</v>
      </c>
    </row>
    <row r="5" spans="1:3">
      <c r="B5" s="1" t="s">
        <v>3</v>
      </c>
      <c r="C5" s="1" t="s">
        <v>208</v>
      </c>
    </row>
    <row r="6" spans="1:3">
      <c r="B6" s="1" t="s">
        <v>192</v>
      </c>
      <c r="C6" s="1" t="s">
        <v>350</v>
      </c>
    </row>
    <row r="7" spans="1:3">
      <c r="B7" s="1" t="s">
        <v>370</v>
      </c>
      <c r="C7" s="1" t="s">
        <v>371</v>
      </c>
    </row>
    <row r="8" spans="1:3">
      <c r="B8" s="1" t="s">
        <v>210</v>
      </c>
    </row>
    <row r="9" spans="1:3">
      <c r="C9" s="1" t="s">
        <v>211</v>
      </c>
    </row>
    <row r="11" spans="1:3">
      <c r="C11" s="10" t="s">
        <v>213</v>
      </c>
    </row>
    <row r="12" spans="1:3">
      <c r="C12" s="1" t="s">
        <v>215</v>
      </c>
    </row>
    <row r="13" spans="1:3">
      <c r="C13" s="1" t="s">
        <v>214</v>
      </c>
    </row>
    <row r="17" spans="3:3">
      <c r="C17" s="1" t="s">
        <v>212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3"/>
  <sheetViews>
    <sheetView workbookViewId="0"/>
  </sheetViews>
  <sheetFormatPr defaultColWidth="8.85546875" defaultRowHeight="12.75"/>
  <cols>
    <col min="1" max="1" width="5" bestFit="1" customWidth="1"/>
    <col min="2" max="2" width="12.85546875" bestFit="1" customWidth="1"/>
  </cols>
  <sheetData>
    <row r="1" spans="1:3">
      <c r="A1" s="5" t="s">
        <v>8</v>
      </c>
    </row>
    <row r="2" spans="1:3">
      <c r="B2" t="s">
        <v>179</v>
      </c>
      <c r="C2" t="s">
        <v>403</v>
      </c>
    </row>
    <row r="3" spans="1:3">
      <c r="B3" t="s">
        <v>178</v>
      </c>
      <c r="C3" t="s">
        <v>402</v>
      </c>
    </row>
    <row r="4" spans="1:3">
      <c r="B4" t="s">
        <v>270</v>
      </c>
      <c r="C4" t="s">
        <v>271</v>
      </c>
    </row>
    <row r="5" spans="1:3">
      <c r="B5" t="s">
        <v>3</v>
      </c>
      <c r="C5" t="s">
        <v>404</v>
      </c>
    </row>
    <row r="6" spans="1:3">
      <c r="B6" t="s">
        <v>207</v>
      </c>
      <c r="C6" t="s">
        <v>405</v>
      </c>
    </row>
    <row r="7" spans="1:3">
      <c r="B7" t="s">
        <v>210</v>
      </c>
    </row>
    <row r="8" spans="1:3">
      <c r="C8" s="16" t="s">
        <v>408</v>
      </c>
    </row>
    <row r="12" spans="1:3">
      <c r="C12" s="16" t="s">
        <v>406</v>
      </c>
    </row>
    <row r="13" spans="1:3">
      <c r="C13" t="s">
        <v>407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9"/>
  <sheetViews>
    <sheetView workbookViewId="0"/>
  </sheetViews>
  <sheetFormatPr defaultColWidth="9.140625" defaultRowHeight="12.75"/>
  <cols>
    <col min="1" max="1" width="5" style="1" bestFit="1" customWidth="1"/>
    <col min="2" max="2" width="15.140625" style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368</v>
      </c>
    </row>
    <row r="3" spans="1:3">
      <c r="B3" s="1" t="s">
        <v>178</v>
      </c>
      <c r="C3" s="1" t="s">
        <v>363</v>
      </c>
    </row>
    <row r="4" spans="1:3">
      <c r="B4" s="1" t="s">
        <v>207</v>
      </c>
      <c r="C4" s="1" t="s">
        <v>365</v>
      </c>
    </row>
    <row r="5" spans="1:3">
      <c r="B5" s="1" t="s">
        <v>3</v>
      </c>
      <c r="C5" s="1" t="s">
        <v>229</v>
      </c>
    </row>
    <row r="6" spans="1:3">
      <c r="B6" s="1" t="s">
        <v>268</v>
      </c>
      <c r="C6" s="1" t="s">
        <v>364</v>
      </c>
    </row>
    <row r="7" spans="1:3">
      <c r="B7" s="1" t="s">
        <v>270</v>
      </c>
      <c r="C7" s="1" t="s">
        <v>206</v>
      </c>
    </row>
    <row r="8" spans="1:3">
      <c r="B8" s="1" t="s">
        <v>366</v>
      </c>
      <c r="C8" s="1" t="s">
        <v>367</v>
      </c>
    </row>
    <row r="9" spans="1:3">
      <c r="B9" s="1" t="s">
        <v>210</v>
      </c>
    </row>
    <row r="10" spans="1:3">
      <c r="C10" s="10" t="s">
        <v>409</v>
      </c>
    </row>
    <row r="11" spans="1:3">
      <c r="C11" s="1" t="s">
        <v>410</v>
      </c>
    </row>
    <row r="12" spans="1:3">
      <c r="C12" s="1" t="s">
        <v>411</v>
      </c>
    </row>
    <row r="13" spans="1:3">
      <c r="C13" s="1" t="s">
        <v>412</v>
      </c>
    </row>
    <row r="15" spans="1:3">
      <c r="C15" s="10" t="s">
        <v>369</v>
      </c>
    </row>
    <row r="16" spans="1:3">
      <c r="C16" s="10"/>
    </row>
    <row r="19" spans="3:3">
      <c r="C19" s="10"/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7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391</v>
      </c>
    </row>
    <row r="3" spans="1:3">
      <c r="B3" s="1" t="s">
        <v>178</v>
      </c>
      <c r="C3" s="1" t="s">
        <v>414</v>
      </c>
    </row>
    <row r="4" spans="1:3">
      <c r="B4" s="1" t="s">
        <v>392</v>
      </c>
      <c r="C4" s="1" t="s">
        <v>393</v>
      </c>
    </row>
    <row r="5" spans="1:3">
      <c r="B5" s="1" t="s">
        <v>3</v>
      </c>
      <c r="C5" s="1" t="s">
        <v>394</v>
      </c>
    </row>
    <row r="6" spans="1:3">
      <c r="B6" s="1" t="s">
        <v>207</v>
      </c>
      <c r="C6" s="1" t="s">
        <v>453</v>
      </c>
    </row>
    <row r="7" spans="1:3">
      <c r="B7" s="1" t="s">
        <v>184</v>
      </c>
      <c r="C7" s="14" t="s">
        <v>670</v>
      </c>
    </row>
    <row r="8" spans="1:3">
      <c r="B8" s="1" t="s">
        <v>5</v>
      </c>
      <c r="C8" s="1" t="s">
        <v>456</v>
      </c>
    </row>
    <row r="9" spans="1:3">
      <c r="B9" s="1" t="s">
        <v>415</v>
      </c>
      <c r="C9" s="1" t="s">
        <v>416</v>
      </c>
    </row>
    <row r="10" spans="1:3">
      <c r="B10" s="14" t="s">
        <v>366</v>
      </c>
      <c r="C10" s="17" t="s">
        <v>478</v>
      </c>
    </row>
    <row r="11" spans="1:3">
      <c r="B11" s="1" t="s">
        <v>210</v>
      </c>
    </row>
    <row r="12" spans="1:3">
      <c r="C12" s="10" t="s">
        <v>475</v>
      </c>
    </row>
    <row r="13" spans="1:3">
      <c r="C13" s="14" t="s">
        <v>476</v>
      </c>
    </row>
    <row r="14" spans="1:3">
      <c r="C14" s="14" t="s">
        <v>477</v>
      </c>
    </row>
    <row r="16" spans="1:3">
      <c r="C16" s="10" t="s">
        <v>451</v>
      </c>
    </row>
    <row r="17" spans="3:3">
      <c r="C17" s="1" t="s">
        <v>454</v>
      </c>
    </row>
    <row r="18" spans="3:3">
      <c r="C18" s="1" t="s">
        <v>458</v>
      </c>
    </row>
    <row r="19" spans="3:3">
      <c r="C19" s="1" t="s">
        <v>459</v>
      </c>
    </row>
    <row r="20" spans="3:3">
      <c r="C20" s="1" t="s">
        <v>460</v>
      </c>
    </row>
    <row r="21" spans="3:3">
      <c r="C21" s="1" t="s">
        <v>461</v>
      </c>
    </row>
    <row r="22" spans="3:3">
      <c r="C22" s="1" t="s">
        <v>455</v>
      </c>
    </row>
    <row r="23" spans="3:3">
      <c r="C23" s="3" t="s">
        <v>452</v>
      </c>
    </row>
    <row r="24" spans="3:3">
      <c r="C24" s="3" t="s">
        <v>462</v>
      </c>
    </row>
    <row r="26" spans="3:3">
      <c r="C26" s="10" t="s">
        <v>457</v>
      </c>
    </row>
    <row r="27" spans="3:3">
      <c r="C27" s="1" t="s">
        <v>395</v>
      </c>
    </row>
  </sheetData>
  <phoneticPr fontId="2" type="noConversion"/>
  <hyperlinks>
    <hyperlink ref="A1" location="Main!A1" display="Main" xr:uid="{00000000-0004-0000-1300-000000000000}"/>
    <hyperlink ref="C23" r:id="rId1" xr:uid="{00000000-0004-0000-1300-000001000000}"/>
    <hyperlink ref="C24" r:id="rId2" xr:uid="{00000000-0004-0000-1300-000002000000}"/>
  </hyperlinks>
  <pageMargins left="0.75" right="0.75" top="1" bottom="1" header="0.5" footer="0.5"/>
  <pageSetup orientation="portrait" r:id="rId3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3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A2" s="3"/>
      <c r="B2" s="1" t="s">
        <v>425</v>
      </c>
    </row>
    <row r="3" spans="1:3">
      <c r="B3" s="1" t="s">
        <v>179</v>
      </c>
      <c r="C3" s="1" t="s">
        <v>265</v>
      </c>
    </row>
    <row r="4" spans="1:3">
      <c r="B4" s="1" t="s">
        <v>207</v>
      </c>
      <c r="C4" s="1" t="s">
        <v>266</v>
      </c>
    </row>
    <row r="5" spans="1:3">
      <c r="B5" s="1" t="s">
        <v>3</v>
      </c>
      <c r="C5" s="1" t="s">
        <v>267</v>
      </c>
    </row>
    <row r="6" spans="1:3">
      <c r="B6" s="1" t="s">
        <v>268</v>
      </c>
      <c r="C6" s="1" t="s">
        <v>269</v>
      </c>
    </row>
    <row r="7" spans="1:3">
      <c r="B7" s="1" t="s">
        <v>270</v>
      </c>
      <c r="C7" s="1" t="s">
        <v>271</v>
      </c>
    </row>
    <row r="8" spans="1:3">
      <c r="B8" s="1" t="s">
        <v>210</v>
      </c>
    </row>
    <row r="10" spans="1:3">
      <c r="C10" s="10" t="s">
        <v>272</v>
      </c>
    </row>
    <row r="11" spans="1:3">
      <c r="C11" s="1" t="s">
        <v>273</v>
      </c>
    </row>
    <row r="13" spans="1:3">
      <c r="C13" s="10" t="s">
        <v>274</v>
      </c>
    </row>
    <row r="14" spans="1:3">
      <c r="C14" s="1" t="s">
        <v>275</v>
      </c>
    </row>
    <row r="15" spans="1:3">
      <c r="C15" s="1" t="s">
        <v>276</v>
      </c>
    </row>
    <row r="16" spans="1:3">
      <c r="C16" s="1" t="s">
        <v>277</v>
      </c>
    </row>
    <row r="17" spans="3:3">
      <c r="C17" s="1" t="s">
        <v>278</v>
      </c>
    </row>
    <row r="18" spans="3:3">
      <c r="C18" s="1" t="s">
        <v>279</v>
      </c>
    </row>
    <row r="20" spans="3:3">
      <c r="C20" s="1" t="s">
        <v>280</v>
      </c>
    </row>
    <row r="21" spans="3:3">
      <c r="C21" s="1" t="s">
        <v>281</v>
      </c>
    </row>
    <row r="23" spans="3:3">
      <c r="C23" s="1" t="s">
        <v>282</v>
      </c>
    </row>
  </sheetData>
  <phoneticPr fontId="2" type="noConversion"/>
  <hyperlinks>
    <hyperlink ref="A1" location="Main!A1" display="Main" xr:uid="{00000000-0004-0000-14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8"/>
  <sheetViews>
    <sheetView workbookViewId="0"/>
  </sheetViews>
  <sheetFormatPr defaultColWidth="8.85546875" defaultRowHeight="12.75"/>
  <cols>
    <col min="1" max="1" width="5" bestFit="1" customWidth="1"/>
    <col min="2" max="2" width="12.85546875" bestFit="1" customWidth="1"/>
  </cols>
  <sheetData>
    <row r="1" spans="1:3">
      <c r="A1" s="5" t="s">
        <v>8</v>
      </c>
    </row>
    <row r="2" spans="1:3">
      <c r="B2" t="s">
        <v>179</v>
      </c>
      <c r="C2" t="s">
        <v>654</v>
      </c>
    </row>
    <row r="3" spans="1:3">
      <c r="B3" t="s">
        <v>178</v>
      </c>
      <c r="C3" t="s">
        <v>653</v>
      </c>
    </row>
    <row r="4" spans="1:3">
      <c r="B4" t="s">
        <v>210</v>
      </c>
    </row>
    <row r="5" spans="1:3">
      <c r="C5" s="16" t="s">
        <v>655</v>
      </c>
    </row>
    <row r="7" spans="1:3">
      <c r="C7" s="16" t="s">
        <v>656</v>
      </c>
    </row>
    <row r="8" spans="1:3">
      <c r="C8" t="s">
        <v>657</v>
      </c>
    </row>
  </sheetData>
  <hyperlinks>
    <hyperlink ref="A1" location="Main!A1" display="Main" xr:uid="{00000000-0004-0000-15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2"/>
  <sheetViews>
    <sheetView workbookViewId="0"/>
  </sheetViews>
  <sheetFormatPr defaultColWidth="8.85546875" defaultRowHeight="12.75"/>
  <cols>
    <col min="1" max="1" width="5" bestFit="1" customWidth="1"/>
    <col min="2" max="2" width="12.85546875" bestFit="1" customWidth="1"/>
    <col min="37" max="37" width="9.7109375" bestFit="1" customWidth="1"/>
  </cols>
  <sheetData>
    <row r="1" spans="1:47">
      <c r="A1" s="5" t="s">
        <v>8</v>
      </c>
    </row>
    <row r="2" spans="1:47">
      <c r="B2" s="4" t="s">
        <v>179</v>
      </c>
      <c r="C2" s="4" t="s">
        <v>696</v>
      </c>
    </row>
    <row r="3" spans="1:47">
      <c r="B3" s="4" t="s">
        <v>178</v>
      </c>
      <c r="C3" s="4" t="s">
        <v>697</v>
      </c>
    </row>
    <row r="4" spans="1:47">
      <c r="B4" s="4" t="s">
        <v>3</v>
      </c>
      <c r="C4" s="4" t="s">
        <v>208</v>
      </c>
    </row>
    <row r="5" spans="1:47">
      <c r="B5" s="4" t="s">
        <v>207</v>
      </c>
      <c r="C5" s="4" t="s">
        <v>698</v>
      </c>
    </row>
    <row r="6" spans="1:47">
      <c r="B6" s="4" t="s">
        <v>5</v>
      </c>
      <c r="C6" s="4" t="s">
        <v>702</v>
      </c>
    </row>
    <row r="7" spans="1:47">
      <c r="B7" s="4" t="s">
        <v>313</v>
      </c>
      <c r="C7" s="4" t="s">
        <v>700</v>
      </c>
    </row>
    <row r="8" spans="1:47">
      <c r="B8" s="4" t="s">
        <v>196</v>
      </c>
      <c r="C8" s="4" t="s">
        <v>701</v>
      </c>
    </row>
    <row r="9" spans="1:47">
      <c r="B9" s="4" t="s">
        <v>5</v>
      </c>
    </row>
    <row r="15" spans="1:47">
      <c r="B15" s="36"/>
      <c r="C15" s="36">
        <v>40909</v>
      </c>
      <c r="D15" s="36">
        <v>40940</v>
      </c>
      <c r="E15" s="36">
        <v>40969</v>
      </c>
      <c r="F15" s="36">
        <v>41000</v>
      </c>
      <c r="G15" s="36">
        <v>41030</v>
      </c>
      <c r="H15" s="36">
        <v>41061</v>
      </c>
      <c r="I15" s="36">
        <v>41091</v>
      </c>
      <c r="J15" s="36">
        <v>41122</v>
      </c>
      <c r="K15" s="36">
        <v>41153</v>
      </c>
      <c r="L15" s="36">
        <v>41183</v>
      </c>
      <c r="M15" s="36">
        <v>41214</v>
      </c>
      <c r="N15" s="36">
        <v>41244</v>
      </c>
      <c r="O15" s="36">
        <v>41275</v>
      </c>
      <c r="P15" s="36">
        <v>41306</v>
      </c>
      <c r="Q15" s="36">
        <v>41334</v>
      </c>
      <c r="R15" s="36">
        <v>41365</v>
      </c>
      <c r="S15" s="36">
        <v>41395</v>
      </c>
      <c r="T15" s="36">
        <v>41426</v>
      </c>
      <c r="U15" s="36">
        <v>41456</v>
      </c>
      <c r="V15" s="36">
        <v>41487</v>
      </c>
      <c r="W15" s="36">
        <v>41518</v>
      </c>
      <c r="X15" s="36">
        <v>41548</v>
      </c>
      <c r="Y15" s="36">
        <v>41579</v>
      </c>
      <c r="Z15" s="36">
        <v>41609</v>
      </c>
      <c r="AA15" s="36">
        <v>41640</v>
      </c>
      <c r="AB15" s="36">
        <v>41671</v>
      </c>
      <c r="AC15" s="36">
        <v>41699</v>
      </c>
      <c r="AD15" s="36">
        <v>41730</v>
      </c>
      <c r="AI15">
        <v>2012</v>
      </c>
      <c r="AJ15">
        <v>2013</v>
      </c>
      <c r="AK15">
        <v>2014</v>
      </c>
      <c r="AL15">
        <f>+AK15+1</f>
        <v>2015</v>
      </c>
      <c r="AM15">
        <f t="shared" ref="AM15:AU15" si="0">+AL15+1</f>
        <v>2016</v>
      </c>
      <c r="AN15">
        <f t="shared" si="0"/>
        <v>2017</v>
      </c>
      <c r="AO15">
        <f t="shared" si="0"/>
        <v>2018</v>
      </c>
      <c r="AP15">
        <f t="shared" si="0"/>
        <v>2019</v>
      </c>
      <c r="AQ15">
        <f t="shared" si="0"/>
        <v>2020</v>
      </c>
      <c r="AR15">
        <f t="shared" si="0"/>
        <v>2021</v>
      </c>
      <c r="AS15">
        <f t="shared" si="0"/>
        <v>2022</v>
      </c>
      <c r="AT15">
        <f t="shared" si="0"/>
        <v>2023</v>
      </c>
      <c r="AU15">
        <f t="shared" si="0"/>
        <v>2024</v>
      </c>
    </row>
    <row r="16" spans="1:47">
      <c r="B16" s="4" t="s">
        <v>699</v>
      </c>
      <c r="C16" s="37">
        <v>702.51499999999999</v>
      </c>
      <c r="D16" s="37">
        <v>689.05700000000002</v>
      </c>
      <c r="E16" s="37">
        <v>772.70500000000004</v>
      </c>
      <c r="F16" s="37">
        <v>594.803</v>
      </c>
      <c r="G16" s="37">
        <v>576.25800000000004</v>
      </c>
      <c r="H16" s="37">
        <v>671.95399999999995</v>
      </c>
      <c r="I16" s="37">
        <v>536.56100000000004</v>
      </c>
      <c r="J16" s="37">
        <v>499.66500000000002</v>
      </c>
      <c r="K16" s="37">
        <v>581.94899999999996</v>
      </c>
      <c r="L16" s="37">
        <v>531.52800000000002</v>
      </c>
      <c r="M16" s="37">
        <v>500.17200000000003</v>
      </c>
      <c r="N16" s="37">
        <v>593.91999999999996</v>
      </c>
      <c r="O16" s="37">
        <v>546.22400000000005</v>
      </c>
      <c r="P16" s="37">
        <v>499.22</v>
      </c>
      <c r="Q16" s="37">
        <v>560.48800000000006</v>
      </c>
      <c r="R16" s="37">
        <v>437.61900000000003</v>
      </c>
      <c r="S16" s="37">
        <v>411.07400000000001</v>
      </c>
      <c r="T16" s="37">
        <v>510.24400000000003</v>
      </c>
      <c r="U16" s="37">
        <v>429.048</v>
      </c>
      <c r="V16" s="37">
        <v>430.69099999999997</v>
      </c>
      <c r="W16" s="37">
        <v>532.06299999999999</v>
      </c>
      <c r="X16" s="37">
        <v>412.27300000000002</v>
      </c>
      <c r="Y16" s="37">
        <v>439.8</v>
      </c>
      <c r="Z16" s="37">
        <v>540.63099999999997</v>
      </c>
      <c r="AA16" s="37">
        <v>470.38600000000002</v>
      </c>
      <c r="AB16" s="37">
        <v>424.96600000000001</v>
      </c>
      <c r="AC16" s="37">
        <v>419.596</v>
      </c>
      <c r="AI16" s="37">
        <f>SUM(C16:N16)</f>
        <v>7251.0869999999995</v>
      </c>
      <c r="AJ16" s="37">
        <f>SUM(O16:Z16)</f>
        <v>5749.3750000000009</v>
      </c>
      <c r="AK16" s="37">
        <f>SUM(AA16:AC16)*4</f>
        <v>5259.7920000000004</v>
      </c>
      <c r="AL16" s="37">
        <f>+AK16*0.95</f>
        <v>4996.8024000000005</v>
      </c>
      <c r="AM16" s="37">
        <f t="shared" ref="AM16:AU16" si="1">+AL16*0.95</f>
        <v>4746.9622800000006</v>
      </c>
      <c r="AN16" s="37">
        <f t="shared" si="1"/>
        <v>4509.6141660000003</v>
      </c>
      <c r="AO16" s="37">
        <f t="shared" si="1"/>
        <v>4284.1334576999998</v>
      </c>
      <c r="AP16" s="37">
        <f t="shared" si="1"/>
        <v>4069.9267848149998</v>
      </c>
      <c r="AQ16" s="37">
        <f t="shared" si="1"/>
        <v>3866.4304455742495</v>
      </c>
      <c r="AR16" s="37">
        <f t="shared" si="1"/>
        <v>3673.1089232955369</v>
      </c>
      <c r="AS16" s="37">
        <f t="shared" si="1"/>
        <v>3489.4534771307599</v>
      </c>
      <c r="AT16" s="37">
        <f t="shared" si="1"/>
        <v>3314.9808032742217</v>
      </c>
      <c r="AU16" s="37">
        <f t="shared" si="1"/>
        <v>3149.2317631105107</v>
      </c>
    </row>
    <row r="17" spans="35:47">
      <c r="AJ17" s="38">
        <f t="shared" ref="AJ17:AU17" si="2">AJ16/AI16-1</f>
        <v>-0.20710163869224008</v>
      </c>
      <c r="AK17" s="38">
        <f t="shared" si="2"/>
        <v>-8.5154125448418383E-2</v>
      </c>
      <c r="AL17" s="38">
        <f t="shared" si="2"/>
        <v>-4.9999999999999933E-2</v>
      </c>
      <c r="AM17" s="38">
        <f t="shared" si="2"/>
        <v>-4.9999999999999933E-2</v>
      </c>
      <c r="AN17" s="38">
        <f t="shared" si="2"/>
        <v>-5.0000000000000044E-2</v>
      </c>
      <c r="AO17" s="38">
        <f t="shared" si="2"/>
        <v>-5.0000000000000155E-2</v>
      </c>
      <c r="AP17" s="38">
        <f t="shared" si="2"/>
        <v>-5.0000000000000044E-2</v>
      </c>
      <c r="AQ17" s="38">
        <f t="shared" si="2"/>
        <v>-5.0000000000000044E-2</v>
      </c>
      <c r="AR17" s="38">
        <f t="shared" si="2"/>
        <v>-5.0000000000000044E-2</v>
      </c>
      <c r="AS17" s="38">
        <f t="shared" si="2"/>
        <v>-5.0000000000000044E-2</v>
      </c>
      <c r="AT17" s="38">
        <f t="shared" si="2"/>
        <v>-5.0000000000000044E-2</v>
      </c>
      <c r="AU17" s="38">
        <f t="shared" si="2"/>
        <v>-4.9999999999999933E-2</v>
      </c>
    </row>
    <row r="19" spans="35:47">
      <c r="AI19" s="37">
        <f>AI16-500</f>
        <v>6751.0869999999995</v>
      </c>
      <c r="AJ19" s="37">
        <f t="shared" ref="AJ19:AU19" si="3">AJ16-500</f>
        <v>5249.3750000000009</v>
      </c>
      <c r="AK19" s="37">
        <f t="shared" si="3"/>
        <v>4759.7920000000004</v>
      </c>
      <c r="AL19" s="37">
        <f t="shared" si="3"/>
        <v>4496.8024000000005</v>
      </c>
      <c r="AM19" s="37">
        <f t="shared" si="3"/>
        <v>4246.9622800000006</v>
      </c>
      <c r="AN19" s="37">
        <f t="shared" si="3"/>
        <v>4009.6141660000003</v>
      </c>
      <c r="AO19" s="37">
        <f t="shared" si="3"/>
        <v>3784.1334576999998</v>
      </c>
      <c r="AP19" s="37">
        <f t="shared" si="3"/>
        <v>3569.9267848149998</v>
      </c>
      <c r="AQ19" s="37">
        <f t="shared" si="3"/>
        <v>3366.4304455742495</v>
      </c>
      <c r="AR19" s="37">
        <f t="shared" si="3"/>
        <v>3173.1089232955369</v>
      </c>
      <c r="AS19" s="37">
        <f t="shared" si="3"/>
        <v>2989.4534771307599</v>
      </c>
      <c r="AT19" s="37">
        <f t="shared" si="3"/>
        <v>2814.9808032742217</v>
      </c>
      <c r="AU19" s="37">
        <f t="shared" si="3"/>
        <v>2649.2317631105107</v>
      </c>
    </row>
    <row r="20" spans="35:47">
      <c r="AI20" s="37">
        <f>+AI19*0.65</f>
        <v>4388.2065499999999</v>
      </c>
      <c r="AJ20" s="37">
        <f t="shared" ref="AJ20:AU20" si="4">+AJ19*0.65</f>
        <v>3412.0937500000009</v>
      </c>
      <c r="AK20" s="37">
        <f t="shared" si="4"/>
        <v>3093.8648000000003</v>
      </c>
      <c r="AL20" s="37">
        <f t="shared" si="4"/>
        <v>2922.9215600000002</v>
      </c>
      <c r="AM20" s="37">
        <f t="shared" si="4"/>
        <v>2760.5254820000005</v>
      </c>
      <c r="AN20" s="37">
        <f t="shared" si="4"/>
        <v>2606.2492079000003</v>
      </c>
      <c r="AO20" s="37">
        <f t="shared" si="4"/>
        <v>2459.6867475049999</v>
      </c>
      <c r="AP20" s="37">
        <f t="shared" si="4"/>
        <v>2320.4524101297498</v>
      </c>
      <c r="AQ20" s="37">
        <f t="shared" si="4"/>
        <v>2188.1797896232624</v>
      </c>
      <c r="AR20" s="37">
        <f t="shared" si="4"/>
        <v>2062.5208001420992</v>
      </c>
      <c r="AS20" s="37">
        <f t="shared" si="4"/>
        <v>1943.1447601349939</v>
      </c>
      <c r="AT20" s="37">
        <f t="shared" si="4"/>
        <v>1829.7375221282441</v>
      </c>
      <c r="AU20" s="37">
        <f t="shared" si="4"/>
        <v>1722.0006460218319</v>
      </c>
    </row>
    <row r="22" spans="35:47">
      <c r="AK22" s="37">
        <f>NPV(4%,AL20:AU20)</f>
        <v>18854.906477100365</v>
      </c>
    </row>
  </sheetData>
  <hyperlinks>
    <hyperlink ref="A1" location="Main!A1" display="Main" xr:uid="{00000000-0004-0000-01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defaultColWidth="9.140625" defaultRowHeight="12.75"/>
  <cols>
    <col min="1" max="1" width="5" style="1" bestFit="1" customWidth="1"/>
    <col min="2" max="2" width="11.2851562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11</v>
      </c>
    </row>
    <row r="3" spans="1:3">
      <c r="B3" s="1" t="s">
        <v>6</v>
      </c>
      <c r="C3" s="1" t="s">
        <v>307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107</v>
      </c>
    </row>
    <row r="3" spans="1:3">
      <c r="B3" s="1" t="s">
        <v>178</v>
      </c>
      <c r="C3" s="1" t="s">
        <v>287</v>
      </c>
    </row>
    <row r="4" spans="1:3">
      <c r="B4" s="1" t="s">
        <v>207</v>
      </c>
      <c r="C4" s="1" t="s">
        <v>288</v>
      </c>
    </row>
    <row r="5" spans="1:3">
      <c r="B5" s="1" t="s">
        <v>5</v>
      </c>
      <c r="C5" s="14" t="s">
        <v>301</v>
      </c>
    </row>
    <row r="6" spans="1:3">
      <c r="C6" s="14" t="s">
        <v>302</v>
      </c>
    </row>
    <row r="7" spans="1:3">
      <c r="B7" s="1" t="s">
        <v>210</v>
      </c>
    </row>
    <row r="8" spans="1:3">
      <c r="C8" s="10" t="s">
        <v>304</v>
      </c>
    </row>
    <row r="9" spans="1:3">
      <c r="C9" s="1" t="s">
        <v>291</v>
      </c>
    </row>
    <row r="10" spans="1:3">
      <c r="C10" s="1" t="s">
        <v>289</v>
      </c>
    </row>
    <row r="12" spans="1:3">
      <c r="C12" s="1" t="s">
        <v>290</v>
      </c>
    </row>
    <row r="13" spans="1:3">
      <c r="C13" s="1" t="s">
        <v>294</v>
      </c>
    </row>
    <row r="14" spans="1:3">
      <c r="C14" s="1" t="s">
        <v>293</v>
      </c>
    </row>
    <row r="15" spans="1:3">
      <c r="C15" s="1" t="s">
        <v>292</v>
      </c>
    </row>
    <row r="17" spans="3:3">
      <c r="C17" s="1" t="s">
        <v>295</v>
      </c>
    </row>
    <row r="18" spans="3:3">
      <c r="C18" s="1" t="s">
        <v>296</v>
      </c>
    </row>
    <row r="19" spans="3:3">
      <c r="C19" s="1" t="s">
        <v>297</v>
      </c>
    </row>
    <row r="21" spans="3:3">
      <c r="C21" s="1" t="s">
        <v>298</v>
      </c>
    </row>
    <row r="22" spans="3:3">
      <c r="C22" s="1" t="s">
        <v>299</v>
      </c>
    </row>
    <row r="24" spans="3:3">
      <c r="C24" s="1" t="s">
        <v>303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P241"/>
  <sheetViews>
    <sheetView showGridLines="0" zoomScale="160" zoomScaleNormal="160" workbookViewId="0">
      <pane xSplit="2" ySplit="2" topLeftCell="DX3" activePane="bottomRight" state="frozen"/>
      <selection pane="topRight"/>
      <selection pane="bottomLeft"/>
      <selection pane="bottomRight" activeCell="DX14" sqref="DX14"/>
    </sheetView>
  </sheetViews>
  <sheetFormatPr defaultColWidth="9.140625" defaultRowHeight="12.75" customHeight="1"/>
  <cols>
    <col min="1" max="1" width="5" style="73" bestFit="1" customWidth="1"/>
    <col min="2" max="2" width="28.28515625" style="73" bestFit="1" customWidth="1"/>
    <col min="3" max="34" width="6.140625" style="60" customWidth="1"/>
    <col min="35" max="38" width="6.85546875" style="60" customWidth="1"/>
    <col min="39" max="39" width="7.28515625" style="60" customWidth="1"/>
    <col min="40" max="43" width="7" style="60" customWidth="1"/>
    <col min="44" max="54" width="6.7109375" style="60" customWidth="1"/>
    <col min="55" max="70" width="7.42578125" style="60" customWidth="1"/>
    <col min="71" max="74" width="7.140625" style="60" customWidth="1"/>
    <col min="75" max="85" width="6.85546875" style="60" customWidth="1"/>
    <col min="86" max="86" width="7.28515625" style="60" customWidth="1"/>
    <col min="87" max="102" width="7.85546875" style="60" customWidth="1"/>
    <col min="103" max="104" width="6.42578125" style="60" customWidth="1"/>
    <col min="105" max="105" width="4.28515625" style="73" customWidth="1"/>
    <col min="106" max="106" width="7.140625" style="60" bestFit="1" customWidth="1" collapsed="1"/>
    <col min="107" max="107" width="7.42578125" style="60" bestFit="1" customWidth="1" collapsed="1"/>
    <col min="108" max="108" width="9.42578125" style="60" bestFit="1" customWidth="1"/>
    <col min="109" max="109" width="7.7109375" style="60" customWidth="1"/>
    <col min="110" max="110" width="7.42578125" style="60" bestFit="1" customWidth="1"/>
    <col min="111" max="113" width="7.42578125" style="60" customWidth="1"/>
    <col min="114" max="125" width="7.28515625" style="60" customWidth="1"/>
    <col min="126" max="130" width="7.7109375" style="60" customWidth="1"/>
    <col min="131" max="131" width="8.28515625" style="60" customWidth="1"/>
    <col min="132" max="132" width="8.28515625" style="73" customWidth="1"/>
    <col min="133" max="133" width="8.28515625" style="112" customWidth="1"/>
    <col min="134" max="140" width="8.28515625" style="73" customWidth="1"/>
    <col min="141" max="191" width="9.28515625" style="73" bestFit="1" customWidth="1"/>
    <col min="192" max="16384" width="9.140625" style="73"/>
  </cols>
  <sheetData>
    <row r="1" spans="1:140" s="81" customFormat="1" ht="12.75" customHeight="1">
      <c r="A1" s="80" t="s">
        <v>8</v>
      </c>
      <c r="C1" s="82"/>
      <c r="D1" s="82"/>
      <c r="E1" s="82"/>
      <c r="F1" s="82"/>
      <c r="G1" s="83"/>
      <c r="H1" s="84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5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82"/>
      <c r="CV1" s="82"/>
      <c r="CW1" s="82"/>
      <c r="CX1" s="82"/>
      <c r="CY1" s="82"/>
      <c r="CZ1" s="82"/>
      <c r="DA1" s="73"/>
      <c r="DB1" s="82"/>
      <c r="DC1" s="84"/>
      <c r="DD1" s="86"/>
      <c r="DE1" s="86"/>
      <c r="DF1" s="86"/>
      <c r="DG1" s="86"/>
      <c r="DH1" s="86"/>
      <c r="DI1" s="86"/>
      <c r="DJ1" s="86"/>
      <c r="DK1" s="86"/>
      <c r="DL1" s="86"/>
      <c r="DM1" s="86"/>
      <c r="DN1" s="86"/>
      <c r="DO1" s="86"/>
      <c r="DP1" s="82"/>
      <c r="DQ1" s="82"/>
      <c r="DR1" s="82"/>
      <c r="DS1" s="82"/>
      <c r="DT1" s="82"/>
      <c r="DU1" s="82"/>
      <c r="DV1" s="82"/>
      <c r="DW1" s="82"/>
      <c r="DX1" s="82"/>
      <c r="DY1" s="82"/>
      <c r="DZ1" s="82"/>
      <c r="EA1" s="82"/>
      <c r="EC1" s="85"/>
    </row>
    <row r="2" spans="1:140" s="81" customFormat="1" ht="12.75" customHeight="1">
      <c r="B2" s="87"/>
      <c r="C2" s="88" t="s">
        <v>246</v>
      </c>
      <c r="D2" s="88" t="s">
        <v>247</v>
      </c>
      <c r="E2" s="88" t="s">
        <v>248</v>
      </c>
      <c r="F2" s="88" t="s">
        <v>249</v>
      </c>
      <c r="G2" s="88" t="s">
        <v>250</v>
      </c>
      <c r="H2" s="88" t="s">
        <v>251</v>
      </c>
      <c r="I2" s="88" t="s">
        <v>252</v>
      </c>
      <c r="J2" s="88" t="s">
        <v>253</v>
      </c>
      <c r="K2" s="88" t="s">
        <v>254</v>
      </c>
      <c r="L2" s="88" t="s">
        <v>255</v>
      </c>
      <c r="M2" s="88" t="s">
        <v>256</v>
      </c>
      <c r="N2" s="88" t="s">
        <v>245</v>
      </c>
      <c r="O2" s="88" t="s">
        <v>244</v>
      </c>
      <c r="P2" s="88" t="s">
        <v>243</v>
      </c>
      <c r="Q2" s="88" t="s">
        <v>242</v>
      </c>
      <c r="R2" s="88" t="s">
        <v>241</v>
      </c>
      <c r="S2" s="88" t="s">
        <v>240</v>
      </c>
      <c r="T2" s="88" t="s">
        <v>239</v>
      </c>
      <c r="U2" s="88" t="s">
        <v>238</v>
      </c>
      <c r="V2" s="88" t="s">
        <v>237</v>
      </c>
      <c r="W2" s="88" t="s">
        <v>199</v>
      </c>
      <c r="X2" s="88" t="s">
        <v>202</v>
      </c>
      <c r="Y2" s="88" t="s">
        <v>263</v>
      </c>
      <c r="Z2" s="88" t="s">
        <v>264</v>
      </c>
      <c r="AA2" s="88" t="s">
        <v>347</v>
      </c>
      <c r="AB2" s="88" t="s">
        <v>348</v>
      </c>
      <c r="AC2" s="88" t="s">
        <v>349</v>
      </c>
      <c r="AD2" s="88" t="s">
        <v>372</v>
      </c>
      <c r="AE2" s="88" t="s">
        <v>373</v>
      </c>
      <c r="AF2" s="88" t="s">
        <v>374</v>
      </c>
      <c r="AG2" s="88" t="s">
        <v>375</v>
      </c>
      <c r="AH2" s="88" t="s">
        <v>376</v>
      </c>
      <c r="AI2" s="88" t="s">
        <v>463</v>
      </c>
      <c r="AJ2" s="88" t="s">
        <v>466</v>
      </c>
      <c r="AK2" s="88" t="s">
        <v>467</v>
      </c>
      <c r="AL2" s="88" t="s">
        <v>468</v>
      </c>
      <c r="AM2" s="88" t="s">
        <v>481</v>
      </c>
      <c r="AN2" s="88" t="s">
        <v>482</v>
      </c>
      <c r="AO2" s="88" t="s">
        <v>483</v>
      </c>
      <c r="AP2" s="88" t="s">
        <v>484</v>
      </c>
      <c r="AQ2" s="88" t="s">
        <v>647</v>
      </c>
      <c r="AR2" s="88" t="s">
        <v>648</v>
      </c>
      <c r="AS2" s="88" t="s">
        <v>649</v>
      </c>
      <c r="AT2" s="88" t="s">
        <v>650</v>
      </c>
      <c r="AU2" s="88" t="s">
        <v>683</v>
      </c>
      <c r="AV2" s="88" t="s">
        <v>684</v>
      </c>
      <c r="AW2" s="88" t="s">
        <v>685</v>
      </c>
      <c r="AX2" s="88" t="s">
        <v>686</v>
      </c>
      <c r="AY2" s="88" t="s">
        <v>687</v>
      </c>
      <c r="AZ2" s="88" t="s">
        <v>688</v>
      </c>
      <c r="BA2" s="88" t="s">
        <v>680</v>
      </c>
      <c r="BB2" s="88" t="s">
        <v>689</v>
      </c>
      <c r="BC2" s="88" t="s">
        <v>681</v>
      </c>
      <c r="BD2" s="88" t="s">
        <v>690</v>
      </c>
      <c r="BE2" s="88" t="s">
        <v>691</v>
      </c>
      <c r="BF2" s="88" t="s">
        <v>692</v>
      </c>
      <c r="BG2" s="88" t="s">
        <v>703</v>
      </c>
      <c r="BH2" s="88" t="s">
        <v>704</v>
      </c>
      <c r="BI2" s="88" t="s">
        <v>705</v>
      </c>
      <c r="BJ2" s="88" t="s">
        <v>706</v>
      </c>
      <c r="BK2" s="88" t="s">
        <v>707</v>
      </c>
      <c r="BL2" s="88" t="s">
        <v>708</v>
      </c>
      <c r="BM2" s="88" t="s">
        <v>709</v>
      </c>
      <c r="BN2" s="88" t="s">
        <v>710</v>
      </c>
      <c r="BO2" s="88" t="s">
        <v>711</v>
      </c>
      <c r="BP2" s="88" t="s">
        <v>712</v>
      </c>
      <c r="BQ2" s="88" t="s">
        <v>713</v>
      </c>
      <c r="BR2" s="88" t="s">
        <v>714</v>
      </c>
      <c r="BS2" s="88" t="s">
        <v>715</v>
      </c>
      <c r="BT2" s="88" t="s">
        <v>716</v>
      </c>
      <c r="BU2" s="88" t="s">
        <v>717</v>
      </c>
      <c r="BV2" s="88" t="s">
        <v>718</v>
      </c>
      <c r="BW2" s="88" t="s">
        <v>719</v>
      </c>
      <c r="BX2" s="88" t="s">
        <v>720</v>
      </c>
      <c r="BY2" s="88" t="s">
        <v>721</v>
      </c>
      <c r="BZ2" s="88" t="s">
        <v>722</v>
      </c>
      <c r="CA2" s="88" t="s">
        <v>723</v>
      </c>
      <c r="CB2" s="88" t="s">
        <v>724</v>
      </c>
      <c r="CC2" s="88" t="s">
        <v>725</v>
      </c>
      <c r="CD2" s="88" t="s">
        <v>726</v>
      </c>
      <c r="CE2" s="88" t="s">
        <v>727</v>
      </c>
      <c r="CF2" s="88" t="s">
        <v>728</v>
      </c>
      <c r="CG2" s="88" t="s">
        <v>729</v>
      </c>
      <c r="CH2" s="88" t="s">
        <v>730</v>
      </c>
      <c r="CI2" s="88" t="s">
        <v>731</v>
      </c>
      <c r="CJ2" s="88" t="s">
        <v>732</v>
      </c>
      <c r="CK2" s="88" t="s">
        <v>733</v>
      </c>
      <c r="CL2" s="88" t="s">
        <v>734</v>
      </c>
      <c r="CM2" s="88" t="s">
        <v>735</v>
      </c>
      <c r="CN2" s="88" t="s">
        <v>736</v>
      </c>
      <c r="CO2" s="88" t="s">
        <v>737</v>
      </c>
      <c r="CP2" s="88" t="s">
        <v>738</v>
      </c>
      <c r="CQ2" s="88" t="s">
        <v>945</v>
      </c>
      <c r="CR2" s="88" t="s">
        <v>946</v>
      </c>
      <c r="CS2" s="88" t="s">
        <v>947</v>
      </c>
      <c r="CT2" s="88" t="s">
        <v>948</v>
      </c>
      <c r="CU2" s="88" t="s">
        <v>971</v>
      </c>
      <c r="CV2" s="88" t="s">
        <v>972</v>
      </c>
      <c r="CW2" s="88" t="s">
        <v>973</v>
      </c>
      <c r="CX2" s="88" t="s">
        <v>974</v>
      </c>
      <c r="CY2" s="88"/>
      <c r="CZ2" s="88"/>
      <c r="DA2" s="88"/>
      <c r="DB2" s="89">
        <f t="shared" ref="DB2:DG2" si="0">DC2-1</f>
        <v>2001</v>
      </c>
      <c r="DC2" s="89">
        <f t="shared" si="0"/>
        <v>2002</v>
      </c>
      <c r="DD2" s="89">
        <f t="shared" si="0"/>
        <v>2003</v>
      </c>
      <c r="DE2" s="89">
        <f t="shared" si="0"/>
        <v>2004</v>
      </c>
      <c r="DF2" s="89">
        <f t="shared" si="0"/>
        <v>2005</v>
      </c>
      <c r="DG2" s="89">
        <f t="shared" si="0"/>
        <v>2006</v>
      </c>
      <c r="DH2" s="89">
        <f>DI2-1</f>
        <v>2007</v>
      </c>
      <c r="DI2" s="89">
        <v>2008</v>
      </c>
      <c r="DJ2" s="89">
        <f t="shared" ref="DJ2:DO2" si="1">DI2+1</f>
        <v>2009</v>
      </c>
      <c r="DK2" s="89">
        <f t="shared" si="1"/>
        <v>2010</v>
      </c>
      <c r="DL2" s="89">
        <f t="shared" si="1"/>
        <v>2011</v>
      </c>
      <c r="DM2" s="89">
        <f t="shared" si="1"/>
        <v>2012</v>
      </c>
      <c r="DN2" s="89">
        <f t="shared" si="1"/>
        <v>2013</v>
      </c>
      <c r="DO2" s="89">
        <f t="shared" si="1"/>
        <v>2014</v>
      </c>
      <c r="DP2" s="89">
        <f>DO2+1</f>
        <v>2015</v>
      </c>
      <c r="DQ2" s="89">
        <f>DP2+1</f>
        <v>2016</v>
      </c>
      <c r="DR2" s="89">
        <f>DQ2+1</f>
        <v>2017</v>
      </c>
      <c r="DS2" s="89">
        <f>DR2+1</f>
        <v>2018</v>
      </c>
      <c r="DT2" s="89">
        <f t="shared" ref="DT2:EA2" si="2">DS2+1</f>
        <v>2019</v>
      </c>
      <c r="DU2" s="89">
        <f t="shared" si="2"/>
        <v>2020</v>
      </c>
      <c r="DV2" s="89">
        <f t="shared" si="2"/>
        <v>2021</v>
      </c>
      <c r="DW2" s="89">
        <f t="shared" si="2"/>
        <v>2022</v>
      </c>
      <c r="DX2" s="89">
        <f t="shared" si="2"/>
        <v>2023</v>
      </c>
      <c r="DY2" s="89">
        <f t="shared" si="2"/>
        <v>2024</v>
      </c>
      <c r="DZ2" s="89">
        <f t="shared" si="2"/>
        <v>2025</v>
      </c>
      <c r="EA2" s="89">
        <f t="shared" si="2"/>
        <v>2026</v>
      </c>
      <c r="EB2" s="126">
        <f>EA2+1</f>
        <v>2027</v>
      </c>
      <c r="EC2" s="126">
        <f t="shared" ref="EC2:EE2" si="3">EB2+1</f>
        <v>2028</v>
      </c>
      <c r="ED2" s="126">
        <f t="shared" si="3"/>
        <v>2029</v>
      </c>
      <c r="EE2" s="126">
        <f t="shared" si="3"/>
        <v>2030</v>
      </c>
      <c r="EF2" s="126">
        <f>EE2+1</f>
        <v>2031</v>
      </c>
      <c r="EG2" s="126">
        <f t="shared" ref="EG2:EJ2" si="4">EF2+1</f>
        <v>2032</v>
      </c>
      <c r="EH2" s="126">
        <f t="shared" si="4"/>
        <v>2033</v>
      </c>
      <c r="EI2" s="126">
        <f t="shared" si="4"/>
        <v>2034</v>
      </c>
      <c r="EJ2" s="126">
        <f t="shared" si="4"/>
        <v>2035</v>
      </c>
    </row>
    <row r="3" spans="1:140" s="90" customFormat="1" ht="12.75" customHeight="1">
      <c r="B3" s="44" t="s">
        <v>740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>
        <v>4</v>
      </c>
      <c r="BF3" s="91">
        <v>50</v>
      </c>
      <c r="BG3" s="91">
        <v>83</v>
      </c>
      <c r="BH3" s="91">
        <v>110</v>
      </c>
      <c r="BI3" s="91">
        <v>159</v>
      </c>
      <c r="BJ3" s="91">
        <v>214</v>
      </c>
      <c r="BK3" s="91">
        <v>249</v>
      </c>
      <c r="BL3" s="91">
        <v>314</v>
      </c>
      <c r="BM3" s="91">
        <v>356</v>
      </c>
      <c r="BN3" s="91">
        <v>483</v>
      </c>
      <c r="BO3" s="91">
        <v>584</v>
      </c>
      <c r="BP3" s="91">
        <v>881</v>
      </c>
      <c r="BQ3" s="91">
        <v>1047</v>
      </c>
      <c r="BR3" s="91">
        <v>1297</v>
      </c>
      <c r="BS3" s="91">
        <v>1464</v>
      </c>
      <c r="BT3" s="91">
        <v>1667</v>
      </c>
      <c r="BU3" s="91">
        <v>1889</v>
      </c>
      <c r="BV3" s="91">
        <v>2151</v>
      </c>
      <c r="BW3" s="91">
        <v>2269</v>
      </c>
      <c r="BX3" s="91">
        <v>2634</v>
      </c>
      <c r="BY3" s="91">
        <v>3070</v>
      </c>
      <c r="BZ3" s="91">
        <v>3111</v>
      </c>
      <c r="CA3" s="91">
        <v>3284</v>
      </c>
      <c r="CB3" s="91">
        <v>3388</v>
      </c>
      <c r="CC3" s="91">
        <v>3715</v>
      </c>
      <c r="CD3" s="91">
        <v>3993</v>
      </c>
      <c r="CE3" s="91">
        <v>3899</v>
      </c>
      <c r="CF3" s="91">
        <v>4176</v>
      </c>
      <c r="CG3" s="91">
        <v>4534</v>
      </c>
      <c r="CH3" s="91">
        <v>4577</v>
      </c>
      <c r="CI3" s="91">
        <v>4809</v>
      </c>
      <c r="CJ3" s="91">
        <v>5252</v>
      </c>
      <c r="CK3" s="91">
        <v>5426</v>
      </c>
      <c r="CL3" s="91">
        <v>5450</v>
      </c>
      <c r="CM3" s="91">
        <v>5795</v>
      </c>
      <c r="CN3" s="91">
        <v>6271</v>
      </c>
      <c r="CO3" s="91">
        <v>6338</v>
      </c>
      <c r="CP3" s="91">
        <v>6608</v>
      </c>
      <c r="CQ3" s="91">
        <v>6947</v>
      </c>
      <c r="CR3" s="91">
        <v>7270</v>
      </c>
      <c r="CS3" s="91">
        <v>7429</v>
      </c>
      <c r="CT3" s="91">
        <f>+CP3*1.1</f>
        <v>7268.8</v>
      </c>
      <c r="CU3" s="91">
        <f>+CQ3*1.1</f>
        <v>7641.7000000000007</v>
      </c>
      <c r="CV3" s="91">
        <f>+CR3*1.1</f>
        <v>7997.0000000000009</v>
      </c>
      <c r="CW3" s="91">
        <f>+CS3*1.1</f>
        <v>8171.9000000000005</v>
      </c>
      <c r="CX3" s="91">
        <f>+CT3*1.1</f>
        <v>7995.6800000000012</v>
      </c>
      <c r="CY3" s="91"/>
      <c r="CZ3" s="91"/>
      <c r="DA3" s="91"/>
      <c r="DB3" s="92"/>
      <c r="DC3" s="92"/>
      <c r="DD3" s="92"/>
      <c r="DE3" s="92"/>
      <c r="DF3" s="92"/>
      <c r="DG3" s="92"/>
      <c r="DH3" s="92"/>
      <c r="DI3" s="92"/>
      <c r="DJ3" s="92"/>
      <c r="DK3" s="92"/>
      <c r="DL3" s="92"/>
      <c r="DM3" s="92"/>
      <c r="DN3" s="92"/>
      <c r="DO3" s="92">
        <f>SUM(BC3:BF3)</f>
        <v>54</v>
      </c>
      <c r="DP3" s="92">
        <f>SUM(BG3:BJ3)</f>
        <v>566</v>
      </c>
      <c r="DQ3" s="92">
        <f>SUM(BK3:BN3)</f>
        <v>1402</v>
      </c>
      <c r="DR3" s="92">
        <f>SUM(BO3:BR3)</f>
        <v>3809</v>
      </c>
      <c r="DS3" s="92">
        <f>SUM(BS3:BV3)</f>
        <v>7171</v>
      </c>
      <c r="DT3" s="92">
        <f t="shared" ref="DT3:DT5" si="5">SUM(BW3:BZ3)</f>
        <v>11084</v>
      </c>
      <c r="DU3" s="92">
        <f t="shared" ref="DU3:DU5" si="6">SUM(CA3:CD3)</f>
        <v>14380</v>
      </c>
      <c r="DV3" s="92">
        <f t="shared" ref="DV3:DV8" si="7">SUM(CE3:CH3)</f>
        <v>17186</v>
      </c>
      <c r="DW3" s="92">
        <f t="shared" ref="DW3:DW8" si="8">SUM(CI3:CL3)</f>
        <v>20937</v>
      </c>
      <c r="DX3" s="92">
        <f t="shared" ref="DX3:DX30" si="9">SUM(CM3:CP3)</f>
        <v>25012</v>
      </c>
      <c r="DY3" s="92">
        <f t="shared" ref="DY3:DY12" si="10">SUM(CQ3:CT3)</f>
        <v>28914.799999999999</v>
      </c>
      <c r="DZ3" s="92">
        <f>SUM(CU3:CX3)</f>
        <v>31806.280000000002</v>
      </c>
      <c r="EA3" s="92">
        <f>DZ3*1.05</f>
        <v>33396.594000000005</v>
      </c>
      <c r="EB3" s="92">
        <f>EA3*1.05</f>
        <v>35066.423700000007</v>
      </c>
      <c r="EC3" s="92">
        <f>EB3*0.8</f>
        <v>28053.138960000008</v>
      </c>
      <c r="ED3" s="92">
        <f>EC3*0.7</f>
        <v>19637.197272000005</v>
      </c>
      <c r="EE3" s="92">
        <f>ED3*0.6</f>
        <v>11782.318363200002</v>
      </c>
      <c r="EF3" s="90">
        <f>EE3*0.7</f>
        <v>8247.6228542400004</v>
      </c>
      <c r="EG3" s="90">
        <f>EF3*0.7</f>
        <v>5773.3359979679999</v>
      </c>
      <c r="EH3" s="90">
        <f t="shared" ref="EH3:EJ3" si="11">EG3*0.6</f>
        <v>3464.0015987807997</v>
      </c>
      <c r="EI3" s="90">
        <f t="shared" si="11"/>
        <v>2078.4009592684797</v>
      </c>
      <c r="EJ3" s="90">
        <f t="shared" si="11"/>
        <v>1247.0405755610877</v>
      </c>
    </row>
    <row r="4" spans="1:140" s="90" customFormat="1" ht="12.75" customHeight="1">
      <c r="B4" s="44" t="s">
        <v>741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1"/>
      <c r="BO4" s="91"/>
      <c r="BP4" s="91"/>
      <c r="BQ4" s="91">
        <v>5</v>
      </c>
      <c r="BR4" s="91">
        <v>16</v>
      </c>
      <c r="BS4" s="91">
        <v>33</v>
      </c>
      <c r="BT4" s="91">
        <v>44</v>
      </c>
      <c r="BU4" s="91">
        <v>49</v>
      </c>
      <c r="BV4" s="91">
        <v>62</v>
      </c>
      <c r="BW4" s="91">
        <v>79</v>
      </c>
      <c r="BX4" s="91">
        <v>111</v>
      </c>
      <c r="BY4" s="91">
        <v>123</v>
      </c>
      <c r="BZ4" s="91">
        <v>132</v>
      </c>
      <c r="CA4" s="91">
        <v>145</v>
      </c>
      <c r="CB4" s="91">
        <v>178</v>
      </c>
      <c r="CC4" s="91">
        <v>196</v>
      </c>
      <c r="CD4" s="91">
        <v>206</v>
      </c>
      <c r="CE4" s="91">
        <v>228</v>
      </c>
      <c r="CF4" s="91">
        <v>248</v>
      </c>
      <c r="CG4" s="91">
        <v>246</v>
      </c>
      <c r="CH4" s="91">
        <v>268</v>
      </c>
      <c r="CI4" s="91">
        <v>266</v>
      </c>
      <c r="CJ4" s="91">
        <v>275</v>
      </c>
      <c r="CK4" s="91">
        <v>284</v>
      </c>
      <c r="CL4" s="91">
        <v>292</v>
      </c>
      <c r="CM4" s="91">
        <v>275</v>
      </c>
      <c r="CN4" s="91">
        <v>310</v>
      </c>
      <c r="CO4" s="91">
        <v>299</v>
      </c>
      <c r="CP4" s="91">
        <v>315</v>
      </c>
      <c r="CQ4" s="91">
        <v>292</v>
      </c>
      <c r="CR4" s="91">
        <v>317</v>
      </c>
      <c r="CS4" s="91">
        <v>337</v>
      </c>
      <c r="CT4" s="91">
        <f t="shared" ref="CT4:CX5" si="12">+CP4*1.01</f>
        <v>318.14999999999998</v>
      </c>
      <c r="CU4" s="91">
        <f t="shared" si="12"/>
        <v>294.92</v>
      </c>
      <c r="CV4" s="91">
        <f t="shared" si="12"/>
        <v>320.17</v>
      </c>
      <c r="CW4" s="91">
        <f t="shared" si="12"/>
        <v>340.37</v>
      </c>
      <c r="CX4" s="91">
        <f t="shared" si="12"/>
        <v>321.33150000000001</v>
      </c>
      <c r="CY4" s="91"/>
      <c r="CZ4" s="91"/>
      <c r="DA4" s="91"/>
      <c r="DB4" s="92"/>
      <c r="DC4" s="92"/>
      <c r="DD4" s="92"/>
      <c r="DE4" s="92"/>
      <c r="DF4" s="92"/>
      <c r="DG4" s="92"/>
      <c r="DH4" s="92"/>
      <c r="DI4" s="92"/>
      <c r="DJ4" s="92"/>
      <c r="DK4" s="92"/>
      <c r="DL4" s="92"/>
      <c r="DM4" s="92"/>
      <c r="DN4" s="92"/>
      <c r="DO4" s="92"/>
      <c r="DP4" s="92"/>
      <c r="DQ4" s="92"/>
      <c r="DR4" s="92">
        <f t="shared" ref="DR4:DR62" si="13">SUM(BO4:BR4)</f>
        <v>21</v>
      </c>
      <c r="DS4" s="92">
        <f t="shared" ref="DS4:DS62" si="14">SUM(BS4:BV4)</f>
        <v>188</v>
      </c>
      <c r="DT4" s="92">
        <f t="shared" si="5"/>
        <v>445</v>
      </c>
      <c r="DU4" s="92">
        <f t="shared" si="6"/>
        <v>725</v>
      </c>
      <c r="DV4" s="92">
        <f t="shared" si="7"/>
        <v>990</v>
      </c>
      <c r="DW4" s="92">
        <f t="shared" si="8"/>
        <v>1117</v>
      </c>
      <c r="DX4" s="92">
        <f>SUM(CM4:CP4)</f>
        <v>1199</v>
      </c>
      <c r="DY4" s="92">
        <f t="shared" si="10"/>
        <v>1264.1500000000001</v>
      </c>
      <c r="DZ4" s="92">
        <f>DY4*0.5</f>
        <v>632.07500000000005</v>
      </c>
      <c r="EA4" s="92">
        <f t="shared" ref="EA4:EJ4" si="15">DZ4*0.5</f>
        <v>316.03750000000002</v>
      </c>
      <c r="EB4" s="92">
        <f t="shared" si="15"/>
        <v>158.01875000000001</v>
      </c>
      <c r="EC4" s="92">
        <f t="shared" si="15"/>
        <v>79.009375000000006</v>
      </c>
      <c r="ED4" s="92">
        <f t="shared" si="15"/>
        <v>39.504687500000003</v>
      </c>
      <c r="EE4" s="92">
        <f t="shared" si="15"/>
        <v>19.752343750000001</v>
      </c>
      <c r="EF4" s="92">
        <f t="shared" si="15"/>
        <v>9.8761718750000007</v>
      </c>
      <c r="EG4" s="92">
        <f t="shared" si="15"/>
        <v>4.9380859375000004</v>
      </c>
      <c r="EH4" s="92">
        <f t="shared" si="15"/>
        <v>2.4690429687500002</v>
      </c>
      <c r="EI4" s="92">
        <f t="shared" si="15"/>
        <v>1.2345214843750001</v>
      </c>
      <c r="EJ4" s="92">
        <f t="shared" si="15"/>
        <v>0.61726074218750004</v>
      </c>
    </row>
    <row r="5" spans="1:140" s="90" customFormat="1" ht="12.75" customHeight="1">
      <c r="B5" s="44" t="s">
        <v>742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1"/>
      <c r="BE5" s="91"/>
      <c r="BF5" s="91"/>
      <c r="BG5" s="91"/>
      <c r="BH5" s="91"/>
      <c r="BI5" s="91"/>
      <c r="BJ5" s="91"/>
      <c r="BK5" s="91"/>
      <c r="BL5" s="91"/>
      <c r="BM5" s="91"/>
      <c r="BN5" s="91"/>
      <c r="BO5" s="91"/>
      <c r="BP5" s="91"/>
      <c r="BQ5" s="91"/>
      <c r="BR5" s="91"/>
      <c r="BS5" s="91"/>
      <c r="BT5" s="91">
        <v>35</v>
      </c>
      <c r="BU5" s="91">
        <v>43</v>
      </c>
      <c r="BV5" s="91">
        <v>71</v>
      </c>
      <c r="BW5" s="91">
        <v>74</v>
      </c>
      <c r="BX5" s="91">
        <v>97</v>
      </c>
      <c r="BY5" s="91">
        <v>109</v>
      </c>
      <c r="BZ5" s="91">
        <v>124</v>
      </c>
      <c r="CA5" s="91">
        <v>128</v>
      </c>
      <c r="CB5" s="91">
        <v>151</v>
      </c>
      <c r="CC5" s="91">
        <v>142</v>
      </c>
      <c r="CD5" s="91">
        <v>158</v>
      </c>
      <c r="CE5" s="91">
        <v>130</v>
      </c>
      <c r="CF5" s="91">
        <v>181</v>
      </c>
      <c r="CG5" s="91">
        <v>188</v>
      </c>
      <c r="CH5" s="91">
        <v>206</v>
      </c>
      <c r="CI5" s="91">
        <v>227</v>
      </c>
      <c r="CJ5" s="91">
        <v>231</v>
      </c>
      <c r="CK5" s="91">
        <v>202</v>
      </c>
      <c r="CL5" s="91">
        <v>216</v>
      </c>
      <c r="CM5" s="91">
        <v>232</v>
      </c>
      <c r="CN5" s="91">
        <v>242</v>
      </c>
      <c r="CO5" s="91">
        <v>260</v>
      </c>
      <c r="CP5" s="91">
        <v>226</v>
      </c>
      <c r="CQ5" s="91">
        <v>255</v>
      </c>
      <c r="CR5" s="91">
        <v>249</v>
      </c>
      <c r="CS5" s="91">
        <v>251</v>
      </c>
      <c r="CT5" s="91">
        <f t="shared" si="12"/>
        <v>228.26</v>
      </c>
      <c r="CU5" s="91">
        <f t="shared" si="12"/>
        <v>257.55</v>
      </c>
      <c r="CV5" s="91">
        <f t="shared" si="12"/>
        <v>251.49</v>
      </c>
      <c r="CW5" s="91">
        <f t="shared" si="12"/>
        <v>253.51</v>
      </c>
      <c r="CX5" s="91">
        <f t="shared" si="12"/>
        <v>230.54259999999999</v>
      </c>
      <c r="CY5" s="91"/>
      <c r="CZ5" s="91"/>
      <c r="DA5" s="91"/>
      <c r="DB5" s="92"/>
      <c r="DC5" s="92"/>
      <c r="DD5" s="92"/>
      <c r="DE5" s="92"/>
      <c r="DF5" s="92"/>
      <c r="DG5" s="92"/>
      <c r="DH5" s="92"/>
      <c r="DI5" s="92"/>
      <c r="DJ5" s="92"/>
      <c r="DK5" s="92"/>
      <c r="DL5" s="92"/>
      <c r="DM5" s="92"/>
      <c r="DN5" s="92"/>
      <c r="DO5" s="92"/>
      <c r="DP5" s="92"/>
      <c r="DQ5" s="92"/>
      <c r="DR5" s="92"/>
      <c r="DS5" s="92">
        <f t="shared" si="14"/>
        <v>149</v>
      </c>
      <c r="DT5" s="92">
        <f t="shared" si="5"/>
        <v>404</v>
      </c>
      <c r="DU5" s="92">
        <f t="shared" si="6"/>
        <v>579</v>
      </c>
      <c r="DV5" s="92">
        <f t="shared" si="7"/>
        <v>705</v>
      </c>
      <c r="DW5" s="92">
        <f t="shared" si="8"/>
        <v>876</v>
      </c>
      <c r="DX5" s="92">
        <f t="shared" si="9"/>
        <v>960</v>
      </c>
      <c r="DY5" s="92">
        <f t="shared" si="10"/>
        <v>983.26</v>
      </c>
      <c r="DZ5" s="92">
        <f>DY5*1.05</f>
        <v>1032.423</v>
      </c>
      <c r="EA5" s="92">
        <f>DZ5*0.5</f>
        <v>516.2115</v>
      </c>
      <c r="EB5" s="92">
        <f t="shared" ref="EB5:EJ5" si="16">EA5*0.5</f>
        <v>258.10575</v>
      </c>
      <c r="EC5" s="92">
        <f t="shared" si="16"/>
        <v>129.052875</v>
      </c>
      <c r="ED5" s="92">
        <f t="shared" si="16"/>
        <v>64.5264375</v>
      </c>
      <c r="EE5" s="92">
        <f t="shared" si="16"/>
        <v>32.26321875</v>
      </c>
      <c r="EF5" s="92">
        <f t="shared" si="16"/>
        <v>16.131609375</v>
      </c>
      <c r="EG5" s="92">
        <f t="shared" si="16"/>
        <v>8.0658046875</v>
      </c>
      <c r="EH5" s="92">
        <f t="shared" si="16"/>
        <v>4.03290234375</v>
      </c>
      <c r="EI5" s="92">
        <f t="shared" si="16"/>
        <v>2.016451171875</v>
      </c>
      <c r="EJ5" s="92">
        <f t="shared" si="16"/>
        <v>1.0082255859375</v>
      </c>
    </row>
    <row r="6" spans="1:140" s="90" customFormat="1" ht="12.75" customHeight="1">
      <c r="B6" s="44" t="s">
        <v>743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1"/>
      <c r="CC6" s="91"/>
      <c r="CD6" s="91"/>
      <c r="CE6" s="91"/>
      <c r="CF6" s="91"/>
      <c r="CG6" s="91"/>
      <c r="CH6" s="91">
        <v>17</v>
      </c>
      <c r="CI6" s="91">
        <v>52</v>
      </c>
      <c r="CJ6" s="91">
        <v>33</v>
      </c>
      <c r="CK6" s="91">
        <v>39</v>
      </c>
      <c r="CL6" s="91">
        <v>41</v>
      </c>
      <c r="CM6" s="91">
        <v>43</v>
      </c>
      <c r="CN6" s="91">
        <v>47</v>
      </c>
      <c r="CO6" s="91">
        <v>52</v>
      </c>
      <c r="CP6" s="91">
        <v>70</v>
      </c>
      <c r="CQ6" s="91">
        <v>71</v>
      </c>
      <c r="CR6" s="91">
        <v>90</v>
      </c>
      <c r="CS6" s="91">
        <v>100</v>
      </c>
      <c r="CT6" s="91">
        <f>+CS6+5</f>
        <v>105</v>
      </c>
      <c r="CU6" s="91">
        <f t="shared" ref="CU6:CX6" si="17">+CT6+5</f>
        <v>110</v>
      </c>
      <c r="CV6" s="91">
        <f t="shared" si="17"/>
        <v>115</v>
      </c>
      <c r="CW6" s="91">
        <f t="shared" si="17"/>
        <v>120</v>
      </c>
      <c r="CX6" s="91">
        <f t="shared" si="17"/>
        <v>125</v>
      </c>
      <c r="CY6" s="91"/>
      <c r="CZ6" s="91"/>
      <c r="DA6" s="91"/>
      <c r="DB6" s="92"/>
      <c r="DC6" s="92"/>
      <c r="DD6" s="92"/>
      <c r="DE6" s="92"/>
      <c r="DF6" s="92"/>
      <c r="DG6" s="92"/>
      <c r="DH6" s="92"/>
      <c r="DI6" s="92"/>
      <c r="DJ6" s="92"/>
      <c r="DK6" s="92"/>
      <c r="DL6" s="92"/>
      <c r="DM6" s="92"/>
      <c r="DN6" s="92"/>
      <c r="DO6" s="92"/>
      <c r="DP6" s="92"/>
      <c r="DQ6" s="92"/>
      <c r="DR6" s="92"/>
      <c r="DS6" s="92"/>
      <c r="DT6" s="92"/>
      <c r="DU6" s="92"/>
      <c r="DV6" s="92">
        <f t="shared" si="7"/>
        <v>17</v>
      </c>
      <c r="DW6" s="92">
        <f t="shared" si="8"/>
        <v>165</v>
      </c>
      <c r="DX6" s="92">
        <f t="shared" si="9"/>
        <v>212</v>
      </c>
      <c r="DY6" s="92">
        <f t="shared" si="10"/>
        <v>366</v>
      </c>
      <c r="DZ6" s="92">
        <f>DY6*1.3</f>
        <v>475.8</v>
      </c>
      <c r="EA6" s="92">
        <f>DZ6*1.3</f>
        <v>618.54000000000008</v>
      </c>
      <c r="EB6" s="92">
        <f>EA6*1.3</f>
        <v>804.10200000000009</v>
      </c>
      <c r="EC6" s="85">
        <f>EB6*1.05</f>
        <v>844.3071000000001</v>
      </c>
      <c r="ED6" s="85">
        <f t="shared" ref="ED6:EJ6" si="18">EC6*1.05</f>
        <v>886.52245500000015</v>
      </c>
      <c r="EE6" s="85">
        <f t="shared" si="18"/>
        <v>930.84857775000023</v>
      </c>
      <c r="EF6" s="85">
        <f t="shared" si="18"/>
        <v>977.39100663750025</v>
      </c>
      <c r="EG6" s="85">
        <f t="shared" si="18"/>
        <v>1026.2605569693753</v>
      </c>
      <c r="EH6" s="85">
        <f t="shared" si="18"/>
        <v>1077.5735848178442</v>
      </c>
      <c r="EI6" s="85">
        <f t="shared" si="18"/>
        <v>1131.4522640587365</v>
      </c>
      <c r="EJ6" s="85">
        <f t="shared" si="18"/>
        <v>1188.0248772616735</v>
      </c>
    </row>
    <row r="7" spans="1:140" s="90" customFormat="1" ht="12.75" customHeight="1">
      <c r="B7" s="44" t="s">
        <v>932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>
        <v>18</v>
      </c>
      <c r="CJ7" s="91">
        <v>27</v>
      </c>
      <c r="CK7" s="91">
        <v>38</v>
      </c>
      <c r="CL7" s="91">
        <v>40</v>
      </c>
      <c r="CM7" s="91">
        <v>42</v>
      </c>
      <c r="CN7" s="91">
        <v>50</v>
      </c>
      <c r="CO7" s="91">
        <v>54</v>
      </c>
      <c r="CP7" s="91">
        <v>72</v>
      </c>
      <c r="CQ7" s="91">
        <v>85</v>
      </c>
      <c r="CR7" s="91">
        <v>126</v>
      </c>
      <c r="CS7" s="91">
        <v>139</v>
      </c>
      <c r="CT7" s="91">
        <f t="shared" ref="CT7" si="19">+CS7+3</f>
        <v>142</v>
      </c>
      <c r="CU7" s="91">
        <f t="shared" ref="CU7" si="20">+CT7+3</f>
        <v>145</v>
      </c>
      <c r="CV7" s="91">
        <f t="shared" ref="CV7" si="21">+CU7+3</f>
        <v>148</v>
      </c>
      <c r="CW7" s="91">
        <f t="shared" ref="CW7" si="22">+CV7+3</f>
        <v>151</v>
      </c>
      <c r="CX7" s="91">
        <f t="shared" ref="CX7" si="23">+CW7+3</f>
        <v>154</v>
      </c>
      <c r="CY7" s="91"/>
      <c r="CZ7" s="91"/>
      <c r="DA7" s="91"/>
      <c r="DB7" s="92"/>
      <c r="DC7" s="92"/>
      <c r="DD7" s="92"/>
      <c r="DE7" s="92"/>
      <c r="DF7" s="92"/>
      <c r="DG7" s="92"/>
      <c r="DH7" s="92"/>
      <c r="DI7" s="92"/>
      <c r="DJ7" s="92"/>
      <c r="DK7" s="92"/>
      <c r="DL7" s="92"/>
      <c r="DM7" s="92"/>
      <c r="DN7" s="92"/>
      <c r="DO7" s="92"/>
      <c r="DP7" s="92"/>
      <c r="DQ7" s="92"/>
      <c r="DR7" s="92"/>
      <c r="DS7" s="92"/>
      <c r="DT7" s="92"/>
      <c r="DU7" s="92"/>
      <c r="DV7" s="92"/>
      <c r="DW7" s="92">
        <f t="shared" si="8"/>
        <v>123</v>
      </c>
      <c r="DX7" s="92">
        <f t="shared" si="9"/>
        <v>218</v>
      </c>
      <c r="DY7" s="92">
        <f t="shared" si="10"/>
        <v>492</v>
      </c>
      <c r="DZ7" s="92">
        <f>DY7+50</f>
        <v>542</v>
      </c>
      <c r="EA7" s="92">
        <f>DZ7*1.03</f>
        <v>558.26</v>
      </c>
      <c r="EB7" s="92">
        <f t="shared" ref="EB7:EH7" si="24">EA7*1.03</f>
        <v>575.00779999999997</v>
      </c>
      <c r="EC7" s="92">
        <f t="shared" si="24"/>
        <v>592.25803399999995</v>
      </c>
      <c r="ED7" s="92">
        <f t="shared" si="24"/>
        <v>610.02577501999997</v>
      </c>
      <c r="EE7" s="92">
        <f t="shared" si="24"/>
        <v>628.32654827060003</v>
      </c>
      <c r="EF7" s="92">
        <f t="shared" si="24"/>
        <v>647.17634471871804</v>
      </c>
      <c r="EG7" s="92">
        <f t="shared" si="24"/>
        <v>666.5916350602796</v>
      </c>
      <c r="EH7" s="92">
        <f t="shared" si="24"/>
        <v>686.58938411208806</v>
      </c>
      <c r="EI7" s="90">
        <f>EH7*0.5</f>
        <v>343.29469205604403</v>
      </c>
      <c r="EJ7" s="90">
        <f>EI7*0.5</f>
        <v>171.64734602802201</v>
      </c>
    </row>
    <row r="8" spans="1:140" s="39" customFormat="1" ht="12.75" customHeight="1">
      <c r="B8" s="44" t="s">
        <v>739</v>
      </c>
      <c r="C8" s="40"/>
      <c r="D8" s="40"/>
      <c r="E8" s="40"/>
      <c r="F8" s="40"/>
      <c r="G8" s="40"/>
      <c r="H8" s="40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1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  <c r="CH8" s="92">
        <v>952</v>
      </c>
      <c r="CI8" s="92">
        <v>3247</v>
      </c>
      <c r="CJ8" s="92">
        <v>1177</v>
      </c>
      <c r="CK8" s="92">
        <v>436</v>
      </c>
      <c r="CL8" s="92">
        <v>825</v>
      </c>
      <c r="CM8" s="92">
        <v>392</v>
      </c>
      <c r="CN8" s="92">
        <v>203</v>
      </c>
      <c r="CO8" s="92">
        <v>640</v>
      </c>
      <c r="CP8" s="92">
        <v>193</v>
      </c>
      <c r="CQ8" s="92">
        <v>350</v>
      </c>
      <c r="CR8" s="92">
        <v>110</v>
      </c>
      <c r="CS8" s="92">
        <v>383</v>
      </c>
      <c r="CT8" s="92">
        <f>+CS8*0.5</f>
        <v>191.5</v>
      </c>
      <c r="CU8" s="92">
        <f t="shared" ref="CU8:CX8" si="25">+CT8*0.5</f>
        <v>95.75</v>
      </c>
      <c r="CV8" s="92">
        <f t="shared" si="25"/>
        <v>47.875</v>
      </c>
      <c r="CW8" s="92">
        <f t="shared" si="25"/>
        <v>23.9375</v>
      </c>
      <c r="CX8" s="92">
        <f t="shared" si="25"/>
        <v>11.96875</v>
      </c>
      <c r="CY8" s="92"/>
      <c r="CZ8" s="92"/>
      <c r="DA8" s="93"/>
      <c r="DB8" s="40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92"/>
      <c r="DR8" s="92"/>
      <c r="DS8" s="92"/>
      <c r="DT8" s="92"/>
      <c r="DU8" s="92"/>
      <c r="DV8" s="92">
        <f t="shared" si="7"/>
        <v>952</v>
      </c>
      <c r="DW8" s="92">
        <f t="shared" si="8"/>
        <v>5685</v>
      </c>
      <c r="DX8" s="92">
        <f t="shared" si="9"/>
        <v>1428</v>
      </c>
      <c r="DY8" s="92">
        <f t="shared" si="10"/>
        <v>1034.5</v>
      </c>
      <c r="DZ8" s="92">
        <f t="shared" ref="DZ8:EJ8" si="26">DY8*0.5</f>
        <v>517.25</v>
      </c>
      <c r="EA8" s="92">
        <f t="shared" si="26"/>
        <v>258.625</v>
      </c>
      <c r="EB8" s="92">
        <f t="shared" si="26"/>
        <v>129.3125</v>
      </c>
      <c r="EC8" s="92">
        <f t="shared" si="26"/>
        <v>64.65625</v>
      </c>
      <c r="ED8" s="92">
        <f t="shared" si="26"/>
        <v>32.328125</v>
      </c>
      <c r="EE8" s="92">
        <f t="shared" si="26"/>
        <v>16.1640625</v>
      </c>
      <c r="EF8" s="92">
        <f t="shared" si="26"/>
        <v>8.08203125</v>
      </c>
      <c r="EG8" s="92">
        <f t="shared" si="26"/>
        <v>4.041015625</v>
      </c>
      <c r="EH8" s="92">
        <f t="shared" si="26"/>
        <v>2.0205078125</v>
      </c>
      <c r="EI8" s="92">
        <f t="shared" si="26"/>
        <v>1.01025390625</v>
      </c>
      <c r="EJ8" s="92">
        <f t="shared" si="26"/>
        <v>0.505126953125</v>
      </c>
    </row>
    <row r="9" spans="1:140" s="39" customFormat="1" ht="12.75" customHeight="1">
      <c r="B9" s="44" t="s">
        <v>615</v>
      </c>
      <c r="C9" s="40"/>
      <c r="D9" s="40"/>
      <c r="E9" s="40"/>
      <c r="F9" s="40"/>
      <c r="G9" s="40"/>
      <c r="H9" s="40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>
        <v>10</v>
      </c>
      <c r="Y9" s="92">
        <v>70</v>
      </c>
      <c r="Z9" s="92">
        <v>155</v>
      </c>
      <c r="AA9" s="92">
        <v>365</v>
      </c>
      <c r="AB9" s="92">
        <v>358</v>
      </c>
      <c r="AC9" s="91">
        <v>418</v>
      </c>
      <c r="AD9" s="92">
        <v>450</v>
      </c>
      <c r="AE9" s="92">
        <v>390</v>
      </c>
      <c r="AF9" s="92">
        <v>326</v>
      </c>
      <c r="AG9" s="92">
        <v>401</v>
      </c>
      <c r="AH9" s="92">
        <f>AG9+10</f>
        <v>411</v>
      </c>
      <c r="AI9" s="127">
        <v>262</v>
      </c>
      <c r="AJ9" s="92">
        <v>268</v>
      </c>
      <c r="AK9" s="92">
        <v>311</v>
      </c>
      <c r="AL9" s="92">
        <v>277</v>
      </c>
      <c r="AM9" s="92">
        <v>233</v>
      </c>
      <c r="AN9" s="92">
        <v>219</v>
      </c>
      <c r="AO9" s="92">
        <v>316</v>
      </c>
      <c r="AP9" s="92">
        <v>221</v>
      </c>
      <c r="AQ9" s="92">
        <v>214</v>
      </c>
      <c r="AR9" s="92">
        <v>277</v>
      </c>
      <c r="AS9" s="92">
        <v>445</v>
      </c>
      <c r="AT9" s="92">
        <v>274</v>
      </c>
      <c r="AU9" s="92">
        <v>284</v>
      </c>
      <c r="AV9" s="92">
        <v>324</v>
      </c>
      <c r="AW9" s="92">
        <v>581</v>
      </c>
      <c r="AX9" s="92">
        <v>442</v>
      </c>
      <c r="AY9" s="92">
        <v>390</v>
      </c>
      <c r="AZ9" s="92">
        <v>383</v>
      </c>
      <c r="BA9" s="92">
        <v>665</v>
      </c>
      <c r="BB9" s="92">
        <v>394</v>
      </c>
      <c r="BC9" s="92">
        <v>383</v>
      </c>
      <c r="BD9" s="92">
        <v>409</v>
      </c>
      <c r="BE9" s="92">
        <v>590</v>
      </c>
      <c r="BF9" s="92">
        <v>356</v>
      </c>
      <c r="BG9" s="92">
        <v>359</v>
      </c>
      <c r="BH9" s="92">
        <v>427</v>
      </c>
      <c r="BI9" s="92">
        <v>625</v>
      </c>
      <c r="BJ9" s="92">
        <v>497</v>
      </c>
      <c r="BK9" s="92">
        <v>378</v>
      </c>
      <c r="BL9" s="92">
        <v>393</v>
      </c>
      <c r="BM9" s="92">
        <v>860</v>
      </c>
      <c r="BN9" s="92">
        <v>542</v>
      </c>
      <c r="BO9" s="92">
        <v>532</v>
      </c>
      <c r="BP9" s="92">
        <v>469</v>
      </c>
      <c r="BQ9" s="92">
        <v>675</v>
      </c>
      <c r="BR9" s="92">
        <v>633</v>
      </c>
      <c r="BS9" s="92">
        <v>660</v>
      </c>
      <c r="BT9" s="92">
        <v>608</v>
      </c>
      <c r="BU9" s="92">
        <v>1048</v>
      </c>
      <c r="BV9" s="92">
        <v>835</v>
      </c>
      <c r="BW9" s="92">
        <v>838</v>
      </c>
      <c r="BX9" s="92">
        <v>886</v>
      </c>
      <c r="BY9" s="92">
        <v>1320</v>
      </c>
      <c r="BZ9" s="92">
        <v>693</v>
      </c>
      <c r="CA9" s="92">
        <v>1097</v>
      </c>
      <c r="CB9" s="92">
        <v>656</v>
      </c>
      <c r="CC9" s="92">
        <v>1187</v>
      </c>
      <c r="CD9" s="92">
        <v>998</v>
      </c>
      <c r="CE9" s="92">
        <v>917</v>
      </c>
      <c r="CF9" s="92">
        <v>1234</v>
      </c>
      <c r="CG9" s="92">
        <v>1993</v>
      </c>
      <c r="CH9" s="92">
        <v>1528</v>
      </c>
      <c r="CI9" s="92">
        <v>1460</v>
      </c>
      <c r="CJ9" s="92">
        <v>1674</v>
      </c>
      <c r="CK9" s="92">
        <v>2294</v>
      </c>
      <c r="CL9" s="92">
        <v>1470</v>
      </c>
      <c r="CM9" s="92">
        <v>1972</v>
      </c>
      <c r="CN9" s="92">
        <v>2458</v>
      </c>
      <c r="CO9" s="92">
        <v>2585</v>
      </c>
      <c r="CP9" s="92">
        <v>1871</v>
      </c>
      <c r="CQ9" s="92">
        <v>2249</v>
      </c>
      <c r="CR9" s="92">
        <v>2478</v>
      </c>
      <c r="CS9" s="92">
        <v>2306</v>
      </c>
      <c r="CT9" s="92">
        <f>+CP9*1.03</f>
        <v>1927.13</v>
      </c>
      <c r="CU9" s="92">
        <f>+CQ9*1.03</f>
        <v>2316.4700000000003</v>
      </c>
      <c r="CV9" s="92">
        <f t="shared" ref="CV9:CX9" si="27">+CR9*1.03</f>
        <v>2552.34</v>
      </c>
      <c r="CW9" s="92">
        <f t="shared" si="27"/>
        <v>2375.1799999999998</v>
      </c>
      <c r="CX9" s="92">
        <f t="shared" si="27"/>
        <v>1984.9439000000002</v>
      </c>
      <c r="CY9" s="92"/>
      <c r="CZ9" s="92"/>
      <c r="DA9" s="93"/>
      <c r="DB9" s="40" t="s">
        <v>440</v>
      </c>
      <c r="DC9" s="92" t="s">
        <v>440</v>
      </c>
      <c r="DD9" s="92" t="s">
        <v>440</v>
      </c>
      <c r="DE9" s="92">
        <f>SUM(O9:R9)</f>
        <v>0</v>
      </c>
      <c r="DF9" s="92">
        <f>SUM(S9:V9)</f>
        <v>0</v>
      </c>
      <c r="DG9" s="92">
        <f>SUM(W9:Z9)</f>
        <v>235</v>
      </c>
      <c r="DH9" s="92">
        <f>SUM(AA9:AD9)</f>
        <v>1591</v>
      </c>
      <c r="DI9" s="92">
        <f>SUM(AE9:AH9)</f>
        <v>1528</v>
      </c>
      <c r="DJ9" s="92">
        <f>SUM(AI9:AL9)</f>
        <v>1118</v>
      </c>
      <c r="DK9" s="92">
        <f>SUM(AM9:AP9)</f>
        <v>989</v>
      </c>
      <c r="DL9" s="92">
        <f t="shared" ref="DL9:DL14" si="28">SUM(AQ9:AT9)</f>
        <v>1210</v>
      </c>
      <c r="DM9" s="92">
        <f t="shared" ref="DM9:DM70" si="29">SUM(AU9:AX9)</f>
        <v>1631</v>
      </c>
      <c r="DN9" s="92">
        <f t="shared" ref="DN9:DN23" si="30">SUM(AY9:BB9)</f>
        <v>1832</v>
      </c>
      <c r="DO9" s="92">
        <f t="shared" ref="DO9:DO23" si="31">SUM(BC9:BF9)</f>
        <v>1738</v>
      </c>
      <c r="DP9" s="92">
        <f t="shared" ref="DP9:DP62" si="32">SUM(BG9:BJ9)</f>
        <v>1908</v>
      </c>
      <c r="DQ9" s="92">
        <f t="shared" ref="DQ9:DQ62" si="33">SUM(BK9:BN9)</f>
        <v>2173</v>
      </c>
      <c r="DR9" s="92">
        <f t="shared" si="13"/>
        <v>2309</v>
      </c>
      <c r="DS9" s="92">
        <f t="shared" si="14"/>
        <v>3151</v>
      </c>
      <c r="DT9" s="92">
        <f>SUM(BW9:BZ9)</f>
        <v>3737</v>
      </c>
      <c r="DU9" s="92">
        <f>SUM(CA9:CD9)</f>
        <v>3938</v>
      </c>
      <c r="DV9" s="92">
        <f>SUM(CE9:CH9)</f>
        <v>5672</v>
      </c>
      <c r="DW9" s="92">
        <f>SUM(CI9:CL9)</f>
        <v>6898</v>
      </c>
      <c r="DX9" s="92">
        <f t="shared" si="9"/>
        <v>8886</v>
      </c>
      <c r="DY9" s="92">
        <f t="shared" si="10"/>
        <v>8960.130000000001</v>
      </c>
      <c r="DZ9" s="92">
        <f t="shared" ref="DZ9:EJ9" si="34">DY9*1.01</f>
        <v>9049.7313000000013</v>
      </c>
      <c r="EA9" s="92">
        <f t="shared" si="34"/>
        <v>9140.2286130000011</v>
      </c>
      <c r="EB9" s="92">
        <f t="shared" si="34"/>
        <v>9231.6308991300011</v>
      </c>
      <c r="EC9" s="92">
        <f t="shared" si="34"/>
        <v>9323.9472081213007</v>
      </c>
      <c r="ED9" s="92">
        <f t="shared" si="34"/>
        <v>9417.1866802025143</v>
      </c>
      <c r="EE9" s="92">
        <f t="shared" si="34"/>
        <v>9511.35854700454</v>
      </c>
      <c r="EF9" s="92">
        <f t="shared" si="34"/>
        <v>9606.472132474586</v>
      </c>
      <c r="EG9" s="92">
        <f t="shared" si="34"/>
        <v>9702.5368537993327</v>
      </c>
      <c r="EH9" s="92">
        <f t="shared" si="34"/>
        <v>9799.5622223373266</v>
      </c>
      <c r="EI9" s="92">
        <f t="shared" si="34"/>
        <v>9897.5578445607007</v>
      </c>
      <c r="EJ9" s="92">
        <f t="shared" si="34"/>
        <v>9996.5334230063072</v>
      </c>
    </row>
    <row r="10" spans="1:140" s="39" customFormat="1" ht="12.75" customHeight="1">
      <c r="B10" s="44" t="s">
        <v>642</v>
      </c>
      <c r="C10" s="40"/>
      <c r="D10" s="40"/>
      <c r="E10" s="40"/>
      <c r="F10" s="40"/>
      <c r="G10" s="40"/>
      <c r="H10" s="40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>
        <v>42</v>
      </c>
      <c r="AA10" s="92">
        <v>87</v>
      </c>
      <c r="AB10" s="92">
        <v>144</v>
      </c>
      <c r="AC10" s="91">
        <v>185</v>
      </c>
      <c r="AD10" s="92">
        <v>200</v>
      </c>
      <c r="AE10" s="92">
        <v>272</v>
      </c>
      <c r="AF10" s="92">
        <v>334</v>
      </c>
      <c r="AG10" s="92">
        <v>379</v>
      </c>
      <c r="AH10" s="92"/>
      <c r="AI10" s="127">
        <v>411</v>
      </c>
      <c r="AJ10" s="92">
        <v>462</v>
      </c>
      <c r="AK10" s="92">
        <v>491</v>
      </c>
      <c r="AL10" s="92">
        <v>558</v>
      </c>
      <c r="AM10" s="92">
        <v>511</v>
      </c>
      <c r="AN10" s="92">
        <v>600</v>
      </c>
      <c r="AO10" s="92">
        <v>600</v>
      </c>
      <c r="AP10" s="92">
        <v>675</v>
      </c>
      <c r="AQ10" s="92">
        <v>739</v>
      </c>
      <c r="AR10" s="92">
        <v>779</v>
      </c>
      <c r="AS10" s="92">
        <v>846</v>
      </c>
      <c r="AT10" s="92">
        <v>960</v>
      </c>
      <c r="AU10" s="92">
        <v>919</v>
      </c>
      <c r="AV10" s="92">
        <v>1058</v>
      </c>
      <c r="AW10" s="92">
        <v>975</v>
      </c>
      <c r="AX10" s="92">
        <v>1134</v>
      </c>
      <c r="AY10" s="92">
        <v>884</v>
      </c>
      <c r="AZ10" s="92">
        <v>1072</v>
      </c>
      <c r="BA10" s="92">
        <v>927</v>
      </c>
      <c r="BB10" s="92">
        <v>1121</v>
      </c>
      <c r="BC10" s="92">
        <v>858</v>
      </c>
      <c r="BD10" s="92">
        <v>1058</v>
      </c>
      <c r="BE10" s="92">
        <v>933</v>
      </c>
      <c r="BF10" s="92">
        <v>1082</v>
      </c>
      <c r="BG10" s="92">
        <v>884</v>
      </c>
      <c r="BH10" s="92">
        <v>1044</v>
      </c>
      <c r="BI10" s="92">
        <v>1014</v>
      </c>
      <c r="BJ10" s="92">
        <v>921</v>
      </c>
      <c r="BK10" s="92">
        <v>906</v>
      </c>
      <c r="BL10" s="92">
        <v>1064</v>
      </c>
      <c r="BM10" s="92">
        <v>1006</v>
      </c>
      <c r="BN10" s="92">
        <v>932</v>
      </c>
      <c r="BO10" s="92">
        <v>839</v>
      </c>
      <c r="BP10" s="92">
        <v>948</v>
      </c>
      <c r="BQ10" s="92">
        <v>1012</v>
      </c>
      <c r="BR10" s="92">
        <v>938</v>
      </c>
      <c r="BS10" s="92">
        <v>880</v>
      </c>
      <c r="BT10" s="92">
        <v>949</v>
      </c>
      <c r="BU10" s="92">
        <v>927</v>
      </c>
      <c r="BV10" s="92">
        <v>930</v>
      </c>
      <c r="BW10" s="92">
        <v>824</v>
      </c>
      <c r="BX10" s="92">
        <v>908</v>
      </c>
      <c r="BY10" s="92">
        <v>807</v>
      </c>
      <c r="BZ10" s="92">
        <v>943</v>
      </c>
      <c r="CA10" s="92">
        <v>774</v>
      </c>
      <c r="CB10" s="92">
        <v>854</v>
      </c>
      <c r="CC10" s="92">
        <v>821</v>
      </c>
      <c r="CD10" s="92">
        <v>857</v>
      </c>
      <c r="CE10" s="92">
        <v>809</v>
      </c>
      <c r="CF10" s="92">
        <v>784</v>
      </c>
      <c r="CG10" s="92">
        <v>852</v>
      </c>
      <c r="CH10" s="92">
        <v>878</v>
      </c>
      <c r="CI10" s="92">
        <v>779</v>
      </c>
      <c r="CJ10" s="92">
        <v>756</v>
      </c>
      <c r="CK10" s="92">
        <v>717</v>
      </c>
      <c r="CL10" s="92">
        <v>561</v>
      </c>
      <c r="CM10" s="92">
        <v>551</v>
      </c>
      <c r="CN10" s="92">
        <v>511</v>
      </c>
      <c r="CO10" s="92">
        <v>581</v>
      </c>
      <c r="CP10" s="92">
        <v>547</v>
      </c>
      <c r="CQ10" s="92">
        <v>419</v>
      </c>
      <c r="CR10" s="92">
        <v>405</v>
      </c>
      <c r="CS10" s="92">
        <v>278</v>
      </c>
      <c r="CT10" s="92">
        <f>+CS10-5</f>
        <v>273</v>
      </c>
      <c r="CU10" s="92">
        <f t="shared" ref="CU10:CX10" si="35">+CT10-5</f>
        <v>268</v>
      </c>
      <c r="CV10" s="92">
        <f t="shared" si="35"/>
        <v>263</v>
      </c>
      <c r="CW10" s="92">
        <f t="shared" si="35"/>
        <v>258</v>
      </c>
      <c r="CX10" s="92">
        <f t="shared" si="35"/>
        <v>253</v>
      </c>
      <c r="CY10" s="92"/>
      <c r="CZ10" s="92"/>
      <c r="DA10" s="93"/>
      <c r="DB10" s="40" t="s">
        <v>440</v>
      </c>
      <c r="DC10" s="92" t="s">
        <v>440</v>
      </c>
      <c r="DD10" s="92" t="s">
        <v>440</v>
      </c>
      <c r="DE10" s="92">
        <f>SUM(O10:R10)</f>
        <v>0</v>
      </c>
      <c r="DF10" s="92">
        <f>SUM(S10:V10)</f>
        <v>0</v>
      </c>
      <c r="DG10" s="92">
        <f>SUM(W10:Z10)</f>
        <v>42</v>
      </c>
      <c r="DH10" s="92">
        <f>SUM(AA10:AD10)</f>
        <v>616</v>
      </c>
      <c r="DI10" s="92">
        <f>SUM(AE10:AH10)</f>
        <v>985</v>
      </c>
      <c r="DJ10" s="92">
        <f>SUM(AI10:AL10)</f>
        <v>1922</v>
      </c>
      <c r="DK10" s="92">
        <f t="shared" ref="DK10:DK17" si="36">SUM(AM10:AP10)</f>
        <v>2386</v>
      </c>
      <c r="DL10" s="92">
        <f t="shared" si="28"/>
        <v>3324</v>
      </c>
      <c r="DM10" s="92">
        <f t="shared" si="29"/>
        <v>4086</v>
      </c>
      <c r="DN10" s="92">
        <f t="shared" si="30"/>
        <v>4004</v>
      </c>
      <c r="DO10" s="92">
        <f t="shared" si="31"/>
        <v>3931</v>
      </c>
      <c r="DP10" s="92">
        <f t="shared" si="32"/>
        <v>3863</v>
      </c>
      <c r="DQ10" s="92">
        <f t="shared" si="33"/>
        <v>3908</v>
      </c>
      <c r="DR10" s="92">
        <f t="shared" si="13"/>
        <v>3737</v>
      </c>
      <c r="DS10" s="92">
        <f t="shared" si="14"/>
        <v>3686</v>
      </c>
      <c r="DT10" s="92">
        <f t="shared" ref="DT10:DT21" si="37">SUM(BW10:BZ10)</f>
        <v>3482</v>
      </c>
      <c r="DU10" s="92">
        <f t="shared" ref="DU10:DU21" si="38">SUM(CA10:CD10)</f>
        <v>3306</v>
      </c>
      <c r="DV10" s="92">
        <f t="shared" ref="DV10:DV21" si="39">SUM(CE10:CH10)</f>
        <v>3323</v>
      </c>
      <c r="DW10" s="92">
        <f t="shared" ref="DW10:DW21" si="40">SUM(CI10:CL10)</f>
        <v>2813</v>
      </c>
      <c r="DX10" s="92">
        <f t="shared" si="9"/>
        <v>2190</v>
      </c>
      <c r="DY10" s="92">
        <f t="shared" si="10"/>
        <v>1375</v>
      </c>
      <c r="DZ10" s="92">
        <f>+DY10*0.8</f>
        <v>1100</v>
      </c>
      <c r="EA10" s="92">
        <f>+DZ10*0.8</f>
        <v>880</v>
      </c>
      <c r="EB10" s="90">
        <f>EA10*0.2</f>
        <v>176</v>
      </c>
      <c r="EC10" s="90">
        <f t="shared" ref="EC10:EJ10" si="41">EB10*0.2</f>
        <v>35.200000000000003</v>
      </c>
      <c r="ED10" s="90">
        <f t="shared" si="41"/>
        <v>7.0400000000000009</v>
      </c>
      <c r="EE10" s="90">
        <f t="shared" si="41"/>
        <v>1.4080000000000004</v>
      </c>
      <c r="EF10" s="90">
        <f t="shared" si="41"/>
        <v>0.28160000000000007</v>
      </c>
      <c r="EG10" s="90">
        <f t="shared" si="41"/>
        <v>5.6320000000000016E-2</v>
      </c>
      <c r="EH10" s="90">
        <f t="shared" si="41"/>
        <v>1.1264000000000003E-2</v>
      </c>
      <c r="EI10" s="90">
        <f t="shared" si="41"/>
        <v>2.2528000000000005E-3</v>
      </c>
      <c r="EJ10" s="90">
        <f t="shared" si="41"/>
        <v>4.5056000000000013E-4</v>
      </c>
    </row>
    <row r="11" spans="1:140" s="39" customFormat="1" ht="12.75" customHeight="1">
      <c r="B11" s="44" t="s">
        <v>658</v>
      </c>
      <c r="C11" s="40"/>
      <c r="D11" s="40"/>
      <c r="E11" s="40"/>
      <c r="F11" s="40"/>
      <c r="G11" s="40"/>
      <c r="H11" s="40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>
        <v>24</v>
      </c>
      <c r="AC11" s="91">
        <v>19</v>
      </c>
      <c r="AD11" s="92">
        <v>30</v>
      </c>
      <c r="AE11" s="92">
        <v>58</v>
      </c>
      <c r="AF11" s="92">
        <v>72</v>
      </c>
      <c r="AG11" s="92">
        <v>101</v>
      </c>
      <c r="AH11" s="92"/>
      <c r="AI11" s="127">
        <v>128</v>
      </c>
      <c r="AJ11" s="92">
        <v>155</v>
      </c>
      <c r="AK11" s="92">
        <v>173</v>
      </c>
      <c r="AL11" s="92">
        <v>202</v>
      </c>
      <c r="AM11" s="92">
        <v>201</v>
      </c>
      <c r="AN11" s="92">
        <v>218</v>
      </c>
      <c r="AO11" s="92">
        <v>247</v>
      </c>
      <c r="AP11" s="92">
        <v>288</v>
      </c>
      <c r="AQ11" s="92">
        <v>305</v>
      </c>
      <c r="AR11" s="92">
        <v>321</v>
      </c>
      <c r="AS11" s="92">
        <v>350</v>
      </c>
      <c r="AT11" s="92">
        <v>386</v>
      </c>
      <c r="AU11" s="92">
        <v>392</v>
      </c>
      <c r="AV11" s="92">
        <v>411</v>
      </c>
      <c r="AW11" s="92">
        <v>405</v>
      </c>
      <c r="AX11" s="92">
        <v>452</v>
      </c>
      <c r="AY11" s="92">
        <v>409</v>
      </c>
      <c r="AZ11" s="92">
        <v>474</v>
      </c>
      <c r="BA11" s="92">
        <v>442</v>
      </c>
      <c r="BB11" s="92">
        <v>503</v>
      </c>
      <c r="BC11" s="92">
        <v>476</v>
      </c>
      <c r="BD11" s="92">
        <v>519</v>
      </c>
      <c r="BE11" s="92">
        <v>505</v>
      </c>
      <c r="BF11" s="92">
        <v>570</v>
      </c>
      <c r="BG11" s="92">
        <v>509</v>
      </c>
      <c r="BH11" s="92">
        <v>554</v>
      </c>
      <c r="BI11" s="92">
        <v>562</v>
      </c>
      <c r="BJ11" s="92">
        <v>526</v>
      </c>
      <c r="BK11" s="92">
        <v>506</v>
      </c>
      <c r="BL11" s="92">
        <v>569</v>
      </c>
      <c r="BM11" s="92">
        <v>548</v>
      </c>
      <c r="BN11" s="92">
        <v>577</v>
      </c>
      <c r="BO11" s="92">
        <v>496</v>
      </c>
      <c r="BP11" s="92">
        <v>563</v>
      </c>
      <c r="BQ11" s="92">
        <v>513</v>
      </c>
      <c r="BR11" s="92">
        <v>586</v>
      </c>
      <c r="BS11" s="92">
        <v>544</v>
      </c>
      <c r="BT11" s="92">
        <v>585</v>
      </c>
      <c r="BU11" s="92">
        <v>563</v>
      </c>
      <c r="BV11" s="92">
        <v>535</v>
      </c>
      <c r="BW11" s="92">
        <v>530</v>
      </c>
      <c r="BX11" s="92">
        <v>533</v>
      </c>
      <c r="BY11" s="92">
        <v>503</v>
      </c>
      <c r="BZ11" s="92">
        <v>475</v>
      </c>
      <c r="CA11" s="92">
        <v>503</v>
      </c>
      <c r="CB11" s="92">
        <v>490</v>
      </c>
      <c r="CC11" s="92">
        <v>506</v>
      </c>
      <c r="CD11" s="92">
        <v>472</v>
      </c>
      <c r="CE11" s="92">
        <v>486</v>
      </c>
      <c r="CF11" s="92">
        <v>477</v>
      </c>
      <c r="CG11" s="92">
        <v>487</v>
      </c>
      <c r="CH11" s="92">
        <v>514</v>
      </c>
      <c r="CI11" s="92">
        <v>454</v>
      </c>
      <c r="CJ11" s="92">
        <v>476</v>
      </c>
      <c r="CK11" s="92">
        <v>417</v>
      </c>
      <c r="CL11" s="92">
        <v>353</v>
      </c>
      <c r="CM11" s="92">
        <v>329</v>
      </c>
      <c r="CN11" s="92">
        <v>354</v>
      </c>
      <c r="CO11" s="92">
        <v>255</v>
      </c>
      <c r="CP11" s="92">
        <v>240</v>
      </c>
      <c r="CQ11" s="92">
        <v>251</v>
      </c>
      <c r="CR11" s="92">
        <v>224</v>
      </c>
      <c r="CS11" s="92">
        <v>204</v>
      </c>
      <c r="CT11" s="92">
        <f>+CS11-5</f>
        <v>199</v>
      </c>
      <c r="CU11" s="92">
        <f t="shared" ref="CU11:CX11" si="42">+CT11-5</f>
        <v>194</v>
      </c>
      <c r="CV11" s="92">
        <f t="shared" si="42"/>
        <v>189</v>
      </c>
      <c r="CW11" s="92">
        <f t="shared" si="42"/>
        <v>184</v>
      </c>
      <c r="CX11" s="92">
        <f t="shared" si="42"/>
        <v>179</v>
      </c>
      <c r="CY11" s="92"/>
      <c r="CZ11" s="92"/>
      <c r="DA11" s="93"/>
      <c r="DB11" s="40" t="s">
        <v>440</v>
      </c>
      <c r="DC11" s="92" t="s">
        <v>440</v>
      </c>
      <c r="DD11" s="92" t="s">
        <v>440</v>
      </c>
      <c r="DE11" s="92" t="s">
        <v>440</v>
      </c>
      <c r="DF11" s="92" t="s">
        <v>440</v>
      </c>
      <c r="DG11" s="92">
        <v>0</v>
      </c>
      <c r="DH11" s="92">
        <f>SUM(AA11:AD11)</f>
        <v>73</v>
      </c>
      <c r="DI11" s="92">
        <f>SUM(AE11:AH11)</f>
        <v>231</v>
      </c>
      <c r="DJ11" s="92">
        <f>SUM(AI11:AL11)</f>
        <v>658</v>
      </c>
      <c r="DK11" s="92">
        <f t="shared" si="36"/>
        <v>954</v>
      </c>
      <c r="DL11" s="92">
        <f t="shared" si="28"/>
        <v>1362</v>
      </c>
      <c r="DM11" s="92">
        <f t="shared" si="29"/>
        <v>1660</v>
      </c>
      <c r="DN11" s="92">
        <f t="shared" si="30"/>
        <v>1828</v>
      </c>
      <c r="DO11" s="92">
        <f t="shared" si="31"/>
        <v>2070</v>
      </c>
      <c r="DP11" s="92">
        <f t="shared" si="32"/>
        <v>2151</v>
      </c>
      <c r="DQ11" s="92">
        <f t="shared" si="33"/>
        <v>2200</v>
      </c>
      <c r="DR11" s="92">
        <f t="shared" si="13"/>
        <v>2158</v>
      </c>
      <c r="DS11" s="92">
        <f t="shared" si="14"/>
        <v>2227</v>
      </c>
      <c r="DT11" s="92">
        <f t="shared" si="37"/>
        <v>2041</v>
      </c>
      <c r="DU11" s="92">
        <f t="shared" si="38"/>
        <v>1971</v>
      </c>
      <c r="DV11" s="92">
        <f t="shared" si="39"/>
        <v>1964</v>
      </c>
      <c r="DW11" s="92">
        <f t="shared" si="40"/>
        <v>1700</v>
      </c>
      <c r="DX11" s="92">
        <f t="shared" si="9"/>
        <v>1178</v>
      </c>
      <c r="DY11" s="92">
        <f t="shared" si="10"/>
        <v>878</v>
      </c>
      <c r="DZ11" s="92">
        <f>+DY11*0.5</f>
        <v>439</v>
      </c>
      <c r="EA11" s="92">
        <f>+DZ11*0.5</f>
        <v>219.5</v>
      </c>
      <c r="EB11" s="90">
        <f t="shared" ref="EB11:EJ11" si="43">EA11*0.2</f>
        <v>43.900000000000006</v>
      </c>
      <c r="EC11" s="90">
        <f t="shared" si="43"/>
        <v>8.7800000000000011</v>
      </c>
      <c r="ED11" s="90">
        <f t="shared" si="43"/>
        <v>1.7560000000000002</v>
      </c>
      <c r="EE11" s="90">
        <f t="shared" si="43"/>
        <v>0.35120000000000007</v>
      </c>
      <c r="EF11" s="90">
        <f t="shared" si="43"/>
        <v>7.0240000000000011E-2</v>
      </c>
      <c r="EG11" s="90">
        <f t="shared" si="43"/>
        <v>1.4048000000000003E-2</v>
      </c>
      <c r="EH11" s="90">
        <f t="shared" si="43"/>
        <v>2.8096000000000006E-3</v>
      </c>
      <c r="EI11" s="90">
        <f t="shared" si="43"/>
        <v>5.6192000000000015E-4</v>
      </c>
      <c r="EJ11" s="90">
        <f t="shared" si="43"/>
        <v>1.1238400000000004E-4</v>
      </c>
    </row>
    <row r="12" spans="1:140" s="39" customFormat="1" ht="12.75" customHeight="1">
      <c r="B12" s="44" t="s">
        <v>616</v>
      </c>
      <c r="C12" s="40"/>
      <c r="D12" s="40"/>
      <c r="E12" s="40"/>
      <c r="F12" s="40"/>
      <c r="G12" s="40"/>
      <c r="H12" s="40"/>
      <c r="I12" s="92"/>
      <c r="J12" s="92"/>
      <c r="K12" s="92"/>
      <c r="L12" s="92"/>
      <c r="M12" s="92"/>
      <c r="N12" s="92"/>
      <c r="O12" s="92">
        <v>117</v>
      </c>
      <c r="P12" s="92">
        <v>135</v>
      </c>
      <c r="Q12" s="92">
        <v>167</v>
      </c>
      <c r="R12" s="92">
        <v>135</v>
      </c>
      <c r="S12" s="92">
        <v>133</v>
      </c>
      <c r="T12" s="92">
        <v>144</v>
      </c>
      <c r="U12" s="92">
        <v>186</v>
      </c>
      <c r="V12" s="92">
        <v>134</v>
      </c>
      <c r="W12" s="92">
        <v>161</v>
      </c>
      <c r="X12" s="92">
        <f>223-X9-X17-X44</f>
        <v>181</v>
      </c>
      <c r="Y12" s="92">
        <f>390-Y9-Y17-Y44</f>
        <v>248</v>
      </c>
      <c r="Z12" s="92">
        <f>482-Z9-Z17-Z44</f>
        <v>231</v>
      </c>
      <c r="AA12" s="92">
        <v>246</v>
      </c>
      <c r="AB12" s="92">
        <v>344</v>
      </c>
      <c r="AC12" s="91">
        <v>428</v>
      </c>
      <c r="AD12" s="92">
        <f>AC12</f>
        <v>428</v>
      </c>
      <c r="AE12" s="92">
        <v>226</v>
      </c>
      <c r="AF12" s="92">
        <v>318</v>
      </c>
      <c r="AG12" s="92">
        <v>430</v>
      </c>
      <c r="AH12" s="92">
        <f>AG12</f>
        <v>430</v>
      </c>
      <c r="AI12" s="127">
        <v>252</v>
      </c>
      <c r="AJ12" s="92">
        <v>322</v>
      </c>
      <c r="AK12" s="92">
        <v>462</v>
      </c>
      <c r="AL12" s="92">
        <v>333</v>
      </c>
      <c r="AM12" s="92">
        <v>319</v>
      </c>
      <c r="AN12" s="92">
        <v>340</v>
      </c>
      <c r="AO12" s="92">
        <v>434</v>
      </c>
      <c r="AP12" s="92">
        <v>285</v>
      </c>
      <c r="AQ12" s="92">
        <v>244</v>
      </c>
      <c r="AR12" s="92">
        <v>291</v>
      </c>
      <c r="AS12" s="92">
        <v>391</v>
      </c>
      <c r="AT12" s="92">
        <v>276</v>
      </c>
      <c r="AU12" s="92">
        <v>255</v>
      </c>
      <c r="AV12" s="92">
        <v>316</v>
      </c>
      <c r="AW12" s="92">
        <v>396</v>
      </c>
      <c r="AX12" s="92">
        <v>306</v>
      </c>
      <c r="AY12" s="92">
        <v>272</v>
      </c>
      <c r="AZ12" s="92">
        <v>339</v>
      </c>
      <c r="BA12" s="92">
        <v>421</v>
      </c>
      <c r="BB12" s="92">
        <v>273</v>
      </c>
      <c r="BC12" s="92">
        <v>280</v>
      </c>
      <c r="BD12" s="92">
        <v>326</v>
      </c>
      <c r="BE12" s="92">
        <v>421</v>
      </c>
      <c r="BF12" s="92">
        <v>366</v>
      </c>
      <c r="BG12" s="92">
        <v>348</v>
      </c>
      <c r="BH12" s="92">
        <v>358</v>
      </c>
      <c r="BI12" s="92">
        <v>390</v>
      </c>
      <c r="BJ12" s="92">
        <v>409</v>
      </c>
      <c r="BK12" s="92">
        <v>357</v>
      </c>
      <c r="BL12" s="92">
        <v>383</v>
      </c>
      <c r="BM12" s="92">
        <v>496</v>
      </c>
      <c r="BN12" s="92">
        <v>405</v>
      </c>
      <c r="BO12" s="92">
        <v>355</v>
      </c>
      <c r="BP12" s="92">
        <v>399</v>
      </c>
      <c r="BQ12" s="92">
        <v>519</v>
      </c>
      <c r="BR12" s="92">
        <v>403</v>
      </c>
      <c r="BS12" s="92">
        <v>392</v>
      </c>
      <c r="BT12" s="92">
        <v>426</v>
      </c>
      <c r="BU12" s="92">
        <v>525</v>
      </c>
      <c r="BV12" s="92">
        <v>455</v>
      </c>
      <c r="BW12" s="92">
        <v>496</v>
      </c>
      <c r="BX12" s="92">
        <v>675</v>
      </c>
      <c r="BY12" s="92">
        <v>623</v>
      </c>
      <c r="BZ12" s="92">
        <v>481</v>
      </c>
      <c r="CA12" s="92">
        <v>435</v>
      </c>
      <c r="CB12" s="92">
        <v>378</v>
      </c>
      <c r="CC12" s="92">
        <v>576</v>
      </c>
      <c r="CD12" s="92">
        <v>488</v>
      </c>
      <c r="CE12" s="92">
        <v>449</v>
      </c>
      <c r="CF12" s="92">
        <v>516</v>
      </c>
      <c r="CG12" s="92">
        <v>661</v>
      </c>
      <c r="CH12" s="92">
        <v>509</v>
      </c>
      <c r="CI12" s="92">
        <v>470</v>
      </c>
      <c r="CJ12" s="92">
        <v>578</v>
      </c>
      <c r="CK12" s="92">
        <v>668</v>
      </c>
      <c r="CL12" s="92">
        <v>526</v>
      </c>
      <c r="CM12" s="92">
        <v>528</v>
      </c>
      <c r="CN12" s="92">
        <v>582</v>
      </c>
      <c r="CO12" s="92">
        <v>713</v>
      </c>
      <c r="CP12" s="92">
        <v>545</v>
      </c>
      <c r="CQ12" s="92">
        <v>570</v>
      </c>
      <c r="CR12" s="92">
        <v>617</v>
      </c>
      <c r="CS12" s="92">
        <v>703</v>
      </c>
      <c r="CT12" s="92">
        <f>+CP12</f>
        <v>545</v>
      </c>
      <c r="CU12" s="92">
        <f t="shared" ref="CU12:CX12" si="44">+CQ12</f>
        <v>570</v>
      </c>
      <c r="CV12" s="92">
        <f t="shared" si="44"/>
        <v>617</v>
      </c>
      <c r="CW12" s="92">
        <f t="shared" si="44"/>
        <v>703</v>
      </c>
      <c r="CX12" s="92">
        <f t="shared" si="44"/>
        <v>545</v>
      </c>
      <c r="CY12" s="92"/>
      <c r="CZ12" s="92"/>
      <c r="DA12" s="46"/>
      <c r="DB12" s="40" t="s">
        <v>440</v>
      </c>
      <c r="DC12" s="92" t="s">
        <v>440</v>
      </c>
      <c r="DD12" s="92">
        <v>534</v>
      </c>
      <c r="DE12" s="92">
        <f>SUM(O12:R12)</f>
        <v>554</v>
      </c>
      <c r="DF12" s="92">
        <f>SUM(S12:V12)</f>
        <v>597</v>
      </c>
      <c r="DG12" s="92">
        <f>SUM(W12:Z12)</f>
        <v>821</v>
      </c>
      <c r="DH12" s="92">
        <f>SUM(AA12:AD12)</f>
        <v>1446</v>
      </c>
      <c r="DI12" s="92">
        <f>SUM(AE12:AH12)</f>
        <v>1404</v>
      </c>
      <c r="DJ12" s="92">
        <f>SUM(AI12:AL12)</f>
        <v>1369</v>
      </c>
      <c r="DK12" s="92">
        <f>SUM(AM12:AP12)</f>
        <v>1378</v>
      </c>
      <c r="DL12" s="92">
        <f t="shared" si="28"/>
        <v>1202</v>
      </c>
      <c r="DM12" s="92">
        <f t="shared" si="29"/>
        <v>1273</v>
      </c>
      <c r="DN12" s="92">
        <f t="shared" si="30"/>
        <v>1305</v>
      </c>
      <c r="DO12" s="92">
        <f t="shared" si="31"/>
        <v>1393</v>
      </c>
      <c r="DP12" s="92">
        <f t="shared" si="32"/>
        <v>1505</v>
      </c>
      <c r="DQ12" s="92">
        <f t="shared" si="33"/>
        <v>1641</v>
      </c>
      <c r="DR12" s="92">
        <f t="shared" si="13"/>
        <v>1676</v>
      </c>
      <c r="DS12" s="92">
        <f t="shared" si="14"/>
        <v>1798</v>
      </c>
      <c r="DT12" s="92">
        <f t="shared" si="37"/>
        <v>2275</v>
      </c>
      <c r="DU12" s="92">
        <f t="shared" si="38"/>
        <v>1877</v>
      </c>
      <c r="DV12" s="92">
        <f t="shared" si="39"/>
        <v>2135</v>
      </c>
      <c r="DW12" s="92">
        <f t="shared" si="40"/>
        <v>2242</v>
      </c>
      <c r="DX12" s="92">
        <f t="shared" si="9"/>
        <v>2368</v>
      </c>
      <c r="DY12" s="92">
        <f t="shared" si="10"/>
        <v>2435</v>
      </c>
      <c r="DZ12" s="92">
        <f t="shared" ref="DZ12:EA12" si="45">DY12*0.99</f>
        <v>2410.65</v>
      </c>
      <c r="EA12" s="92">
        <f t="shared" si="45"/>
        <v>2386.5435000000002</v>
      </c>
      <c r="EB12" s="92">
        <f t="shared" ref="EB12" si="46">EA12*0.99</f>
        <v>2362.6780650000001</v>
      </c>
      <c r="EC12" s="92">
        <f t="shared" ref="EC12" si="47">EB12*0.99</f>
        <v>2339.0512843500001</v>
      </c>
      <c r="ED12" s="92">
        <f t="shared" ref="ED12" si="48">EC12*0.99</f>
        <v>2315.6607715065002</v>
      </c>
      <c r="EE12" s="92">
        <f t="shared" ref="EE12" si="49">ED12*0.99</f>
        <v>2292.5041637914351</v>
      </c>
      <c r="EF12" s="92">
        <f t="shared" ref="EF12" si="50">EE12*0.99</f>
        <v>2269.5791221535205</v>
      </c>
      <c r="EG12" s="92">
        <f t="shared" ref="EG12" si="51">EF12*0.99</f>
        <v>2246.8833309319853</v>
      </c>
      <c r="EH12" s="92">
        <f t="shared" ref="EH12" si="52">EG12*0.99</f>
        <v>2224.4144976226653</v>
      </c>
      <c r="EI12" s="92">
        <f t="shared" ref="EI12" si="53">EH12*0.99</f>
        <v>2202.1703526464385</v>
      </c>
      <c r="EJ12" s="92">
        <f t="shared" ref="EJ12" si="54">EI12*0.99</f>
        <v>2180.1486491199739</v>
      </c>
    </row>
    <row r="13" spans="1:140" s="8" customFormat="1" ht="12.75" customHeight="1">
      <c r="B13" s="45" t="s">
        <v>675</v>
      </c>
      <c r="C13" s="9"/>
      <c r="D13" s="9"/>
      <c r="E13" s="9"/>
      <c r="F13" s="9"/>
      <c r="G13" s="7"/>
      <c r="H13" s="7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4"/>
      <c r="AJ13" s="92"/>
      <c r="AK13" s="92"/>
      <c r="AL13" s="92"/>
      <c r="AM13" s="92"/>
      <c r="AN13" s="92"/>
      <c r="AO13" s="92"/>
      <c r="AP13" s="92"/>
      <c r="AQ13" s="92">
        <v>41</v>
      </c>
      <c r="AR13" s="92">
        <v>47</v>
      </c>
      <c r="AS13" s="92">
        <v>52</v>
      </c>
      <c r="AT13" s="92">
        <v>60</v>
      </c>
      <c r="AU13" s="92">
        <v>58</v>
      </c>
      <c r="AV13" s="92">
        <v>60</v>
      </c>
      <c r="AW13" s="92">
        <v>68</v>
      </c>
      <c r="AX13" s="92">
        <v>75</v>
      </c>
      <c r="AY13" s="92">
        <v>63</v>
      </c>
      <c r="AZ13" s="92">
        <v>69</v>
      </c>
      <c r="BA13" s="92">
        <v>75</v>
      </c>
      <c r="BB13" s="92">
        <v>82</v>
      </c>
      <c r="BC13" s="92">
        <v>73</v>
      </c>
      <c r="BD13" s="92">
        <v>82</v>
      </c>
      <c r="BE13" s="92">
        <v>90</v>
      </c>
      <c r="BF13" s="92">
        <v>95</v>
      </c>
      <c r="BG13" s="92">
        <v>85</v>
      </c>
      <c r="BH13" s="92">
        <v>87</v>
      </c>
      <c r="BI13" s="92">
        <v>89</v>
      </c>
      <c r="BJ13" s="92">
        <v>92</v>
      </c>
      <c r="BK13" s="92">
        <v>90</v>
      </c>
      <c r="BL13" s="92">
        <v>113</v>
      </c>
      <c r="BM13" s="92">
        <v>139</v>
      </c>
      <c r="BN13" s="92">
        <v>139</v>
      </c>
      <c r="BO13" s="92">
        <v>148</v>
      </c>
      <c r="BP13" s="92">
        <v>163</v>
      </c>
      <c r="BQ13" s="92">
        <v>185</v>
      </c>
      <c r="BR13" s="92">
        <v>209</v>
      </c>
      <c r="BS13" s="92">
        <v>204</v>
      </c>
      <c r="BT13" s="92">
        <v>240</v>
      </c>
      <c r="BU13" s="92">
        <v>217</v>
      </c>
      <c r="BV13" s="92">
        <v>256</v>
      </c>
      <c r="BW13" s="92">
        <v>255</v>
      </c>
      <c r="BX13" s="92">
        <v>278</v>
      </c>
      <c r="BY13" s="92">
        <v>284</v>
      </c>
      <c r="BZ13" s="92">
        <v>313</v>
      </c>
      <c r="CA13" s="92">
        <v>299</v>
      </c>
      <c r="CB13" s="92">
        <v>224</v>
      </c>
      <c r="CC13" s="92">
        <v>320</v>
      </c>
      <c r="CD13" s="92">
        <v>355</v>
      </c>
      <c r="CE13" s="92">
        <v>340</v>
      </c>
      <c r="CF13" s="92">
        <v>387</v>
      </c>
      <c r="CG13" s="92">
        <v>369</v>
      </c>
      <c r="CH13" s="92">
        <v>436</v>
      </c>
      <c r="CI13" s="92">
        <v>395</v>
      </c>
      <c r="CJ13" s="92">
        <v>426</v>
      </c>
      <c r="CK13" s="92">
        <v>423</v>
      </c>
      <c r="CL13" s="92">
        <v>441</v>
      </c>
      <c r="CM13" s="92">
        <v>487</v>
      </c>
      <c r="CN13" s="92">
        <v>502</v>
      </c>
      <c r="CO13" s="92">
        <v>424</v>
      </c>
      <c r="CP13" s="92">
        <v>429</v>
      </c>
      <c r="CQ13" s="92">
        <v>440</v>
      </c>
      <c r="CR13" s="92">
        <v>455</v>
      </c>
      <c r="CS13" s="92">
        <v>420</v>
      </c>
      <c r="CT13" s="92">
        <f>+CP13*1.01</f>
        <v>433.29</v>
      </c>
      <c r="CU13" s="92">
        <f t="shared" ref="CU13:CX13" si="55">+CQ13*1.01</f>
        <v>444.4</v>
      </c>
      <c r="CV13" s="92">
        <f t="shared" si="55"/>
        <v>459.55</v>
      </c>
      <c r="CW13" s="92">
        <f t="shared" si="55"/>
        <v>424.2</v>
      </c>
      <c r="CX13" s="92">
        <f t="shared" si="55"/>
        <v>437.62290000000002</v>
      </c>
      <c r="CY13" s="92"/>
      <c r="CZ13" s="92"/>
      <c r="DA13" s="47"/>
      <c r="DB13" s="9"/>
      <c r="DC13" s="92"/>
      <c r="DD13" s="92"/>
      <c r="DE13" s="92"/>
      <c r="DF13" s="92"/>
      <c r="DG13" s="92"/>
      <c r="DH13" s="92"/>
      <c r="DI13" s="92"/>
      <c r="DJ13" s="92"/>
      <c r="DK13" s="92"/>
      <c r="DL13" s="92">
        <f t="shared" si="28"/>
        <v>200</v>
      </c>
      <c r="DM13" s="92">
        <f t="shared" si="29"/>
        <v>261</v>
      </c>
      <c r="DN13" s="92">
        <f t="shared" si="30"/>
        <v>289</v>
      </c>
      <c r="DO13" s="92">
        <f t="shared" si="31"/>
        <v>340</v>
      </c>
      <c r="DP13" s="92">
        <f t="shared" si="32"/>
        <v>353</v>
      </c>
      <c r="DQ13" s="92">
        <f t="shared" si="33"/>
        <v>481</v>
      </c>
      <c r="DR13" s="92">
        <f t="shared" si="13"/>
        <v>705</v>
      </c>
      <c r="DS13" s="92">
        <f t="shared" si="14"/>
        <v>917</v>
      </c>
      <c r="DT13" s="92">
        <f t="shared" si="37"/>
        <v>1130</v>
      </c>
      <c r="DU13" s="92">
        <f t="shared" si="38"/>
        <v>1198</v>
      </c>
      <c r="DV13" s="92">
        <f t="shared" si="39"/>
        <v>1532</v>
      </c>
      <c r="DW13" s="92">
        <f t="shared" si="40"/>
        <v>1685</v>
      </c>
      <c r="DX13" s="92">
        <f t="shared" si="9"/>
        <v>1842</v>
      </c>
      <c r="DY13" s="92">
        <f>DX13*1.02</f>
        <v>1878.8400000000001</v>
      </c>
      <c r="DZ13" s="92">
        <f>DY13*1.02</f>
        <v>1916.4168000000002</v>
      </c>
      <c r="EA13" s="92">
        <f>DZ13*0.5</f>
        <v>958.2084000000001</v>
      </c>
      <c r="EB13" s="92">
        <f>EA13*0.5</f>
        <v>479.10420000000005</v>
      </c>
      <c r="EC13" s="92">
        <f t="shared" ref="EC13:EJ13" si="56">EB13*0.5</f>
        <v>239.55210000000002</v>
      </c>
      <c r="ED13" s="92">
        <f t="shared" si="56"/>
        <v>119.77605000000001</v>
      </c>
      <c r="EE13" s="92">
        <f t="shared" si="56"/>
        <v>59.888025000000006</v>
      </c>
      <c r="EF13" s="92">
        <f t="shared" si="56"/>
        <v>29.944012500000003</v>
      </c>
      <c r="EG13" s="92">
        <f t="shared" si="56"/>
        <v>14.972006250000002</v>
      </c>
      <c r="EH13" s="92">
        <f t="shared" si="56"/>
        <v>7.4860031250000008</v>
      </c>
      <c r="EI13" s="92">
        <f t="shared" si="56"/>
        <v>3.7430015625000004</v>
      </c>
      <c r="EJ13" s="92">
        <f t="shared" si="56"/>
        <v>1.8715007812500002</v>
      </c>
    </row>
    <row r="14" spans="1:140" s="39" customFormat="1" ht="12.75" customHeight="1">
      <c r="B14" s="44" t="s">
        <v>564</v>
      </c>
      <c r="C14" s="40"/>
      <c r="D14" s="40"/>
      <c r="E14" s="40"/>
      <c r="F14" s="40"/>
      <c r="G14" s="40"/>
      <c r="H14" s="40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 t="s">
        <v>440</v>
      </c>
      <c r="AB14" s="92" t="s">
        <v>440</v>
      </c>
      <c r="AC14" s="92" t="s">
        <v>440</v>
      </c>
      <c r="AD14" s="92" t="s">
        <v>440</v>
      </c>
      <c r="AE14" s="92">
        <v>47</v>
      </c>
      <c r="AF14" s="92">
        <v>77</v>
      </c>
      <c r="AG14" s="92">
        <v>107</v>
      </c>
      <c r="AH14" s="92">
        <f>AG14+10</f>
        <v>117</v>
      </c>
      <c r="AI14" s="127">
        <v>148</v>
      </c>
      <c r="AJ14" s="92">
        <v>172</v>
      </c>
      <c r="AK14" s="92">
        <v>197</v>
      </c>
      <c r="AL14" s="92">
        <v>234</v>
      </c>
      <c r="AM14" s="92">
        <v>232</v>
      </c>
      <c r="AN14" s="92">
        <v>267</v>
      </c>
      <c r="AO14" s="92">
        <v>278</v>
      </c>
      <c r="AP14" s="92">
        <v>313</v>
      </c>
      <c r="AQ14" s="92">
        <v>292</v>
      </c>
      <c r="AR14" s="92">
        <v>337</v>
      </c>
      <c r="AS14" s="92">
        <v>343</v>
      </c>
      <c r="AT14" s="92">
        <v>387</v>
      </c>
      <c r="AU14" s="92">
        <v>337</v>
      </c>
      <c r="AV14" s="92">
        <v>398</v>
      </c>
      <c r="AW14" s="92">
        <v>399</v>
      </c>
      <c r="AX14" s="92">
        <v>381</v>
      </c>
      <c r="AY14" s="92">
        <v>362</v>
      </c>
      <c r="AZ14" s="92">
        <v>412</v>
      </c>
      <c r="BA14" s="92">
        <v>427</v>
      </c>
      <c r="BB14" s="92">
        <v>442</v>
      </c>
      <c r="BC14" s="92">
        <v>390</v>
      </c>
      <c r="BD14" s="92">
        <v>453</v>
      </c>
      <c r="BE14" s="92">
        <v>412</v>
      </c>
      <c r="BF14" s="92">
        <v>418</v>
      </c>
      <c r="BG14" s="92">
        <v>385</v>
      </c>
      <c r="BH14" s="92">
        <v>375</v>
      </c>
      <c r="BI14" s="92">
        <v>377</v>
      </c>
      <c r="BJ14" s="92">
        <v>374</v>
      </c>
      <c r="BK14" s="92">
        <v>340</v>
      </c>
      <c r="BL14" s="92">
        <v>338</v>
      </c>
      <c r="BM14" s="92">
        <v>372</v>
      </c>
      <c r="BN14" s="92">
        <v>337</v>
      </c>
      <c r="BO14" s="92">
        <v>305</v>
      </c>
      <c r="BP14" s="92">
        <v>282</v>
      </c>
      <c r="BQ14" s="92">
        <v>310</v>
      </c>
      <c r="BR14" s="92">
        <v>308</v>
      </c>
      <c r="BS14" s="92">
        <v>281</v>
      </c>
      <c r="BT14" s="92">
        <v>305</v>
      </c>
      <c r="BU14" s="92">
        <v>275</v>
      </c>
      <c r="BV14" s="92">
        <v>280</v>
      </c>
      <c r="BW14" s="92">
        <v>255</v>
      </c>
      <c r="BX14" s="92">
        <v>247</v>
      </c>
      <c r="BY14" s="92">
        <v>250</v>
      </c>
      <c r="BZ14" s="92">
        <v>223</v>
      </c>
      <c r="CA14" s="92">
        <v>245</v>
      </c>
      <c r="CB14" s="92">
        <v>196</v>
      </c>
      <c r="CC14" s="92">
        <v>205</v>
      </c>
      <c r="CD14" s="92">
        <v>211</v>
      </c>
      <c r="CE14" s="92">
        <v>209</v>
      </c>
      <c r="CF14" s="92">
        <v>192</v>
      </c>
      <c r="CG14" s="92">
        <v>189</v>
      </c>
      <c r="CH14" s="92">
        <v>178</v>
      </c>
      <c r="CI14" s="92">
        <v>158</v>
      </c>
      <c r="CJ14" s="92">
        <v>147</v>
      </c>
      <c r="CK14" s="92">
        <v>161</v>
      </c>
      <c r="CL14" s="92">
        <v>167</v>
      </c>
      <c r="CM14" s="92">
        <v>123</v>
      </c>
      <c r="CN14" s="92">
        <v>136</v>
      </c>
      <c r="CO14" s="92">
        <v>119</v>
      </c>
      <c r="CP14" s="92">
        <v>105</v>
      </c>
      <c r="CQ14" s="92">
        <v>111</v>
      </c>
      <c r="CR14" s="92">
        <v>89</v>
      </c>
      <c r="CS14" s="92">
        <v>102</v>
      </c>
      <c r="CT14" s="92">
        <f>+CS14-5</f>
        <v>97</v>
      </c>
      <c r="CU14" s="92">
        <f t="shared" ref="CU14:CX14" si="57">+CT14-5</f>
        <v>92</v>
      </c>
      <c r="CV14" s="92">
        <f t="shared" si="57"/>
        <v>87</v>
      </c>
      <c r="CW14" s="92">
        <f t="shared" si="57"/>
        <v>82</v>
      </c>
      <c r="CX14" s="92">
        <f t="shared" si="57"/>
        <v>77</v>
      </c>
      <c r="CY14" s="92"/>
      <c r="CZ14" s="92"/>
      <c r="DA14" s="46"/>
      <c r="DB14" s="40" t="s">
        <v>440</v>
      </c>
      <c r="DC14" s="92" t="s">
        <v>440</v>
      </c>
      <c r="DD14" s="92" t="s">
        <v>440</v>
      </c>
      <c r="DE14" s="92" t="s">
        <v>440</v>
      </c>
      <c r="DF14" s="92" t="s">
        <v>440</v>
      </c>
      <c r="DG14" s="92" t="s">
        <v>440</v>
      </c>
      <c r="DH14" s="92" t="s">
        <v>440</v>
      </c>
      <c r="DI14" s="92">
        <f>SUM(AE14:AH14)</f>
        <v>348</v>
      </c>
      <c r="DJ14" s="92">
        <f>SUM(AI14:AL14)</f>
        <v>751</v>
      </c>
      <c r="DK14" s="92">
        <f t="shared" si="36"/>
        <v>1090</v>
      </c>
      <c r="DL14" s="92">
        <f t="shared" si="28"/>
        <v>1359</v>
      </c>
      <c r="DM14" s="92">
        <f t="shared" si="29"/>
        <v>1515</v>
      </c>
      <c r="DN14" s="92">
        <f t="shared" si="30"/>
        <v>1643</v>
      </c>
      <c r="DO14" s="92">
        <f t="shared" si="31"/>
        <v>1673</v>
      </c>
      <c r="DP14" s="92">
        <f t="shared" si="32"/>
        <v>1511</v>
      </c>
      <c r="DQ14" s="92">
        <f t="shared" si="33"/>
        <v>1387</v>
      </c>
      <c r="DR14" s="92">
        <f t="shared" si="13"/>
        <v>1205</v>
      </c>
      <c r="DS14" s="92">
        <f t="shared" si="14"/>
        <v>1141</v>
      </c>
      <c r="DT14" s="92">
        <f t="shared" si="37"/>
        <v>975</v>
      </c>
      <c r="DU14" s="92">
        <f t="shared" si="38"/>
        <v>857</v>
      </c>
      <c r="DV14" s="92">
        <f t="shared" si="39"/>
        <v>768</v>
      </c>
      <c r="DW14" s="92">
        <f t="shared" si="40"/>
        <v>633</v>
      </c>
      <c r="DX14" s="92">
        <f t="shared" si="9"/>
        <v>483</v>
      </c>
      <c r="DY14" s="92">
        <f t="shared" ref="DY14:EA14" si="58">+DX14*0.5</f>
        <v>241.5</v>
      </c>
      <c r="DZ14" s="92">
        <f t="shared" si="58"/>
        <v>120.75</v>
      </c>
      <c r="EA14" s="92">
        <f t="shared" si="58"/>
        <v>60.375</v>
      </c>
      <c r="EB14" s="92">
        <f t="shared" ref="EB14" si="59">+EA14*0.5</f>
        <v>30.1875</v>
      </c>
      <c r="EC14" s="92">
        <f t="shared" ref="EC14" si="60">+EB14*0.5</f>
        <v>15.09375</v>
      </c>
      <c r="ED14" s="92">
        <f t="shared" ref="ED14" si="61">+EC14*0.5</f>
        <v>7.546875</v>
      </c>
      <c r="EE14" s="92">
        <f t="shared" ref="EE14" si="62">+ED14*0.5</f>
        <v>3.7734375</v>
      </c>
      <c r="EF14" s="92">
        <f t="shared" ref="EF14" si="63">+EE14*0.5</f>
        <v>1.88671875</v>
      </c>
      <c r="EG14" s="92">
        <f t="shared" ref="EG14" si="64">+EF14*0.5</f>
        <v>0.943359375</v>
      </c>
      <c r="EH14" s="92">
        <f t="shared" ref="EH14" si="65">+EG14*0.5</f>
        <v>0.4716796875</v>
      </c>
      <c r="EI14" s="92">
        <f t="shared" ref="EI14" si="66">+EH14*0.5</f>
        <v>0.23583984375</v>
      </c>
      <c r="EJ14" s="92">
        <f t="shared" ref="EJ14" si="67">+EI14*0.5</f>
        <v>0.117919921875</v>
      </c>
    </row>
    <row r="15" spans="1:140" s="39" customFormat="1" ht="12.75" customHeight="1">
      <c r="B15" s="44" t="s">
        <v>747</v>
      </c>
      <c r="C15" s="40"/>
      <c r="D15" s="40"/>
      <c r="E15" s="40"/>
      <c r="F15" s="40"/>
      <c r="G15" s="40"/>
      <c r="H15" s="40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>
        <v>42</v>
      </c>
      <c r="BP15" s="92">
        <v>52</v>
      </c>
      <c r="BQ15" s="92">
        <v>56</v>
      </c>
      <c r="BR15" s="92">
        <v>60</v>
      </c>
      <c r="BS15" s="92">
        <v>54</v>
      </c>
      <c r="BT15" s="92">
        <v>71</v>
      </c>
      <c r="BU15" s="92">
        <v>66</v>
      </c>
      <c r="BV15" s="92">
        <v>69</v>
      </c>
      <c r="BW15" s="92">
        <v>67</v>
      </c>
      <c r="BX15" s="92">
        <v>76</v>
      </c>
      <c r="BY15" s="92">
        <v>80</v>
      </c>
      <c r="BZ15" s="92">
        <v>83</v>
      </c>
      <c r="CA15" s="92">
        <v>79</v>
      </c>
      <c r="CB15" s="92">
        <v>84</v>
      </c>
      <c r="CC15" s="92">
        <v>81</v>
      </c>
      <c r="CD15" s="92">
        <v>83</v>
      </c>
      <c r="CE15" s="92">
        <v>79</v>
      </c>
      <c r="CF15" s="92">
        <v>78</v>
      </c>
      <c r="CG15" s="92">
        <v>81</v>
      </c>
      <c r="CH15" s="92">
        <v>80</v>
      </c>
      <c r="CI15" s="92">
        <v>69</v>
      </c>
      <c r="CJ15" s="92">
        <v>69</v>
      </c>
      <c r="CK15" s="92">
        <v>62</v>
      </c>
      <c r="CL15" s="92">
        <v>59</v>
      </c>
      <c r="CM15" s="92">
        <v>56</v>
      </c>
      <c r="CN15" s="92">
        <v>63</v>
      </c>
      <c r="CO15" s="92">
        <v>58</v>
      </c>
      <c r="CP15" s="92">
        <v>54</v>
      </c>
      <c r="CQ15" s="92">
        <v>46</v>
      </c>
      <c r="CR15" s="92">
        <v>53</v>
      </c>
      <c r="CS15" s="92">
        <v>78</v>
      </c>
      <c r="CT15" s="92">
        <f>+CS15-2</f>
        <v>76</v>
      </c>
      <c r="CU15" s="92">
        <f t="shared" ref="CU15:CX15" si="68">+CT15-2</f>
        <v>74</v>
      </c>
      <c r="CV15" s="92">
        <f t="shared" si="68"/>
        <v>72</v>
      </c>
      <c r="CW15" s="92">
        <f t="shared" si="68"/>
        <v>70</v>
      </c>
      <c r="CX15" s="92">
        <f t="shared" si="68"/>
        <v>68</v>
      </c>
      <c r="CY15" s="92"/>
      <c r="CZ15" s="92"/>
      <c r="DA15" s="46"/>
      <c r="DB15" s="40"/>
      <c r="DC15" s="92"/>
      <c r="DD15" s="92"/>
      <c r="DE15" s="92"/>
      <c r="DF15" s="92"/>
      <c r="DG15" s="92"/>
      <c r="DH15" s="92"/>
      <c r="DI15" s="92"/>
      <c r="DJ15" s="92"/>
      <c r="DK15" s="92"/>
      <c r="DL15" s="92"/>
      <c r="DM15" s="92"/>
      <c r="DN15" s="92"/>
      <c r="DO15" s="92"/>
      <c r="DP15" s="92"/>
      <c r="DQ15" s="92"/>
      <c r="DR15" s="92">
        <f t="shared" si="13"/>
        <v>210</v>
      </c>
      <c r="DS15" s="92">
        <f t="shared" si="14"/>
        <v>260</v>
      </c>
      <c r="DT15" s="92">
        <f t="shared" si="37"/>
        <v>306</v>
      </c>
      <c r="DU15" s="92">
        <f t="shared" si="38"/>
        <v>327</v>
      </c>
      <c r="DV15" s="92">
        <f t="shared" si="39"/>
        <v>318</v>
      </c>
      <c r="DW15" s="92">
        <f t="shared" si="40"/>
        <v>259</v>
      </c>
      <c r="DX15" s="92">
        <f t="shared" si="9"/>
        <v>231</v>
      </c>
      <c r="DY15" s="92">
        <f>DX15*0.9</f>
        <v>207.9</v>
      </c>
      <c r="DZ15" s="92">
        <f t="shared" ref="DZ15:EE15" si="69">DY15*0.9</f>
        <v>187.11</v>
      </c>
      <c r="EA15" s="92">
        <f t="shared" si="69"/>
        <v>168.39900000000003</v>
      </c>
      <c r="EB15" s="92">
        <f t="shared" si="69"/>
        <v>151.55910000000003</v>
      </c>
      <c r="EC15" s="92">
        <f t="shared" si="69"/>
        <v>136.40319000000002</v>
      </c>
      <c r="ED15" s="92">
        <f t="shared" si="69"/>
        <v>122.76287100000002</v>
      </c>
      <c r="EE15" s="92">
        <f t="shared" si="69"/>
        <v>110.48658390000001</v>
      </c>
      <c r="EF15" s="92">
        <f t="shared" ref="EF15:EJ15" si="70">EE15*0.9</f>
        <v>99.437925510000014</v>
      </c>
      <c r="EG15" s="92">
        <f t="shared" si="70"/>
        <v>89.494132959000012</v>
      </c>
      <c r="EH15" s="92">
        <f t="shared" si="70"/>
        <v>80.544719663100011</v>
      </c>
      <c r="EI15" s="92">
        <f t="shared" si="70"/>
        <v>72.490247696790007</v>
      </c>
      <c r="EJ15" s="92">
        <f t="shared" si="70"/>
        <v>65.241222927111011</v>
      </c>
    </row>
    <row r="16" spans="1:140" s="39" customFormat="1" ht="12.75" customHeight="1">
      <c r="B16" s="44" t="s">
        <v>933</v>
      </c>
      <c r="C16" s="40"/>
      <c r="D16" s="40"/>
      <c r="E16" s="40"/>
      <c r="F16" s="40"/>
      <c r="G16" s="40"/>
      <c r="H16" s="40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92"/>
      <c r="BY16" s="92"/>
      <c r="BZ16" s="92"/>
      <c r="CA16" s="92"/>
      <c r="CB16" s="92"/>
      <c r="CC16" s="92"/>
      <c r="CD16" s="92"/>
      <c r="CE16" s="92"/>
      <c r="CF16" s="92"/>
      <c r="CG16" s="92"/>
      <c r="CH16" s="92"/>
      <c r="CI16" s="92">
        <v>5</v>
      </c>
      <c r="CJ16" s="92">
        <v>12</v>
      </c>
      <c r="CK16" s="92">
        <v>16</v>
      </c>
      <c r="CL16" s="92">
        <v>138</v>
      </c>
      <c r="CM16" s="92">
        <v>106</v>
      </c>
      <c r="CN16" s="92">
        <v>168</v>
      </c>
      <c r="CO16" s="92">
        <v>214</v>
      </c>
      <c r="CP16" s="92">
        <v>176</v>
      </c>
      <c r="CQ16" s="92">
        <v>219</v>
      </c>
      <c r="CR16" s="92">
        <v>189</v>
      </c>
      <c r="CS16" s="92">
        <v>239</v>
      </c>
      <c r="CT16" s="92">
        <f>+CP16*1.1</f>
        <v>193.60000000000002</v>
      </c>
      <c r="CU16" s="92">
        <f t="shared" ref="CU16:CX17" si="71">+CQ16*1.1</f>
        <v>240.9</v>
      </c>
      <c r="CV16" s="92">
        <f t="shared" si="71"/>
        <v>207.9</v>
      </c>
      <c r="CW16" s="92">
        <f t="shared" si="71"/>
        <v>262.90000000000003</v>
      </c>
      <c r="CX16" s="92">
        <f t="shared" si="71"/>
        <v>212.96000000000004</v>
      </c>
      <c r="CY16" s="92"/>
      <c r="CZ16" s="92"/>
      <c r="DA16" s="46"/>
      <c r="DB16" s="40"/>
      <c r="DC16" s="92"/>
      <c r="DD16" s="92"/>
      <c r="DE16" s="92"/>
      <c r="DF16" s="92"/>
      <c r="DG16" s="92"/>
      <c r="DH16" s="92"/>
      <c r="DI16" s="92"/>
      <c r="DJ16" s="92"/>
      <c r="DK16" s="92"/>
      <c r="DL16" s="92"/>
      <c r="DM16" s="92"/>
      <c r="DN16" s="92"/>
      <c r="DO16" s="92"/>
      <c r="DP16" s="92"/>
      <c r="DQ16" s="92"/>
      <c r="DR16" s="92"/>
      <c r="DS16" s="92"/>
      <c r="DT16" s="92"/>
      <c r="DU16" s="92"/>
      <c r="DV16" s="94" t="s">
        <v>967</v>
      </c>
      <c r="DW16" s="92">
        <f t="shared" si="40"/>
        <v>171</v>
      </c>
      <c r="DX16" s="92">
        <f t="shared" si="9"/>
        <v>664</v>
      </c>
      <c r="DY16" s="92">
        <f>DX16*1.3</f>
        <v>863.2</v>
      </c>
      <c r="DZ16" s="92">
        <f>DY16*1.2</f>
        <v>1035.8399999999999</v>
      </c>
      <c r="EA16" s="92">
        <f>DZ16*1.15</f>
        <v>1191.2159999999999</v>
      </c>
      <c r="EB16" s="90">
        <f>EA16*1.1</f>
        <v>1310.3376000000001</v>
      </c>
      <c r="EC16" s="85">
        <f>EB16*1.03</f>
        <v>1349.6477280000001</v>
      </c>
      <c r="ED16" s="85">
        <f t="shared" ref="ED16:EJ16" si="72">EC16*1.03</f>
        <v>1390.1371598400001</v>
      </c>
      <c r="EE16" s="85">
        <f t="shared" si="72"/>
        <v>1431.8412746352001</v>
      </c>
      <c r="EF16" s="85">
        <f t="shared" si="72"/>
        <v>1474.7965128742562</v>
      </c>
      <c r="EG16" s="85">
        <f t="shared" si="72"/>
        <v>1519.0404082604839</v>
      </c>
      <c r="EH16" s="85">
        <f t="shared" si="72"/>
        <v>1564.6116205082985</v>
      </c>
      <c r="EI16" s="85">
        <f t="shared" si="72"/>
        <v>1611.5499691235475</v>
      </c>
      <c r="EJ16" s="85">
        <f t="shared" si="72"/>
        <v>1659.8964681972539</v>
      </c>
    </row>
    <row r="17" spans="2:140" s="39" customFormat="1" ht="12.75" customHeight="1">
      <c r="B17" s="44" t="s">
        <v>18</v>
      </c>
      <c r="C17" s="40"/>
      <c r="D17" s="40"/>
      <c r="E17" s="40"/>
      <c r="F17" s="40"/>
      <c r="G17" s="40"/>
      <c r="H17" s="40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>
        <v>31</v>
      </c>
      <c r="Y17" s="92">
        <v>62</v>
      </c>
      <c r="Z17" s="92">
        <v>69</v>
      </c>
      <c r="AA17" s="92">
        <v>85</v>
      </c>
      <c r="AB17" s="92">
        <v>119</v>
      </c>
      <c r="AC17" s="91">
        <v>171</v>
      </c>
      <c r="AD17" s="92">
        <v>190</v>
      </c>
      <c r="AE17" s="92">
        <v>190</v>
      </c>
      <c r="AF17" s="92">
        <v>178</v>
      </c>
      <c r="AG17" s="92">
        <v>134</v>
      </c>
      <c r="AH17" s="92">
        <f>AG17+10</f>
        <v>144</v>
      </c>
      <c r="AI17" s="127">
        <v>134</v>
      </c>
      <c r="AJ17" s="92">
        <v>126</v>
      </c>
      <c r="AK17" s="92">
        <v>127</v>
      </c>
      <c r="AL17" s="92">
        <f>123+12</f>
        <v>135</v>
      </c>
      <c r="AM17" s="92">
        <v>93</v>
      </c>
      <c r="AN17" s="92">
        <v>139</v>
      </c>
      <c r="AO17" s="92">
        <v>119</v>
      </c>
      <c r="AP17" s="92">
        <v>169</v>
      </c>
      <c r="AQ17" s="92">
        <v>125</v>
      </c>
      <c r="AR17" s="92">
        <v>148</v>
      </c>
      <c r="AS17" s="92">
        <v>184</v>
      </c>
      <c r="AT17" s="92">
        <v>195</v>
      </c>
      <c r="AU17" s="92">
        <v>142</v>
      </c>
      <c r="AV17" s="92">
        <v>142</v>
      </c>
      <c r="AW17" s="92">
        <v>150</v>
      </c>
      <c r="AX17" s="92">
        <v>168</v>
      </c>
      <c r="AY17" s="92">
        <v>162</v>
      </c>
      <c r="AZ17" s="92">
        <v>144</v>
      </c>
      <c r="BA17" s="92">
        <v>201</v>
      </c>
      <c r="BB17" s="92">
        <v>129</v>
      </c>
      <c r="BC17" s="92">
        <v>169</v>
      </c>
      <c r="BD17" s="92">
        <v>147</v>
      </c>
      <c r="BE17" s="92">
        <v>174</v>
      </c>
      <c r="BF17" s="92">
        <v>169</v>
      </c>
      <c r="BG17" s="92">
        <v>192</v>
      </c>
      <c r="BH17" s="92">
        <v>89</v>
      </c>
      <c r="BI17" s="92">
        <v>160</v>
      </c>
      <c r="BJ17" s="92">
        <v>169</v>
      </c>
      <c r="BK17" s="92">
        <v>188</v>
      </c>
      <c r="BL17" s="92">
        <v>130</v>
      </c>
      <c r="BM17" s="92">
        <v>171</v>
      </c>
      <c r="BN17" s="92">
        <v>162</v>
      </c>
      <c r="BO17" s="92">
        <v>224</v>
      </c>
      <c r="BP17" s="92">
        <v>123</v>
      </c>
      <c r="BQ17" s="92">
        <v>179</v>
      </c>
      <c r="BR17" s="92">
        <v>160</v>
      </c>
      <c r="BS17" s="92">
        <v>193</v>
      </c>
      <c r="BT17" s="92">
        <v>156</v>
      </c>
      <c r="BU17" s="92">
        <v>191</v>
      </c>
      <c r="BV17" s="92">
        <v>188</v>
      </c>
      <c r="BW17" s="92">
        <v>211</v>
      </c>
      <c r="BX17" s="92">
        <v>172</v>
      </c>
      <c r="BY17" s="92">
        <v>180</v>
      </c>
      <c r="BZ17" s="92">
        <v>227</v>
      </c>
      <c r="CA17" s="92">
        <v>222</v>
      </c>
      <c r="CB17" s="92">
        <v>168</v>
      </c>
      <c r="CC17" s="92">
        <v>210</v>
      </c>
      <c r="CD17" s="92">
        <v>196</v>
      </c>
      <c r="CE17" s="92">
        <v>158</v>
      </c>
      <c r="CF17" s="92">
        <v>208</v>
      </c>
      <c r="CG17" s="92">
        <v>227</v>
      </c>
      <c r="CH17" s="92">
        <v>213</v>
      </c>
      <c r="CI17" s="92">
        <v>216</v>
      </c>
      <c r="CJ17" s="92">
        <v>173</v>
      </c>
      <c r="CK17" s="92">
        <v>256</v>
      </c>
      <c r="CL17" s="92">
        <v>139</v>
      </c>
      <c r="CM17" s="92">
        <v>297</v>
      </c>
      <c r="CN17" s="92">
        <v>131</v>
      </c>
      <c r="CO17" s="92">
        <v>156</v>
      </c>
      <c r="CP17" s="92">
        <v>185</v>
      </c>
      <c r="CQ17" s="92">
        <v>216</v>
      </c>
      <c r="CR17" s="92">
        <v>163</v>
      </c>
      <c r="CS17" s="92">
        <v>193</v>
      </c>
      <c r="CT17" s="92">
        <f>+CP17*1.1</f>
        <v>203.50000000000003</v>
      </c>
      <c r="CU17" s="92">
        <f t="shared" si="71"/>
        <v>237.60000000000002</v>
      </c>
      <c r="CV17" s="92">
        <f t="shared" si="71"/>
        <v>179.3</v>
      </c>
      <c r="CW17" s="92">
        <f t="shared" si="71"/>
        <v>212.3</v>
      </c>
      <c r="CX17" s="92">
        <f t="shared" si="71"/>
        <v>223.85000000000005</v>
      </c>
      <c r="CY17" s="92"/>
      <c r="CZ17" s="92"/>
      <c r="DA17" s="46"/>
      <c r="DB17" s="40" t="s">
        <v>440</v>
      </c>
      <c r="DC17" s="92" t="s">
        <v>440</v>
      </c>
      <c r="DD17" s="92" t="s">
        <v>440</v>
      </c>
      <c r="DE17" s="92">
        <f>SUM(O17:R17)</f>
        <v>0</v>
      </c>
      <c r="DF17" s="92">
        <f>SUM(S17:V17)</f>
        <v>0</v>
      </c>
      <c r="DG17" s="92">
        <f>SUM(W17:Z17)</f>
        <v>162</v>
      </c>
      <c r="DH17" s="92">
        <f>SUM(AA17:AD17)</f>
        <v>565</v>
      </c>
      <c r="DI17" s="92">
        <f>SUM(AE17:AH17)</f>
        <v>646</v>
      </c>
      <c r="DJ17" s="92">
        <f>SUM(AI17:AL17)</f>
        <v>522</v>
      </c>
      <c r="DK17" s="92">
        <f t="shared" si="36"/>
        <v>520</v>
      </c>
      <c r="DL17" s="92">
        <f t="shared" ref="DL17:DL86" si="73">SUM(AQ17:AT17)</f>
        <v>652</v>
      </c>
      <c r="DM17" s="92">
        <f t="shared" si="29"/>
        <v>602</v>
      </c>
      <c r="DN17" s="92">
        <f t="shared" si="30"/>
        <v>636</v>
      </c>
      <c r="DO17" s="92">
        <f t="shared" si="31"/>
        <v>659</v>
      </c>
      <c r="DP17" s="92">
        <f t="shared" si="32"/>
        <v>610</v>
      </c>
      <c r="DQ17" s="92">
        <f t="shared" si="33"/>
        <v>651</v>
      </c>
      <c r="DR17" s="92">
        <f t="shared" si="13"/>
        <v>686</v>
      </c>
      <c r="DS17" s="92">
        <f t="shared" si="14"/>
        <v>728</v>
      </c>
      <c r="DT17" s="92">
        <f t="shared" si="37"/>
        <v>790</v>
      </c>
      <c r="DU17" s="92">
        <f t="shared" si="38"/>
        <v>796</v>
      </c>
      <c r="DV17" s="92">
        <f t="shared" si="39"/>
        <v>806</v>
      </c>
      <c r="DW17" s="92">
        <f t="shared" si="40"/>
        <v>784</v>
      </c>
      <c r="DX17" s="92">
        <f t="shared" si="9"/>
        <v>769</v>
      </c>
      <c r="DY17" s="92">
        <f>DX17*1.02</f>
        <v>784.38</v>
      </c>
      <c r="DZ17" s="92">
        <f>DY17*1.02</f>
        <v>800.06759999999997</v>
      </c>
      <c r="EA17" s="92">
        <f>DZ17*1.02</f>
        <v>816.06895199999997</v>
      </c>
      <c r="EB17" s="92">
        <f t="shared" ref="EB17:EJ17" si="74">EA17*1.02</f>
        <v>832.39033103999998</v>
      </c>
      <c r="EC17" s="92">
        <f t="shared" si="74"/>
        <v>849.03813766079998</v>
      </c>
      <c r="ED17" s="92">
        <f t="shared" si="74"/>
        <v>866.018900414016</v>
      </c>
      <c r="EE17" s="92">
        <f t="shared" si="74"/>
        <v>883.33927842229639</v>
      </c>
      <c r="EF17" s="92">
        <f t="shared" si="74"/>
        <v>901.00606399074229</v>
      </c>
      <c r="EG17" s="92">
        <f t="shared" si="74"/>
        <v>919.02618527055711</v>
      </c>
      <c r="EH17" s="92">
        <f t="shared" si="74"/>
        <v>937.40670897596829</v>
      </c>
      <c r="EI17" s="92">
        <f t="shared" si="74"/>
        <v>956.1548431554877</v>
      </c>
      <c r="EJ17" s="92">
        <f t="shared" si="74"/>
        <v>975.27794001859752</v>
      </c>
    </row>
    <row r="18" spans="2:140" s="39" customFormat="1" ht="12.75" customHeight="1">
      <c r="B18" s="44" t="s">
        <v>678</v>
      </c>
      <c r="C18" s="40"/>
      <c r="D18" s="40"/>
      <c r="E18" s="40"/>
      <c r="F18" s="40"/>
      <c r="G18" s="40"/>
      <c r="H18" s="40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1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>
        <v>54</v>
      </c>
      <c r="AR18" s="92">
        <v>75</v>
      </c>
      <c r="AS18" s="92">
        <v>74</v>
      </c>
      <c r="AT18" s="92">
        <v>61</v>
      </c>
      <c r="AU18" s="92">
        <v>74</v>
      </c>
      <c r="AV18" s="92">
        <v>76</v>
      </c>
      <c r="AW18" s="92">
        <v>86</v>
      </c>
      <c r="AX18" s="92">
        <v>95</v>
      </c>
      <c r="AY18" s="92">
        <v>108</v>
      </c>
      <c r="AZ18" s="92">
        <v>120</v>
      </c>
      <c r="BA18" s="92">
        <v>126</v>
      </c>
      <c r="BB18" s="92">
        <v>146</v>
      </c>
      <c r="BC18" s="92">
        <v>157</v>
      </c>
      <c r="BD18" s="92">
        <v>174</v>
      </c>
      <c r="BE18" s="92">
        <v>170</v>
      </c>
      <c r="BF18" s="92">
        <v>188</v>
      </c>
      <c r="BG18" s="92">
        <v>158</v>
      </c>
      <c r="BH18" s="92">
        <v>169</v>
      </c>
      <c r="BI18" s="92">
        <v>178</v>
      </c>
      <c r="BJ18" s="92">
        <v>185</v>
      </c>
      <c r="BK18" s="92">
        <v>188</v>
      </c>
      <c r="BL18" s="92">
        <v>199</v>
      </c>
      <c r="BM18" s="92">
        <v>193</v>
      </c>
      <c r="BN18" s="92">
        <v>186</v>
      </c>
      <c r="BO18" s="92">
        <v>184</v>
      </c>
      <c r="BP18" s="92">
        <v>199</v>
      </c>
      <c r="BQ18" s="92">
        <v>219</v>
      </c>
      <c r="BR18" s="92">
        <v>217</v>
      </c>
      <c r="BS18" s="92">
        <v>231</v>
      </c>
      <c r="BT18" s="92">
        <v>233</v>
      </c>
      <c r="BU18" s="92">
        <v>210</v>
      </c>
      <c r="BV18" s="92">
        <v>220</v>
      </c>
      <c r="BW18" s="92">
        <v>208</v>
      </c>
      <c r="BX18" s="92">
        <v>214</v>
      </c>
      <c r="BY18" s="92">
        <v>203</v>
      </c>
      <c r="BZ18" s="92">
        <v>205</v>
      </c>
      <c r="CA18" s="92">
        <v>215</v>
      </c>
      <c r="CB18" s="92">
        <v>191</v>
      </c>
      <c r="CC18" s="92">
        <v>209</v>
      </c>
      <c r="CD18" s="92">
        <v>223</v>
      </c>
      <c r="CE18" s="92">
        <v>214</v>
      </c>
      <c r="CF18" s="92">
        <v>202</v>
      </c>
      <c r="CG18" s="92">
        <v>203</v>
      </c>
      <c r="CH18" s="92">
        <v>206</v>
      </c>
      <c r="CI18" s="92">
        <v>186</v>
      </c>
      <c r="CJ18" s="92">
        <v>181</v>
      </c>
      <c r="CK18" s="92">
        <v>173</v>
      </c>
      <c r="CL18" s="92">
        <v>166</v>
      </c>
      <c r="CM18" s="92">
        <v>180</v>
      </c>
      <c r="CN18" s="92">
        <v>180</v>
      </c>
      <c r="CO18" s="92">
        <v>179</v>
      </c>
      <c r="CP18" s="92">
        <v>171</v>
      </c>
      <c r="CQ18" s="92">
        <v>184</v>
      </c>
      <c r="CR18" s="92">
        <v>172</v>
      </c>
      <c r="CS18" s="92">
        <v>189</v>
      </c>
      <c r="CT18" s="92">
        <f>+CP18*0.95</f>
        <v>162.44999999999999</v>
      </c>
      <c r="CU18" s="92">
        <f t="shared" ref="CU18:CX19" si="75">+CQ18*0.95</f>
        <v>174.79999999999998</v>
      </c>
      <c r="CV18" s="92">
        <f t="shared" si="75"/>
        <v>163.4</v>
      </c>
      <c r="CW18" s="92">
        <f t="shared" si="75"/>
        <v>179.54999999999998</v>
      </c>
      <c r="CX18" s="92">
        <f t="shared" si="75"/>
        <v>154.32749999999999</v>
      </c>
      <c r="CY18" s="92"/>
      <c r="CZ18" s="92"/>
      <c r="DA18" s="46"/>
      <c r="DB18" s="40"/>
      <c r="DC18" s="91"/>
      <c r="DD18" s="92"/>
      <c r="DE18" s="92"/>
      <c r="DF18" s="92"/>
      <c r="DG18" s="92"/>
      <c r="DH18" s="92"/>
      <c r="DI18" s="92"/>
      <c r="DJ18" s="92"/>
      <c r="DK18" s="92"/>
      <c r="DL18" s="92">
        <f t="shared" si="73"/>
        <v>264</v>
      </c>
      <c r="DM18" s="92">
        <f t="shared" si="29"/>
        <v>331</v>
      </c>
      <c r="DN18" s="92">
        <f t="shared" si="30"/>
        <v>500</v>
      </c>
      <c r="DO18" s="92">
        <f t="shared" si="31"/>
        <v>689</v>
      </c>
      <c r="DP18" s="92">
        <f t="shared" si="32"/>
        <v>690</v>
      </c>
      <c r="DQ18" s="92">
        <f t="shared" si="33"/>
        <v>766</v>
      </c>
      <c r="DR18" s="92">
        <f t="shared" si="13"/>
        <v>819</v>
      </c>
      <c r="DS18" s="92">
        <f t="shared" si="14"/>
        <v>894</v>
      </c>
      <c r="DT18" s="92">
        <f t="shared" si="37"/>
        <v>830</v>
      </c>
      <c r="DU18" s="92">
        <f t="shared" si="38"/>
        <v>838</v>
      </c>
      <c r="DV18" s="92">
        <f t="shared" si="39"/>
        <v>825</v>
      </c>
      <c r="DW18" s="92">
        <f t="shared" si="40"/>
        <v>706</v>
      </c>
      <c r="DX18" s="92">
        <f t="shared" si="9"/>
        <v>710</v>
      </c>
      <c r="DY18" s="92">
        <f>DX18*0.9</f>
        <v>639</v>
      </c>
      <c r="DZ18" s="92">
        <f>+DY18*0.01</f>
        <v>6.3900000000000006</v>
      </c>
      <c r="EA18" s="92">
        <f t="shared" ref="EA18:EJ18" si="76">DZ18*0.9</f>
        <v>5.7510000000000003</v>
      </c>
      <c r="EB18" s="92">
        <f t="shared" si="76"/>
        <v>5.1759000000000004</v>
      </c>
      <c r="EC18" s="92">
        <f t="shared" si="76"/>
        <v>4.6583100000000002</v>
      </c>
      <c r="ED18" s="92">
        <f t="shared" si="76"/>
        <v>4.1924790000000005</v>
      </c>
      <c r="EE18" s="92">
        <f t="shared" si="76"/>
        <v>3.7732311000000007</v>
      </c>
      <c r="EF18" s="92">
        <f t="shared" si="76"/>
        <v>3.3959079900000009</v>
      </c>
      <c r="EG18" s="92">
        <f t="shared" si="76"/>
        <v>3.0563171910000007</v>
      </c>
      <c r="EH18" s="92">
        <f t="shared" si="76"/>
        <v>2.7506854719000007</v>
      </c>
      <c r="EI18" s="92">
        <f t="shared" si="76"/>
        <v>2.4756169247100006</v>
      </c>
      <c r="EJ18" s="92">
        <f t="shared" si="76"/>
        <v>2.2280552322390008</v>
      </c>
    </row>
    <row r="19" spans="2:140" s="39" customFormat="1" ht="12.75" customHeight="1">
      <c r="B19" s="44" t="s">
        <v>745</v>
      </c>
      <c r="C19" s="40"/>
      <c r="D19" s="40"/>
      <c r="E19" s="40"/>
      <c r="F19" s="40"/>
      <c r="G19" s="40"/>
      <c r="H19" s="40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1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>
        <v>32</v>
      </c>
      <c r="BX19" s="92">
        <v>38</v>
      </c>
      <c r="BY19" s="92">
        <v>45</v>
      </c>
      <c r="BZ19" s="92">
        <v>50</v>
      </c>
      <c r="CA19" s="92">
        <v>60</v>
      </c>
      <c r="CB19" s="92">
        <v>63</v>
      </c>
      <c r="CC19" s="92">
        <v>77</v>
      </c>
      <c r="CD19" s="92">
        <v>80</v>
      </c>
      <c r="CE19" s="92">
        <v>82</v>
      </c>
      <c r="CF19" s="92">
        <v>93</v>
      </c>
      <c r="CG19" s="92">
        <v>96</v>
      </c>
      <c r="CH19" s="92">
        <v>100</v>
      </c>
      <c r="CI19" s="92">
        <v>94</v>
      </c>
      <c r="CJ19" s="92">
        <v>103</v>
      </c>
      <c r="CK19" s="92">
        <v>114</v>
      </c>
      <c r="CL19" s="92">
        <v>118</v>
      </c>
      <c r="CM19" s="92">
        <v>129</v>
      </c>
      <c r="CN19" s="92">
        <v>143</v>
      </c>
      <c r="CO19" s="92">
        <v>157</v>
      </c>
      <c r="CP19" s="92">
        <v>175</v>
      </c>
      <c r="CQ19" s="92">
        <v>174</v>
      </c>
      <c r="CR19" s="92">
        <v>188</v>
      </c>
      <c r="CS19" s="92">
        <v>208</v>
      </c>
      <c r="CT19" s="92">
        <f>+CP19*0.95</f>
        <v>166.25</v>
      </c>
      <c r="CU19" s="92">
        <f t="shared" si="75"/>
        <v>165.29999999999998</v>
      </c>
      <c r="CV19" s="92">
        <f t="shared" si="75"/>
        <v>178.6</v>
      </c>
      <c r="CW19" s="92">
        <f t="shared" si="75"/>
        <v>197.6</v>
      </c>
      <c r="CX19" s="92">
        <f t="shared" si="75"/>
        <v>157.9375</v>
      </c>
      <c r="CY19" s="92"/>
      <c r="CZ19" s="92"/>
      <c r="DA19" s="46"/>
      <c r="DB19" s="40"/>
      <c r="DC19" s="91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>
        <f t="shared" si="37"/>
        <v>165</v>
      </c>
      <c r="DU19" s="92">
        <f t="shared" si="38"/>
        <v>280</v>
      </c>
      <c r="DV19" s="92">
        <f t="shared" si="39"/>
        <v>371</v>
      </c>
      <c r="DW19" s="92">
        <f t="shared" si="40"/>
        <v>429</v>
      </c>
      <c r="DX19" s="92">
        <f t="shared" si="9"/>
        <v>604</v>
      </c>
      <c r="DY19" s="92">
        <f t="shared" ref="DY19:EJ19" si="77">DX19*0.9</f>
        <v>543.6</v>
      </c>
      <c r="DZ19" s="92">
        <f t="shared" si="77"/>
        <v>489.24</v>
      </c>
      <c r="EA19" s="92">
        <f t="shared" si="77"/>
        <v>440.31600000000003</v>
      </c>
      <c r="EB19" s="92">
        <f t="shared" si="77"/>
        <v>396.28440000000006</v>
      </c>
      <c r="EC19" s="92">
        <f t="shared" si="77"/>
        <v>356.65596000000005</v>
      </c>
      <c r="ED19" s="92">
        <f t="shared" si="77"/>
        <v>320.99036400000006</v>
      </c>
      <c r="EE19" s="92">
        <f t="shared" si="77"/>
        <v>288.89132760000007</v>
      </c>
      <c r="EF19" s="92">
        <f t="shared" si="77"/>
        <v>260.00219484000007</v>
      </c>
      <c r="EG19" s="92">
        <f t="shared" si="77"/>
        <v>234.00197535600006</v>
      </c>
      <c r="EH19" s="92">
        <f t="shared" si="77"/>
        <v>210.60177782040006</v>
      </c>
      <c r="EI19" s="92">
        <f t="shared" si="77"/>
        <v>189.54160003836006</v>
      </c>
      <c r="EJ19" s="92">
        <f t="shared" si="77"/>
        <v>170.58744003452406</v>
      </c>
    </row>
    <row r="20" spans="2:140" s="8" customFormat="1" ht="12.75" customHeight="1">
      <c r="B20" s="45" t="s">
        <v>746</v>
      </c>
      <c r="C20" s="9"/>
      <c r="D20" s="9"/>
      <c r="E20" s="9"/>
      <c r="F20" s="9"/>
      <c r="G20" s="7"/>
      <c r="H20" s="7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1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>
        <v>27</v>
      </c>
      <c r="CF20" s="92">
        <v>34</v>
      </c>
      <c r="CG20" s="92">
        <v>54</v>
      </c>
      <c r="CH20" s="92">
        <v>60</v>
      </c>
      <c r="CI20" s="92">
        <v>52</v>
      </c>
      <c r="CJ20" s="92">
        <v>66</v>
      </c>
      <c r="CK20" s="92">
        <v>77</v>
      </c>
      <c r="CL20" s="92">
        <v>67</v>
      </c>
      <c r="CM20" s="92">
        <v>65</v>
      </c>
      <c r="CN20" s="92">
        <v>76</v>
      </c>
      <c r="CO20" s="92">
        <v>74</v>
      </c>
      <c r="CP20" s="92">
        <v>87</v>
      </c>
      <c r="CQ20" s="92">
        <v>73</v>
      </c>
      <c r="CR20" s="92">
        <v>92</v>
      </c>
      <c r="CS20" s="92">
        <v>96</v>
      </c>
      <c r="CT20" s="92">
        <f>+CS20+1</f>
        <v>97</v>
      </c>
      <c r="CU20" s="92">
        <f t="shared" ref="CU20:CX20" si="78">+CT20+1</f>
        <v>98</v>
      </c>
      <c r="CV20" s="92">
        <f t="shared" si="78"/>
        <v>99</v>
      </c>
      <c r="CW20" s="92">
        <f t="shared" si="78"/>
        <v>100</v>
      </c>
      <c r="CX20" s="92">
        <f t="shared" si="78"/>
        <v>101</v>
      </c>
      <c r="CY20" s="92"/>
      <c r="CZ20" s="92"/>
      <c r="DA20" s="47"/>
      <c r="DB20" s="9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>
        <f t="shared" si="39"/>
        <v>175</v>
      </c>
      <c r="DW20" s="92">
        <f t="shared" si="40"/>
        <v>262</v>
      </c>
      <c r="DX20" s="92">
        <f t="shared" si="9"/>
        <v>302</v>
      </c>
      <c r="DY20" s="92">
        <f t="shared" ref="DY20:EE20" si="79">DX20*0.9</f>
        <v>271.8</v>
      </c>
      <c r="DZ20" s="92">
        <f t="shared" si="79"/>
        <v>244.62</v>
      </c>
      <c r="EA20" s="92">
        <f t="shared" si="79"/>
        <v>220.15800000000002</v>
      </c>
      <c r="EB20" s="92">
        <f t="shared" si="79"/>
        <v>198.14220000000003</v>
      </c>
      <c r="EC20" s="92">
        <f t="shared" si="79"/>
        <v>178.32798000000003</v>
      </c>
      <c r="ED20" s="92">
        <f t="shared" si="79"/>
        <v>160.49518200000003</v>
      </c>
      <c r="EE20" s="92">
        <f t="shared" si="79"/>
        <v>144.44566380000003</v>
      </c>
      <c r="EF20" s="92">
        <f t="shared" ref="EF20:EJ20" si="80">EE20*0.9</f>
        <v>130.00109742000004</v>
      </c>
      <c r="EG20" s="92">
        <f t="shared" si="80"/>
        <v>117.00098767800003</v>
      </c>
      <c r="EH20" s="92">
        <f t="shared" si="80"/>
        <v>105.30088891020003</v>
      </c>
      <c r="EI20" s="92">
        <f t="shared" si="80"/>
        <v>94.770800019180029</v>
      </c>
      <c r="EJ20" s="92">
        <f t="shared" si="80"/>
        <v>85.293720017262032</v>
      </c>
    </row>
    <row r="21" spans="2:140" s="8" customFormat="1" ht="12.75" customHeight="1">
      <c r="B21" s="45" t="s">
        <v>750</v>
      </c>
      <c r="C21" s="9"/>
      <c r="D21" s="9"/>
      <c r="E21" s="9"/>
      <c r="F21" s="9"/>
      <c r="G21" s="7"/>
      <c r="H21" s="7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1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>
        <v>26</v>
      </c>
      <c r="BX21" s="92">
        <v>27</v>
      </c>
      <c r="BY21" s="92">
        <v>35</v>
      </c>
      <c r="BZ21" s="92">
        <v>32</v>
      </c>
      <c r="CA21" s="92">
        <v>37</v>
      </c>
      <c r="CB21" s="92">
        <v>32</v>
      </c>
      <c r="CC21" s="92">
        <v>43</v>
      </c>
      <c r="CD21" s="92">
        <v>19</v>
      </c>
      <c r="CE21" s="92">
        <v>-8</v>
      </c>
      <c r="CF21" s="92">
        <v>-1</v>
      </c>
      <c r="CG21" s="92">
        <v>-2</v>
      </c>
      <c r="CH21" s="92">
        <v>10</v>
      </c>
      <c r="CI21" s="92">
        <v>30</v>
      </c>
      <c r="CJ21" s="92">
        <v>46</v>
      </c>
      <c r="CK21" s="92">
        <v>43</v>
      </c>
      <c r="CL21" s="92">
        <v>49</v>
      </c>
      <c r="CM21" s="92">
        <v>50</v>
      </c>
      <c r="CN21" s="92">
        <v>54</v>
      </c>
      <c r="CO21" s="92">
        <v>53</v>
      </c>
      <c r="CP21" s="92">
        <v>61</v>
      </c>
      <c r="CQ21" s="92">
        <v>56</v>
      </c>
      <c r="CR21" s="92">
        <v>62</v>
      </c>
      <c r="CS21" s="92">
        <v>64</v>
      </c>
      <c r="CT21" s="92">
        <f>+CS21+1</f>
        <v>65</v>
      </c>
      <c r="CU21" s="92">
        <f t="shared" ref="CU21:CX21" si="81">+CT21+1</f>
        <v>66</v>
      </c>
      <c r="CV21" s="92">
        <f t="shared" si="81"/>
        <v>67</v>
      </c>
      <c r="CW21" s="92">
        <f t="shared" si="81"/>
        <v>68</v>
      </c>
      <c r="CX21" s="92">
        <f t="shared" si="81"/>
        <v>69</v>
      </c>
      <c r="CY21" s="92"/>
      <c r="CZ21" s="92"/>
      <c r="DA21" s="47"/>
      <c r="DB21" s="9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>
        <f t="shared" si="37"/>
        <v>120</v>
      </c>
      <c r="DU21" s="92">
        <f t="shared" si="38"/>
        <v>131</v>
      </c>
      <c r="DV21" s="92">
        <f t="shared" si="39"/>
        <v>-1</v>
      </c>
      <c r="DW21" s="92">
        <f t="shared" si="40"/>
        <v>168</v>
      </c>
      <c r="DX21" s="92">
        <f t="shared" si="9"/>
        <v>218</v>
      </c>
      <c r="DY21" s="92">
        <f>DX21*0.9</f>
        <v>196.20000000000002</v>
      </c>
      <c r="DZ21" s="92">
        <f t="shared" ref="DZ21:EE21" si="82">DY21*0.9</f>
        <v>176.58</v>
      </c>
      <c r="EA21" s="92">
        <f t="shared" si="82"/>
        <v>158.92200000000003</v>
      </c>
      <c r="EB21" s="92">
        <f t="shared" si="82"/>
        <v>143.02980000000002</v>
      </c>
      <c r="EC21" s="92">
        <f t="shared" si="82"/>
        <v>128.72682000000003</v>
      </c>
      <c r="ED21" s="92">
        <f t="shared" si="82"/>
        <v>115.85413800000003</v>
      </c>
      <c r="EE21" s="92">
        <f t="shared" si="82"/>
        <v>104.26872420000004</v>
      </c>
      <c r="EF21" s="92">
        <f t="shared" ref="EF21:EJ21" si="83">EE21*0.9</f>
        <v>93.841851780000042</v>
      </c>
      <c r="EG21" s="92">
        <f t="shared" si="83"/>
        <v>84.457666602000046</v>
      </c>
      <c r="EH21" s="92">
        <f t="shared" si="83"/>
        <v>76.011899941800039</v>
      </c>
      <c r="EI21" s="92">
        <f t="shared" si="83"/>
        <v>68.410709947620035</v>
      </c>
      <c r="EJ21" s="92">
        <f t="shared" si="83"/>
        <v>61.569638952858035</v>
      </c>
    </row>
    <row r="22" spans="2:140" s="39" customFormat="1" ht="12.75" customHeight="1">
      <c r="B22" s="44" t="s">
        <v>614</v>
      </c>
      <c r="C22" s="40"/>
      <c r="D22" s="40"/>
      <c r="E22" s="40"/>
      <c r="F22" s="40"/>
      <c r="G22" s="40"/>
      <c r="H22" s="40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1"/>
      <c r="AD22" s="94" t="s">
        <v>526</v>
      </c>
      <c r="AE22" s="94" t="s">
        <v>518</v>
      </c>
      <c r="AF22" s="94" t="s">
        <v>509</v>
      </c>
      <c r="AG22" s="94" t="s">
        <v>500</v>
      </c>
      <c r="AH22" s="94" t="s">
        <v>525</v>
      </c>
      <c r="AI22" s="128" t="s">
        <v>517</v>
      </c>
      <c r="AJ22" s="94" t="s">
        <v>498</v>
      </c>
      <c r="AK22" s="94" t="s">
        <v>499</v>
      </c>
      <c r="AL22" s="92">
        <v>431</v>
      </c>
      <c r="AM22" s="92">
        <v>674</v>
      </c>
      <c r="AN22" s="92">
        <v>669</v>
      </c>
      <c r="AO22" s="92">
        <v>661</v>
      </c>
      <c r="AP22" s="92">
        <v>710</v>
      </c>
      <c r="AQ22" s="92">
        <v>753</v>
      </c>
      <c r="AR22" s="92">
        <v>842</v>
      </c>
      <c r="AS22" s="92">
        <v>561</v>
      </c>
      <c r="AT22" s="92">
        <v>511</v>
      </c>
      <c r="AU22" s="92">
        <v>519</v>
      </c>
      <c r="AV22" s="92">
        <v>518</v>
      </c>
      <c r="AW22" s="92">
        <v>490</v>
      </c>
      <c r="AX22" s="92">
        <v>549</v>
      </c>
      <c r="AY22" s="92">
        <v>549</v>
      </c>
      <c r="AZ22" s="92">
        <v>527</v>
      </c>
      <c r="BA22" s="92">
        <v>574</v>
      </c>
      <c r="BB22" s="92">
        <v>620</v>
      </c>
      <c r="BC22" s="92">
        <v>604</v>
      </c>
      <c r="BD22" s="92">
        <v>607</v>
      </c>
      <c r="BE22" s="92">
        <v>604</v>
      </c>
      <c r="BF22" s="92">
        <v>557</v>
      </c>
      <c r="BG22" s="92">
        <v>501</v>
      </c>
      <c r="BH22" s="92">
        <v>455</v>
      </c>
      <c r="BI22" s="92">
        <v>442</v>
      </c>
      <c r="BJ22" s="92">
        <v>396</v>
      </c>
      <c r="BK22" s="92">
        <v>349</v>
      </c>
      <c r="BL22" s="92">
        <v>339</v>
      </c>
      <c r="BM22" s="92">
        <v>311</v>
      </c>
      <c r="BN22" s="92">
        <v>269</v>
      </c>
      <c r="BO22" s="92">
        <v>229</v>
      </c>
      <c r="BP22" s="92">
        <v>208</v>
      </c>
      <c r="BQ22" s="92">
        <v>214</v>
      </c>
      <c r="BR22" s="92">
        <v>186</v>
      </c>
      <c r="BS22" s="92">
        <v>167</v>
      </c>
      <c r="BT22" s="92">
        <v>157</v>
      </c>
      <c r="BU22" s="92">
        <v>135</v>
      </c>
      <c r="BV22" s="92">
        <v>123</v>
      </c>
      <c r="BW22" s="92">
        <v>123</v>
      </c>
      <c r="BX22" s="92">
        <v>98</v>
      </c>
      <c r="BY22" s="92">
        <v>101</v>
      </c>
      <c r="BZ22" s="92">
        <v>89</v>
      </c>
      <c r="CA22" s="92">
        <v>88</v>
      </c>
      <c r="CB22" s="92">
        <v>73</v>
      </c>
      <c r="CC22" s="92">
        <v>82</v>
      </c>
      <c r="CD22" s="92">
        <v>88</v>
      </c>
      <c r="CE22" s="92">
        <v>85</v>
      </c>
      <c r="CF22" s="92">
        <v>75</v>
      </c>
      <c r="CG22" s="92">
        <v>73</v>
      </c>
      <c r="CH22" s="92">
        <v>67</v>
      </c>
      <c r="CI22" s="92">
        <v>61</v>
      </c>
      <c r="CJ22" s="92">
        <v>53</v>
      </c>
      <c r="CK22" s="92">
        <v>49</v>
      </c>
      <c r="CL22" s="92">
        <v>44</v>
      </c>
      <c r="CM22" s="92">
        <v>51</v>
      </c>
      <c r="CN22" s="92">
        <v>48</v>
      </c>
      <c r="CO22" s="92">
        <v>45</v>
      </c>
      <c r="CP22" s="92">
        <v>43</v>
      </c>
      <c r="CQ22" s="92">
        <v>39</v>
      </c>
      <c r="CR22" s="92">
        <v>35</v>
      </c>
      <c r="CS22" s="92">
        <v>41</v>
      </c>
      <c r="CT22" s="92">
        <f>+CP22*0.95</f>
        <v>40.85</v>
      </c>
      <c r="CU22" s="92">
        <f t="shared" ref="CU22:CX22" si="84">+CQ22*0.95</f>
        <v>37.049999999999997</v>
      </c>
      <c r="CV22" s="92">
        <f t="shared" si="84"/>
        <v>33.25</v>
      </c>
      <c r="CW22" s="92">
        <f t="shared" si="84"/>
        <v>38.949999999999996</v>
      </c>
      <c r="CX22" s="92">
        <f t="shared" si="84"/>
        <v>38.807499999999997</v>
      </c>
      <c r="CY22" s="92"/>
      <c r="CZ22" s="92"/>
      <c r="DA22" s="93"/>
      <c r="DB22" s="40"/>
      <c r="DC22" s="92"/>
      <c r="DD22" s="92"/>
      <c r="DE22" s="92"/>
      <c r="DF22" s="92"/>
      <c r="DG22" s="92"/>
      <c r="DH22" s="92"/>
      <c r="DI22" s="94" t="s">
        <v>527</v>
      </c>
      <c r="DJ22" s="94" t="s">
        <v>528</v>
      </c>
      <c r="DK22" s="92">
        <f>SUM(AM22:AP22)</f>
        <v>2714</v>
      </c>
      <c r="DL22" s="92">
        <f>SUM(AQ22:AT22)</f>
        <v>2667</v>
      </c>
      <c r="DM22" s="92">
        <f>SUM(AU22:AX22)</f>
        <v>2076</v>
      </c>
      <c r="DN22" s="92">
        <f>SUM(AY22:BB22)</f>
        <v>2270</v>
      </c>
      <c r="DO22" s="92">
        <f>SUM(BC22:BF22)</f>
        <v>2372</v>
      </c>
      <c r="DP22" s="92">
        <f>SUM(BG22:BJ22)</f>
        <v>1794</v>
      </c>
      <c r="DQ22" s="92">
        <f>SUM(BK22:BN22)</f>
        <v>1268</v>
      </c>
      <c r="DR22" s="92">
        <f>SUM(BO22:BR22)</f>
        <v>837</v>
      </c>
      <c r="DS22" s="92">
        <f>SUM(BS22:BV22)</f>
        <v>582</v>
      </c>
      <c r="DT22" s="92">
        <f>SUM(BW22:BZ22)</f>
        <v>411</v>
      </c>
      <c r="DU22" s="92">
        <f>SUM(CA22:CD22)</f>
        <v>331</v>
      </c>
      <c r="DV22" s="92">
        <f>SUM(CE22:CH22)</f>
        <v>300</v>
      </c>
      <c r="DW22" s="92">
        <f>SUM(CI22:CL22)</f>
        <v>207</v>
      </c>
      <c r="DX22" s="92">
        <f t="shared" si="9"/>
        <v>187</v>
      </c>
      <c r="DY22" s="92">
        <f t="shared" ref="DY22:EJ22" si="85">DX22*0.9</f>
        <v>168.3</v>
      </c>
      <c r="DZ22" s="92">
        <f>+DY22*0.01</f>
        <v>1.6830000000000001</v>
      </c>
      <c r="EA22" s="92">
        <f t="shared" si="85"/>
        <v>1.5147000000000002</v>
      </c>
      <c r="EB22" s="92">
        <f t="shared" si="85"/>
        <v>1.3632300000000002</v>
      </c>
      <c r="EC22" s="92">
        <f t="shared" si="85"/>
        <v>1.2269070000000002</v>
      </c>
      <c r="ED22" s="92">
        <f t="shared" si="85"/>
        <v>1.1042163000000003</v>
      </c>
      <c r="EE22" s="92">
        <f t="shared" si="85"/>
        <v>0.99379467000000021</v>
      </c>
      <c r="EF22" s="92">
        <f t="shared" si="85"/>
        <v>0.89441520300000021</v>
      </c>
      <c r="EG22" s="92">
        <f t="shared" si="85"/>
        <v>0.80497368270000025</v>
      </c>
      <c r="EH22" s="92">
        <f t="shared" si="85"/>
        <v>0.72447631443000027</v>
      </c>
      <c r="EI22" s="92">
        <f t="shared" si="85"/>
        <v>0.65202868298700023</v>
      </c>
      <c r="EJ22" s="92">
        <f t="shared" si="85"/>
        <v>0.5868258146883002</v>
      </c>
    </row>
    <row r="23" spans="2:140" s="8" customFormat="1" ht="12.75" customHeight="1">
      <c r="B23" s="45" t="s">
        <v>591</v>
      </c>
      <c r="C23" s="9"/>
      <c r="D23" s="9"/>
      <c r="E23" s="9"/>
      <c r="F23" s="9"/>
      <c r="G23" s="7"/>
      <c r="H23" s="7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1"/>
      <c r="AD23" s="92"/>
      <c r="AE23" s="92"/>
      <c r="AF23" s="92"/>
      <c r="AG23" s="92"/>
      <c r="AH23" s="92"/>
      <c r="AI23" s="128" t="s">
        <v>624</v>
      </c>
      <c r="AJ23" s="92">
        <v>47</v>
      </c>
      <c r="AK23" s="92">
        <v>130</v>
      </c>
      <c r="AL23" s="92">
        <v>128</v>
      </c>
      <c r="AM23" s="92">
        <v>51</v>
      </c>
      <c r="AN23" s="92">
        <v>59</v>
      </c>
      <c r="AO23" s="92">
        <v>110</v>
      </c>
      <c r="AP23" s="92">
        <v>156</v>
      </c>
      <c r="AQ23" s="92">
        <v>79</v>
      </c>
      <c r="AR23" s="92">
        <v>64</v>
      </c>
      <c r="AS23" s="92">
        <v>133</v>
      </c>
      <c r="AT23" s="92">
        <v>222</v>
      </c>
      <c r="AU23" s="92">
        <v>112</v>
      </c>
      <c r="AV23" s="92">
        <v>101</v>
      </c>
      <c r="AW23" s="92">
        <v>160</v>
      </c>
      <c r="AX23" s="92">
        <v>208</v>
      </c>
      <c r="AY23" s="92">
        <v>111</v>
      </c>
      <c r="AZ23" s="92">
        <v>108</v>
      </c>
      <c r="BA23" s="92">
        <v>193</v>
      </c>
      <c r="BB23" s="92">
        <v>241</v>
      </c>
      <c r="BC23" s="92">
        <v>101</v>
      </c>
      <c r="BD23" s="92">
        <v>102</v>
      </c>
      <c r="BE23" s="92">
        <v>197</v>
      </c>
      <c r="BF23" s="92">
        <v>346</v>
      </c>
      <c r="BG23" s="92">
        <v>110</v>
      </c>
      <c r="BH23" s="92">
        <v>106</v>
      </c>
      <c r="BI23" s="92">
        <v>138</v>
      </c>
      <c r="BJ23" s="92">
        <v>188</v>
      </c>
      <c r="BK23" s="92">
        <v>107</v>
      </c>
      <c r="BL23" s="92">
        <v>120</v>
      </c>
      <c r="BM23" s="92">
        <v>175</v>
      </c>
      <c r="BN23" s="92">
        <v>238</v>
      </c>
      <c r="BO23" s="92">
        <v>163</v>
      </c>
      <c r="BP23" s="92">
        <v>166</v>
      </c>
      <c r="BQ23" s="92">
        <v>229</v>
      </c>
      <c r="BR23" s="92">
        <v>263</v>
      </c>
      <c r="BS23" s="92">
        <v>179</v>
      </c>
      <c r="BT23" s="92">
        <v>193</v>
      </c>
      <c r="BU23" s="92">
        <v>214</v>
      </c>
      <c r="BV23" s="92">
        <v>322</v>
      </c>
      <c r="BW23" s="92">
        <v>185</v>
      </c>
      <c r="BX23" s="92">
        <v>170</v>
      </c>
      <c r="BY23" s="92">
        <v>237</v>
      </c>
      <c r="BZ23" s="92">
        <v>334</v>
      </c>
      <c r="CA23" s="92">
        <v>256</v>
      </c>
      <c r="CB23" s="92">
        <v>117</v>
      </c>
      <c r="CC23" s="92">
        <v>375</v>
      </c>
      <c r="CD23" s="92">
        <v>339</v>
      </c>
      <c r="CE23" s="92">
        <v>171</v>
      </c>
      <c r="CF23" s="92">
        <v>152</v>
      </c>
      <c r="CG23" s="92">
        <v>277</v>
      </c>
      <c r="CH23" s="92">
        <v>292</v>
      </c>
      <c r="CI23" s="92">
        <v>173</v>
      </c>
      <c r="CJ23" s="92">
        <v>153</v>
      </c>
      <c r="CK23" s="92">
        <v>131</v>
      </c>
      <c r="CL23" s="92">
        <v>145</v>
      </c>
      <c r="CM23" s="92">
        <v>96</v>
      </c>
      <c r="CN23" s="92">
        <v>92</v>
      </c>
      <c r="CO23" s="92">
        <v>140</v>
      </c>
      <c r="CP23" s="92">
        <v>85</v>
      </c>
      <c r="CQ23" s="92">
        <v>61</v>
      </c>
      <c r="CR23" s="92">
        <v>59</v>
      </c>
      <c r="CS23" s="92">
        <v>68</v>
      </c>
      <c r="CT23" s="92">
        <f>+CS23+1</f>
        <v>69</v>
      </c>
      <c r="CU23" s="92">
        <f t="shared" ref="CU23:CX23" si="86">+CT23+1</f>
        <v>70</v>
      </c>
      <c r="CV23" s="92">
        <f t="shared" si="86"/>
        <v>71</v>
      </c>
      <c r="CW23" s="92">
        <f t="shared" si="86"/>
        <v>72</v>
      </c>
      <c r="CX23" s="92">
        <f t="shared" si="86"/>
        <v>73</v>
      </c>
      <c r="CY23" s="92"/>
      <c r="CZ23" s="92"/>
      <c r="DA23" s="47"/>
      <c r="DB23" s="9"/>
      <c r="DC23" s="92"/>
      <c r="DD23" s="92"/>
      <c r="DE23" s="92"/>
      <c r="DF23" s="92"/>
      <c r="DG23" s="92"/>
      <c r="DH23" s="92"/>
      <c r="DI23" s="92"/>
      <c r="DJ23" s="92"/>
      <c r="DK23" s="92">
        <f>SUM(AM23:AP23)</f>
        <v>376</v>
      </c>
      <c r="DL23" s="92">
        <f t="shared" si="73"/>
        <v>498</v>
      </c>
      <c r="DM23" s="92">
        <f t="shared" si="29"/>
        <v>581</v>
      </c>
      <c r="DN23" s="92">
        <f t="shared" si="30"/>
        <v>653</v>
      </c>
      <c r="DO23" s="92">
        <f t="shared" si="31"/>
        <v>746</v>
      </c>
      <c r="DP23" s="92">
        <f t="shared" si="32"/>
        <v>542</v>
      </c>
      <c r="DQ23" s="92">
        <f t="shared" si="33"/>
        <v>640</v>
      </c>
      <c r="DR23" s="92">
        <f t="shared" si="13"/>
        <v>821</v>
      </c>
      <c r="DS23" s="92">
        <f t="shared" si="14"/>
        <v>908</v>
      </c>
      <c r="DT23" s="92">
        <f t="shared" ref="DT23:DT86" si="87">SUM(BW23:BZ23)</f>
        <v>926</v>
      </c>
      <c r="DU23" s="92">
        <f t="shared" ref="DU23:DU86" si="88">SUM(CA23:CD23)</f>
        <v>1087</v>
      </c>
      <c r="DV23" s="92">
        <f t="shared" ref="DV23:DV86" si="89">SUM(CE23:CH23)</f>
        <v>892</v>
      </c>
      <c r="DW23" s="92">
        <f t="shared" ref="DW23:DW77" si="90">SUM(CI23:CL23)</f>
        <v>602</v>
      </c>
      <c r="DX23" s="92">
        <f t="shared" si="9"/>
        <v>413</v>
      </c>
      <c r="DY23" s="92">
        <f>DX23*0.95</f>
        <v>392.34999999999997</v>
      </c>
      <c r="DZ23" s="92">
        <f t="shared" ref="DZ23:EJ23" si="91">DY23*0.95</f>
        <v>372.73249999999996</v>
      </c>
      <c r="EA23" s="92">
        <f t="shared" si="91"/>
        <v>354.09587499999992</v>
      </c>
      <c r="EB23" s="92">
        <f t="shared" si="91"/>
        <v>336.3910812499999</v>
      </c>
      <c r="EC23" s="92">
        <f t="shared" si="91"/>
        <v>319.5715271874999</v>
      </c>
      <c r="ED23" s="92">
        <f t="shared" si="91"/>
        <v>303.59295082812491</v>
      </c>
      <c r="EE23" s="92">
        <f t="shared" si="91"/>
        <v>288.41330328671864</v>
      </c>
      <c r="EF23" s="92">
        <f t="shared" si="91"/>
        <v>273.99263812238269</v>
      </c>
      <c r="EG23" s="92">
        <f t="shared" si="91"/>
        <v>260.29300621626356</v>
      </c>
      <c r="EH23" s="92">
        <f t="shared" si="91"/>
        <v>247.27835590545038</v>
      </c>
      <c r="EI23" s="92">
        <f t="shared" si="91"/>
        <v>234.91443811017785</v>
      </c>
      <c r="EJ23" s="92">
        <f t="shared" si="91"/>
        <v>223.16871620466895</v>
      </c>
    </row>
    <row r="24" spans="2:140" s="8" customFormat="1" ht="12.75" customHeight="1">
      <c r="B24" s="45" t="s">
        <v>744</v>
      </c>
      <c r="C24" s="9"/>
      <c r="D24" s="9"/>
      <c r="E24" s="9"/>
      <c r="F24" s="9"/>
      <c r="G24" s="7"/>
      <c r="H24" s="7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1"/>
      <c r="AD24" s="92"/>
      <c r="AE24" s="92"/>
      <c r="AF24" s="92"/>
      <c r="AG24" s="92"/>
      <c r="AH24" s="92"/>
      <c r="AI24" s="94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>
        <v>47</v>
      </c>
      <c r="BX24" s="92">
        <v>58</v>
      </c>
      <c r="BY24" s="92">
        <v>62</v>
      </c>
      <c r="BZ24" s="92">
        <v>71</v>
      </c>
      <c r="CA24" s="92">
        <v>60</v>
      </c>
      <c r="CB24" s="92">
        <v>28</v>
      </c>
      <c r="CC24" s="92">
        <v>51</v>
      </c>
      <c r="CD24" s="92">
        <v>31</v>
      </c>
      <c r="CE24" s="92">
        <v>34</v>
      </c>
      <c r="CF24" s="92">
        <v>56</v>
      </c>
      <c r="CG24" s="92">
        <v>48</v>
      </c>
      <c r="CH24" s="92">
        <v>41</v>
      </c>
      <c r="CI24" s="92">
        <v>36</v>
      </c>
      <c r="CJ24" s="92">
        <v>35</v>
      </c>
      <c r="CK24" s="92">
        <v>64</v>
      </c>
      <c r="CL24" s="92">
        <v>39</v>
      </c>
      <c r="CM24" s="92">
        <v>40</v>
      </c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47"/>
      <c r="DB24" s="9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>
        <f t="shared" si="87"/>
        <v>238</v>
      </c>
      <c r="DU24" s="92">
        <f t="shared" si="88"/>
        <v>170</v>
      </c>
      <c r="DV24" s="92">
        <f t="shared" si="89"/>
        <v>179</v>
      </c>
      <c r="DW24" s="92">
        <f t="shared" si="90"/>
        <v>174</v>
      </c>
      <c r="DX24" s="92">
        <f t="shared" si="9"/>
        <v>40</v>
      </c>
      <c r="DY24" s="92">
        <f t="shared" ref="DY24:EJ24" si="92">DX24*0.95</f>
        <v>38</v>
      </c>
      <c r="DZ24" s="92">
        <f t="shared" si="92"/>
        <v>36.1</v>
      </c>
      <c r="EA24" s="92">
        <f t="shared" si="92"/>
        <v>34.295000000000002</v>
      </c>
      <c r="EB24" s="92">
        <f t="shared" si="92"/>
        <v>32.580249999999999</v>
      </c>
      <c r="EC24" s="92">
        <f t="shared" si="92"/>
        <v>30.951237499999998</v>
      </c>
      <c r="ED24" s="92">
        <f t="shared" si="92"/>
        <v>29.403675624999998</v>
      </c>
      <c r="EE24" s="92">
        <f t="shared" si="92"/>
        <v>27.933491843749998</v>
      </c>
      <c r="EF24" s="92">
        <f t="shared" si="92"/>
        <v>26.536817251562496</v>
      </c>
      <c r="EG24" s="92">
        <f t="shared" si="92"/>
        <v>25.209976388984369</v>
      </c>
      <c r="EH24" s="92">
        <f t="shared" si="92"/>
        <v>23.949477569535151</v>
      </c>
      <c r="EI24" s="92">
        <f t="shared" si="92"/>
        <v>22.752003691058391</v>
      </c>
      <c r="EJ24" s="92">
        <f t="shared" si="92"/>
        <v>21.614403506505472</v>
      </c>
    </row>
    <row r="25" spans="2:140" s="8" customFormat="1" ht="12.75" customHeight="1">
      <c r="B25" s="45" t="s">
        <v>103</v>
      </c>
      <c r="C25" s="9"/>
      <c r="D25" s="9"/>
      <c r="E25" s="9"/>
      <c r="F25" s="9"/>
      <c r="G25" s="7"/>
      <c r="H25" s="7"/>
      <c r="I25" s="92"/>
      <c r="J25" s="92"/>
      <c r="K25" s="92"/>
      <c r="L25" s="92"/>
      <c r="M25" s="92"/>
      <c r="N25" s="92"/>
      <c r="O25" s="92">
        <v>150</v>
      </c>
      <c r="P25" s="92">
        <v>153</v>
      </c>
      <c r="Q25" s="92">
        <v>162</v>
      </c>
      <c r="R25" s="92">
        <v>176</v>
      </c>
      <c r="S25" s="92">
        <v>185</v>
      </c>
      <c r="T25" s="92">
        <v>181</v>
      </c>
      <c r="U25" s="92">
        <v>182</v>
      </c>
      <c r="V25" s="92">
        <v>191</v>
      </c>
      <c r="W25" s="92">
        <v>170</v>
      </c>
      <c r="X25" s="92">
        <v>172</v>
      </c>
      <c r="Y25" s="92">
        <v>182</v>
      </c>
      <c r="Z25" s="92">
        <v>181</v>
      </c>
      <c r="AA25" s="92">
        <v>197</v>
      </c>
      <c r="AB25" s="92">
        <v>186</v>
      </c>
      <c r="AC25" s="91">
        <v>186</v>
      </c>
      <c r="AD25" s="92">
        <f>AC25</f>
        <v>186</v>
      </c>
      <c r="AE25" s="92">
        <v>203</v>
      </c>
      <c r="AF25" s="92">
        <v>201</v>
      </c>
      <c r="AG25" s="92">
        <v>188</v>
      </c>
      <c r="AH25" s="92">
        <f>AG25</f>
        <v>188</v>
      </c>
      <c r="AI25" s="127">
        <v>165</v>
      </c>
      <c r="AJ25" s="92">
        <v>160</v>
      </c>
      <c r="AK25" s="92">
        <v>168</v>
      </c>
      <c r="AL25" s="92">
        <v>196</v>
      </c>
      <c r="AM25" s="92">
        <v>159</v>
      </c>
      <c r="AN25" s="92">
        <v>158</v>
      </c>
      <c r="AO25" s="92">
        <v>135</v>
      </c>
      <c r="AP25" s="92">
        <v>158</v>
      </c>
      <c r="AQ25" s="92">
        <v>136</v>
      </c>
      <c r="AR25" s="92">
        <v>136</v>
      </c>
      <c r="AS25" s="92">
        <v>124</v>
      </c>
      <c r="AT25" s="92">
        <v>119</v>
      </c>
      <c r="AU25" s="92">
        <v>88</v>
      </c>
      <c r="AV25" s="92">
        <v>104</v>
      </c>
      <c r="AW25" s="92">
        <v>109</v>
      </c>
      <c r="AX25" s="92">
        <v>83</v>
      </c>
      <c r="AY25" s="92">
        <v>84</v>
      </c>
      <c r="AZ25" s="92">
        <v>85</v>
      </c>
      <c r="BA25" s="92">
        <v>88</v>
      </c>
      <c r="BB25" s="92">
        <v>79</v>
      </c>
      <c r="BC25" s="92">
        <v>71</v>
      </c>
      <c r="BD25" s="92">
        <v>81</v>
      </c>
      <c r="BE25" s="92">
        <v>91</v>
      </c>
      <c r="BF25" s="92">
        <v>86</v>
      </c>
      <c r="BG25" s="92">
        <v>65</v>
      </c>
      <c r="BH25" s="92">
        <v>88</v>
      </c>
      <c r="BI25" s="92">
        <v>75</v>
      </c>
      <c r="BJ25" s="92">
        <v>86</v>
      </c>
      <c r="BK25" s="92">
        <v>73</v>
      </c>
      <c r="BL25" s="92">
        <v>81</v>
      </c>
      <c r="BM25" s="92">
        <v>77</v>
      </c>
      <c r="BN25" s="92">
        <v>66</v>
      </c>
      <c r="BO25" s="92">
        <v>62</v>
      </c>
      <c r="BP25" s="92">
        <v>71</v>
      </c>
      <c r="BQ25" s="92">
        <v>73</v>
      </c>
      <c r="BR25" s="92">
        <v>74</v>
      </c>
      <c r="BS25" s="92">
        <v>72</v>
      </c>
      <c r="BT25" s="92">
        <v>68</v>
      </c>
      <c r="BU25" s="92">
        <v>72</v>
      </c>
      <c r="BV25" s="92">
        <v>53</v>
      </c>
      <c r="BW25" s="92">
        <v>59</v>
      </c>
      <c r="BX25" s="92">
        <v>71</v>
      </c>
      <c r="BY25" s="92">
        <v>77</v>
      </c>
      <c r="BZ25" s="92">
        <v>67</v>
      </c>
      <c r="CA25" s="92">
        <v>51</v>
      </c>
      <c r="CB25" s="92">
        <v>64</v>
      </c>
      <c r="CC25" s="92">
        <v>74</v>
      </c>
      <c r="CD25" s="92">
        <v>62</v>
      </c>
      <c r="CE25" s="92">
        <v>65</v>
      </c>
      <c r="CF25" s="92">
        <v>60</v>
      </c>
      <c r="CG25" s="92">
        <v>70</v>
      </c>
      <c r="CH25" s="92">
        <v>65</v>
      </c>
      <c r="CI25" s="92">
        <v>58</v>
      </c>
      <c r="CJ25" s="92">
        <v>64</v>
      </c>
      <c r="CK25" s="92">
        <v>63</v>
      </c>
      <c r="CL25" s="92">
        <v>54</v>
      </c>
      <c r="CM25" s="92">
        <v>80</v>
      </c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47"/>
      <c r="DB25" s="9" t="s">
        <v>440</v>
      </c>
      <c r="DC25" s="92" t="s">
        <v>440</v>
      </c>
      <c r="DD25" s="92">
        <v>629</v>
      </c>
      <c r="DE25" s="92">
        <f>SUM(O25:R25)</f>
        <v>641</v>
      </c>
      <c r="DF25" s="92">
        <f>SUM(S25:V25)</f>
        <v>739</v>
      </c>
      <c r="DG25" s="92">
        <f>SUM(W25:Z25)</f>
        <v>705</v>
      </c>
      <c r="DH25" s="92">
        <f>SUM(AA25:AD25)</f>
        <v>755</v>
      </c>
      <c r="DI25" s="92">
        <f>SUM(AE25:AH25)</f>
        <v>780</v>
      </c>
      <c r="DJ25" s="92">
        <f>SUM(AI25:AL25)</f>
        <v>689</v>
      </c>
      <c r="DK25" s="92">
        <f>SUM(AM25:AP25)</f>
        <v>610</v>
      </c>
      <c r="DL25" s="92">
        <f t="shared" si="73"/>
        <v>515</v>
      </c>
      <c r="DM25" s="92">
        <f t="shared" si="29"/>
        <v>384</v>
      </c>
      <c r="DN25" s="92">
        <f t="shared" ref="DN25:DN28" si="93">SUM(AY25:BB25)</f>
        <v>336</v>
      </c>
      <c r="DO25" s="92">
        <f t="shared" ref="DO25:DO28" si="94">SUM(BC25:BF25)</f>
        <v>329</v>
      </c>
      <c r="DP25" s="92">
        <f t="shared" si="32"/>
        <v>314</v>
      </c>
      <c r="DQ25" s="92">
        <f t="shared" si="33"/>
        <v>297</v>
      </c>
      <c r="DR25" s="92">
        <f t="shared" si="13"/>
        <v>280</v>
      </c>
      <c r="DS25" s="92">
        <f t="shared" si="14"/>
        <v>265</v>
      </c>
      <c r="DT25" s="92">
        <f t="shared" si="87"/>
        <v>274</v>
      </c>
      <c r="DU25" s="92">
        <f t="shared" si="88"/>
        <v>251</v>
      </c>
      <c r="DV25" s="92">
        <f t="shared" si="89"/>
        <v>260</v>
      </c>
      <c r="DW25" s="92">
        <f t="shared" si="90"/>
        <v>239</v>
      </c>
      <c r="DX25" s="92">
        <f t="shared" si="9"/>
        <v>80</v>
      </c>
      <c r="DY25" s="92">
        <f t="shared" ref="DY25:EJ25" si="95">DX25*0.95</f>
        <v>76</v>
      </c>
      <c r="DZ25" s="92">
        <f t="shared" si="95"/>
        <v>72.2</v>
      </c>
      <c r="EA25" s="92">
        <f t="shared" si="95"/>
        <v>68.59</v>
      </c>
      <c r="EB25" s="92">
        <f t="shared" si="95"/>
        <v>65.160499999999999</v>
      </c>
      <c r="EC25" s="92">
        <f t="shared" si="95"/>
        <v>61.902474999999995</v>
      </c>
      <c r="ED25" s="92">
        <f t="shared" si="95"/>
        <v>58.807351249999996</v>
      </c>
      <c r="EE25" s="92">
        <f t="shared" si="95"/>
        <v>55.866983687499996</v>
      </c>
      <c r="EF25" s="92">
        <f t="shared" si="95"/>
        <v>53.073634503124993</v>
      </c>
      <c r="EG25" s="92">
        <f t="shared" si="95"/>
        <v>50.419952777968739</v>
      </c>
      <c r="EH25" s="92">
        <f t="shared" si="95"/>
        <v>47.898955139070303</v>
      </c>
      <c r="EI25" s="92">
        <f t="shared" si="95"/>
        <v>45.504007382116782</v>
      </c>
      <c r="EJ25" s="92">
        <f t="shared" si="95"/>
        <v>43.228807013010943</v>
      </c>
    </row>
    <row r="26" spans="2:140" s="8" customFormat="1" ht="12.75" customHeight="1">
      <c r="B26" s="45" t="s">
        <v>749</v>
      </c>
      <c r="C26" s="9"/>
      <c r="D26" s="9"/>
      <c r="E26" s="9"/>
      <c r="F26" s="9"/>
      <c r="G26" s="7"/>
      <c r="H26" s="7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1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>
        <v>42</v>
      </c>
      <c r="BX26" s="92">
        <v>51</v>
      </c>
      <c r="BY26" s="92">
        <v>50</v>
      </c>
      <c r="BZ26" s="92">
        <v>60</v>
      </c>
      <c r="CA26" s="92">
        <v>53</v>
      </c>
      <c r="CB26" s="92">
        <v>79</v>
      </c>
      <c r="CC26" s="92">
        <v>83</v>
      </c>
      <c r="CD26" s="92">
        <v>65</v>
      </c>
      <c r="CE26" s="92">
        <v>74</v>
      </c>
      <c r="CF26" s="92">
        <v>74</v>
      </c>
      <c r="CG26" s="92">
        <v>100</v>
      </c>
      <c r="CH26" s="92">
        <v>94</v>
      </c>
      <c r="CI26" s="92">
        <v>72</v>
      </c>
      <c r="CJ26" s="92">
        <v>98</v>
      </c>
      <c r="CK26" s="92">
        <v>88</v>
      </c>
      <c r="CL26" s="92">
        <v>82</v>
      </c>
      <c r="CM26" s="92">
        <v>99</v>
      </c>
      <c r="CN26" s="92">
        <v>68</v>
      </c>
      <c r="CO26" s="92">
        <v>92</v>
      </c>
      <c r="CP26" s="92">
        <v>108</v>
      </c>
      <c r="CQ26" s="92">
        <v>98</v>
      </c>
      <c r="CR26" s="92">
        <v>106</v>
      </c>
      <c r="CS26" s="92">
        <v>102</v>
      </c>
      <c r="CT26" s="92">
        <f>+CS26+1</f>
        <v>103</v>
      </c>
      <c r="CU26" s="92">
        <f t="shared" ref="CU26:CX26" si="96">+CT26+1</f>
        <v>104</v>
      </c>
      <c r="CV26" s="92">
        <f t="shared" si="96"/>
        <v>105</v>
      </c>
      <c r="CW26" s="92">
        <f t="shared" si="96"/>
        <v>106</v>
      </c>
      <c r="CX26" s="92">
        <f t="shared" si="96"/>
        <v>107</v>
      </c>
      <c r="CY26" s="92"/>
      <c r="CZ26" s="92"/>
      <c r="DA26" s="47"/>
      <c r="DB26" s="9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>
        <f t="shared" si="87"/>
        <v>203</v>
      </c>
      <c r="DU26" s="92">
        <f t="shared" si="88"/>
        <v>280</v>
      </c>
      <c r="DV26" s="92">
        <f t="shared" si="89"/>
        <v>342</v>
      </c>
      <c r="DW26" s="92">
        <f t="shared" si="90"/>
        <v>340</v>
      </c>
      <c r="DX26" s="92">
        <f t="shared" si="9"/>
        <v>367</v>
      </c>
      <c r="DY26" s="92">
        <f t="shared" ref="DY26:EJ26" si="97">DX26*0.95</f>
        <v>348.65</v>
      </c>
      <c r="DZ26" s="92">
        <f t="shared" si="97"/>
        <v>331.21749999999997</v>
      </c>
      <c r="EA26" s="92">
        <f t="shared" si="97"/>
        <v>314.65662499999996</v>
      </c>
      <c r="EB26" s="92">
        <f t="shared" si="97"/>
        <v>298.92379374999996</v>
      </c>
      <c r="EC26" s="92">
        <f t="shared" si="97"/>
        <v>283.97760406249995</v>
      </c>
      <c r="ED26" s="92">
        <f t="shared" si="97"/>
        <v>269.77872385937496</v>
      </c>
      <c r="EE26" s="92">
        <f t="shared" si="97"/>
        <v>256.2897876664062</v>
      </c>
      <c r="EF26" s="92">
        <f t="shared" si="97"/>
        <v>243.47529828308586</v>
      </c>
      <c r="EG26" s="92">
        <f t="shared" si="97"/>
        <v>231.30153336893156</v>
      </c>
      <c r="EH26" s="92">
        <f t="shared" si="97"/>
        <v>219.73645670048498</v>
      </c>
      <c r="EI26" s="92">
        <f t="shared" si="97"/>
        <v>208.74963386546071</v>
      </c>
      <c r="EJ26" s="92">
        <f t="shared" si="97"/>
        <v>198.31215217218767</v>
      </c>
    </row>
    <row r="27" spans="2:140" s="8" customFormat="1" ht="12.75" customHeight="1">
      <c r="B27" s="45" t="s">
        <v>748</v>
      </c>
      <c r="C27" s="9"/>
      <c r="D27" s="9"/>
      <c r="E27" s="9"/>
      <c r="F27" s="9"/>
      <c r="G27" s="7"/>
      <c r="H27" s="7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1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>
        <v>84</v>
      </c>
      <c r="BP27" s="92">
        <v>67</v>
      </c>
      <c r="BQ27" s="92">
        <v>70</v>
      </c>
      <c r="BR27" s="92">
        <v>79</v>
      </c>
      <c r="BS27" s="92">
        <v>68</v>
      </c>
      <c r="BT27" s="92">
        <v>75</v>
      </c>
      <c r="BU27" s="92">
        <v>94</v>
      </c>
      <c r="BV27" s="92">
        <v>91</v>
      </c>
      <c r="BW27" s="92">
        <v>48</v>
      </c>
      <c r="BX27" s="92">
        <v>53</v>
      </c>
      <c r="BY27" s="92">
        <v>57</v>
      </c>
      <c r="BZ27" s="92">
        <v>57</v>
      </c>
      <c r="CA27" s="92">
        <v>56</v>
      </c>
      <c r="CB27" s="92">
        <v>57</v>
      </c>
      <c r="CC27" s="92">
        <v>55</v>
      </c>
      <c r="CD27" s="92">
        <v>53</v>
      </c>
      <c r="CE27" s="92">
        <v>55</v>
      </c>
      <c r="CF27" s="92">
        <v>74</v>
      </c>
      <c r="CG27" s="92">
        <v>59</v>
      </c>
      <c r="CH27" s="92">
        <v>63</v>
      </c>
      <c r="CI27" s="92">
        <v>61</v>
      </c>
      <c r="CJ27" s="92">
        <v>63</v>
      </c>
      <c r="CK27" s="92">
        <v>57</v>
      </c>
      <c r="CL27" s="92">
        <v>57</v>
      </c>
      <c r="CM27" s="92">
        <v>59</v>
      </c>
      <c r="CN27" s="92">
        <v>65</v>
      </c>
      <c r="CO27" s="92">
        <v>65</v>
      </c>
      <c r="CP27" s="92">
        <v>66</v>
      </c>
      <c r="CQ27" s="92">
        <v>70</v>
      </c>
      <c r="CR27" s="92">
        <v>72</v>
      </c>
      <c r="CS27" s="92">
        <v>72</v>
      </c>
      <c r="CT27" s="92">
        <f>+CS27+1</f>
        <v>73</v>
      </c>
      <c r="CU27" s="92">
        <f t="shared" ref="CU27:CX27" si="98">+CT27+1</f>
        <v>74</v>
      </c>
      <c r="CV27" s="92">
        <f t="shared" si="98"/>
        <v>75</v>
      </c>
      <c r="CW27" s="92">
        <f t="shared" si="98"/>
        <v>76</v>
      </c>
      <c r="CX27" s="92">
        <f t="shared" si="98"/>
        <v>77</v>
      </c>
      <c r="CY27" s="92"/>
      <c r="CZ27" s="92"/>
      <c r="DA27" s="47"/>
      <c r="DB27" s="9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>
        <f t="shared" si="13"/>
        <v>300</v>
      </c>
      <c r="DS27" s="92">
        <f t="shared" si="14"/>
        <v>328</v>
      </c>
      <c r="DT27" s="92">
        <f t="shared" si="87"/>
        <v>215</v>
      </c>
      <c r="DU27" s="92">
        <f t="shared" si="88"/>
        <v>221</v>
      </c>
      <c r="DV27" s="92">
        <f t="shared" si="89"/>
        <v>251</v>
      </c>
      <c r="DW27" s="92">
        <f t="shared" si="90"/>
        <v>238</v>
      </c>
      <c r="DX27" s="92">
        <f t="shared" si="9"/>
        <v>255</v>
      </c>
      <c r="DY27" s="92">
        <f t="shared" ref="DY27:EJ27" si="99">DX27*0.95</f>
        <v>242.25</v>
      </c>
      <c r="DZ27" s="92">
        <f t="shared" si="99"/>
        <v>230.13749999999999</v>
      </c>
      <c r="EA27" s="92">
        <f t="shared" si="99"/>
        <v>218.63062499999998</v>
      </c>
      <c r="EB27" s="92">
        <f t="shared" si="99"/>
        <v>207.69909374999997</v>
      </c>
      <c r="EC27" s="92">
        <f t="shared" si="99"/>
        <v>197.31413906249998</v>
      </c>
      <c r="ED27" s="92">
        <f t="shared" si="99"/>
        <v>187.44843210937498</v>
      </c>
      <c r="EE27" s="92">
        <f t="shared" si="99"/>
        <v>178.07601050390622</v>
      </c>
      <c r="EF27" s="92">
        <f t="shared" si="99"/>
        <v>169.1722099787109</v>
      </c>
      <c r="EG27" s="92">
        <f t="shared" si="99"/>
        <v>160.71359947977535</v>
      </c>
      <c r="EH27" s="92">
        <f t="shared" si="99"/>
        <v>152.67791950578658</v>
      </c>
      <c r="EI27" s="92">
        <f t="shared" si="99"/>
        <v>145.04402353049724</v>
      </c>
      <c r="EJ27" s="92">
        <f t="shared" si="99"/>
        <v>137.79182235397238</v>
      </c>
    </row>
    <row r="28" spans="2:140" s="8" customFormat="1" ht="12.75" customHeight="1">
      <c r="B28" s="45" t="s">
        <v>679</v>
      </c>
      <c r="C28" s="9"/>
      <c r="D28" s="9"/>
      <c r="E28" s="9"/>
      <c r="F28" s="9"/>
      <c r="G28" s="7"/>
      <c r="H28" s="7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1"/>
      <c r="AD28" s="92"/>
      <c r="AE28" s="92"/>
      <c r="AF28" s="92"/>
      <c r="AG28" s="92"/>
      <c r="AH28" s="92"/>
      <c r="AI28" s="94"/>
      <c r="AJ28" s="92"/>
      <c r="AK28" s="92"/>
      <c r="AL28" s="92"/>
      <c r="AM28" s="92"/>
      <c r="AN28" s="92"/>
      <c r="AO28" s="92"/>
      <c r="AP28" s="92"/>
      <c r="AQ28" s="92">
        <v>55</v>
      </c>
      <c r="AR28" s="92">
        <v>56</v>
      </c>
      <c r="AS28" s="92">
        <v>61</v>
      </c>
      <c r="AT28" s="92">
        <v>59</v>
      </c>
      <c r="AU28" s="92">
        <v>59</v>
      </c>
      <c r="AV28" s="92">
        <v>66</v>
      </c>
      <c r="AW28" s="92">
        <v>66</v>
      </c>
      <c r="AX28" s="92">
        <v>68</v>
      </c>
      <c r="AY28" s="92">
        <v>65</v>
      </c>
      <c r="AZ28" s="92">
        <v>71</v>
      </c>
      <c r="BA28" s="92">
        <v>75</v>
      </c>
      <c r="BB28" s="92">
        <v>98</v>
      </c>
      <c r="BC28" s="92">
        <v>74</v>
      </c>
      <c r="BD28" s="92">
        <v>98</v>
      </c>
      <c r="BE28" s="92">
        <v>107</v>
      </c>
      <c r="BF28" s="92">
        <v>122</v>
      </c>
      <c r="BG28" s="92">
        <v>111</v>
      </c>
      <c r="BH28" s="92">
        <v>117</v>
      </c>
      <c r="BI28" s="92">
        <v>132</v>
      </c>
      <c r="BJ28" s="92">
        <v>128</v>
      </c>
      <c r="BK28" s="92">
        <v>145</v>
      </c>
      <c r="BL28" s="92">
        <v>143</v>
      </c>
      <c r="BM28" s="92">
        <v>147</v>
      </c>
      <c r="BN28" s="92">
        <v>161</v>
      </c>
      <c r="BO28" s="92">
        <v>141</v>
      </c>
      <c r="BP28" s="92">
        <v>155</v>
      </c>
      <c r="BQ28" s="92">
        <v>162</v>
      </c>
      <c r="BR28" s="92">
        <v>179</v>
      </c>
      <c r="BS28" s="92">
        <v>176</v>
      </c>
      <c r="BT28" s="92">
        <v>188</v>
      </c>
      <c r="BU28" s="92">
        <v>188</v>
      </c>
      <c r="BV28" s="92">
        <v>191</v>
      </c>
      <c r="BW28" s="92">
        <v>190</v>
      </c>
      <c r="BX28" s="92">
        <v>193</v>
      </c>
      <c r="BY28" s="92">
        <v>177</v>
      </c>
      <c r="BZ28" s="92">
        <v>103</v>
      </c>
      <c r="CA28" s="92">
        <v>94</v>
      </c>
      <c r="CB28" s="92">
        <v>73</v>
      </c>
      <c r="CC28" s="92">
        <v>79</v>
      </c>
      <c r="CD28" s="92">
        <v>82</v>
      </c>
      <c r="CE28" s="92">
        <v>67</v>
      </c>
      <c r="CF28" s="92">
        <v>66</v>
      </c>
      <c r="CG28" s="92">
        <v>64</v>
      </c>
      <c r="CH28" s="92">
        <v>62</v>
      </c>
      <c r="CI28" s="92">
        <v>57</v>
      </c>
      <c r="CJ28" s="92">
        <v>60</v>
      </c>
      <c r="CK28" s="92">
        <v>62</v>
      </c>
      <c r="CL28" s="92">
        <v>58</v>
      </c>
      <c r="CM28" s="92">
        <v>60</v>
      </c>
      <c r="CN28" s="92">
        <v>55</v>
      </c>
      <c r="CO28" s="92">
        <v>51</v>
      </c>
      <c r="CP28" s="92">
        <v>46</v>
      </c>
      <c r="CQ28" s="92">
        <v>56</v>
      </c>
      <c r="CR28" s="92">
        <v>45</v>
      </c>
      <c r="CS28" s="92">
        <v>41</v>
      </c>
      <c r="CT28" s="92">
        <f>+CS28</f>
        <v>41</v>
      </c>
      <c r="CU28" s="92">
        <f t="shared" ref="CU28:CX28" si="100">+CT28</f>
        <v>41</v>
      </c>
      <c r="CV28" s="92">
        <f t="shared" si="100"/>
        <v>41</v>
      </c>
      <c r="CW28" s="92">
        <f t="shared" si="100"/>
        <v>41</v>
      </c>
      <c r="CX28" s="92">
        <f t="shared" si="100"/>
        <v>41</v>
      </c>
      <c r="CY28" s="92"/>
      <c r="CZ28" s="92"/>
      <c r="DA28" s="47"/>
      <c r="DB28" s="9"/>
      <c r="DC28" s="96"/>
      <c r="DD28" s="92"/>
      <c r="DE28" s="92"/>
      <c r="DF28" s="92"/>
      <c r="DG28" s="92"/>
      <c r="DH28" s="92"/>
      <c r="DI28" s="92"/>
      <c r="DJ28" s="92"/>
      <c r="DK28" s="92"/>
      <c r="DL28" s="92">
        <f t="shared" si="73"/>
        <v>231</v>
      </c>
      <c r="DM28" s="92">
        <f t="shared" si="29"/>
        <v>259</v>
      </c>
      <c r="DN28" s="92">
        <f t="shared" si="93"/>
        <v>309</v>
      </c>
      <c r="DO28" s="92">
        <f t="shared" si="94"/>
        <v>401</v>
      </c>
      <c r="DP28" s="92">
        <f t="shared" si="32"/>
        <v>488</v>
      </c>
      <c r="DQ28" s="92">
        <f t="shared" si="33"/>
        <v>596</v>
      </c>
      <c r="DR28" s="92">
        <f t="shared" si="13"/>
        <v>637</v>
      </c>
      <c r="DS28" s="92">
        <f t="shared" si="14"/>
        <v>743</v>
      </c>
      <c r="DT28" s="92">
        <f t="shared" si="87"/>
        <v>663</v>
      </c>
      <c r="DU28" s="92">
        <f t="shared" si="88"/>
        <v>328</v>
      </c>
      <c r="DV28" s="92">
        <f t="shared" si="89"/>
        <v>259</v>
      </c>
      <c r="DW28" s="92">
        <f t="shared" si="90"/>
        <v>237</v>
      </c>
      <c r="DX28" s="92">
        <f t="shared" si="9"/>
        <v>212</v>
      </c>
      <c r="DY28" s="92">
        <f>DX28*0.9</f>
        <v>190.8</v>
      </c>
      <c r="DZ28" s="92">
        <f t="shared" ref="DZ28:EJ29" si="101">DY28*0.9</f>
        <v>171.72000000000003</v>
      </c>
      <c r="EA28" s="92">
        <f t="shared" si="101"/>
        <v>154.54800000000003</v>
      </c>
      <c r="EB28" s="92">
        <f t="shared" si="101"/>
        <v>139.09320000000002</v>
      </c>
      <c r="EC28" s="92">
        <f t="shared" si="101"/>
        <v>125.18388000000003</v>
      </c>
      <c r="ED28" s="92">
        <f t="shared" si="101"/>
        <v>112.66549200000003</v>
      </c>
      <c r="EE28" s="92">
        <f t="shared" si="101"/>
        <v>101.39894280000003</v>
      </c>
      <c r="EF28" s="92">
        <f t="shared" si="101"/>
        <v>91.259048520000022</v>
      </c>
      <c r="EG28" s="92">
        <f t="shared" si="101"/>
        <v>82.133143668000017</v>
      </c>
      <c r="EH28" s="92">
        <f t="shared" si="101"/>
        <v>73.919829301200011</v>
      </c>
      <c r="EI28" s="92">
        <f t="shared" si="101"/>
        <v>66.527846371080017</v>
      </c>
      <c r="EJ28" s="92">
        <f t="shared" si="101"/>
        <v>59.875061733972018</v>
      </c>
    </row>
    <row r="29" spans="2:140" s="8" customFormat="1" ht="12.75" customHeight="1">
      <c r="B29" s="45" t="s">
        <v>949</v>
      </c>
      <c r="C29" s="9"/>
      <c r="D29" s="9"/>
      <c r="E29" s="9"/>
      <c r="F29" s="9"/>
      <c r="G29" s="7"/>
      <c r="H29" s="7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1"/>
      <c r="AD29" s="92"/>
      <c r="AE29" s="92"/>
      <c r="AF29" s="92"/>
      <c r="AG29" s="92"/>
      <c r="AH29" s="92"/>
      <c r="AI29" s="94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92"/>
      <c r="BX29" s="92"/>
      <c r="BY29" s="92"/>
      <c r="BZ29" s="92"/>
      <c r="CA29" s="92"/>
      <c r="CB29" s="92"/>
      <c r="CC29" s="92"/>
      <c r="CD29" s="92"/>
      <c r="CE29" s="92"/>
      <c r="CF29" s="92"/>
      <c r="CG29" s="92"/>
      <c r="CH29" s="92"/>
      <c r="CI29" s="92"/>
      <c r="CJ29" s="92"/>
      <c r="CK29" s="92"/>
      <c r="CL29" s="92"/>
      <c r="CM29" s="92">
        <v>44</v>
      </c>
      <c r="CN29" s="92">
        <v>50</v>
      </c>
      <c r="CO29" s="92">
        <v>54</v>
      </c>
      <c r="CP29" s="92">
        <v>54</v>
      </c>
      <c r="CQ29" s="92">
        <v>56</v>
      </c>
      <c r="CR29" s="92">
        <v>60</v>
      </c>
      <c r="CS29" s="92">
        <v>65</v>
      </c>
      <c r="CT29" s="92">
        <f>+CS29+1</f>
        <v>66</v>
      </c>
      <c r="CU29" s="92">
        <f t="shared" ref="CU29:CX29" si="102">+CT29+1</f>
        <v>67</v>
      </c>
      <c r="CV29" s="92">
        <f t="shared" si="102"/>
        <v>68</v>
      </c>
      <c r="CW29" s="92">
        <f t="shared" si="102"/>
        <v>69</v>
      </c>
      <c r="CX29" s="92">
        <f t="shared" si="102"/>
        <v>70</v>
      </c>
      <c r="CY29" s="92"/>
      <c r="CZ29" s="92"/>
      <c r="DA29" s="47"/>
      <c r="DB29" s="9"/>
      <c r="DC29" s="96"/>
      <c r="DD29" s="92"/>
      <c r="DE29" s="92"/>
      <c r="DF29" s="92"/>
      <c r="DG29" s="92"/>
      <c r="DH29" s="92"/>
      <c r="DI29" s="92"/>
      <c r="DJ29" s="92"/>
      <c r="DK29" s="92"/>
      <c r="DL29" s="92"/>
      <c r="DM29" s="92"/>
      <c r="DN29" s="92"/>
      <c r="DO29" s="92"/>
      <c r="DP29" s="92"/>
      <c r="DQ29" s="92"/>
      <c r="DR29" s="92"/>
      <c r="DS29" s="92"/>
      <c r="DT29" s="92"/>
      <c r="DU29" s="92"/>
      <c r="DV29" s="92"/>
      <c r="DW29" s="92"/>
      <c r="DX29" s="92">
        <f t="shared" si="9"/>
        <v>202</v>
      </c>
      <c r="DY29" s="92">
        <f>DX29*0.9</f>
        <v>181.8</v>
      </c>
      <c r="DZ29" s="92">
        <f t="shared" si="101"/>
        <v>163.62</v>
      </c>
      <c r="EA29" s="92">
        <f t="shared" si="101"/>
        <v>147.25800000000001</v>
      </c>
      <c r="EB29" s="92">
        <f t="shared" si="101"/>
        <v>132.53220000000002</v>
      </c>
      <c r="EC29" s="92">
        <f t="shared" si="101"/>
        <v>119.27898000000002</v>
      </c>
      <c r="ED29" s="92">
        <f t="shared" si="101"/>
        <v>107.35108200000002</v>
      </c>
      <c r="EE29" s="92">
        <f t="shared" si="101"/>
        <v>96.61597380000002</v>
      </c>
      <c r="EF29" s="92">
        <f t="shared" si="101"/>
        <v>86.954376420000017</v>
      </c>
      <c r="EG29" s="92">
        <f t="shared" si="101"/>
        <v>78.258938778000015</v>
      </c>
      <c r="EH29" s="92">
        <f t="shared" si="101"/>
        <v>70.433044900200017</v>
      </c>
      <c r="EI29" s="92">
        <f t="shared" si="101"/>
        <v>63.389740410180018</v>
      </c>
      <c r="EJ29" s="92">
        <f t="shared" si="101"/>
        <v>57.050766369162019</v>
      </c>
    </row>
    <row r="30" spans="2:140" s="8" customFormat="1" ht="12.75" customHeight="1">
      <c r="B30" s="45" t="s">
        <v>950</v>
      </c>
      <c r="C30" s="9"/>
      <c r="D30" s="9"/>
      <c r="E30" s="9"/>
      <c r="F30" s="9"/>
      <c r="G30" s="7"/>
      <c r="H30" s="7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1"/>
      <c r="AD30" s="92"/>
      <c r="AE30" s="92"/>
      <c r="AF30" s="92"/>
      <c r="AG30" s="92"/>
      <c r="AH30" s="92"/>
      <c r="AI30" s="94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>
        <v>34</v>
      </c>
      <c r="CN30" s="92">
        <v>38</v>
      </c>
      <c r="CO30" s="92">
        <v>37</v>
      </c>
      <c r="CP30" s="92">
        <v>33</v>
      </c>
      <c r="CQ30" s="92">
        <v>42</v>
      </c>
      <c r="CR30" s="92">
        <v>39</v>
      </c>
      <c r="CS30" s="92">
        <v>42</v>
      </c>
      <c r="CT30" s="92">
        <f>+CS30+1</f>
        <v>43</v>
      </c>
      <c r="CU30" s="92">
        <f t="shared" ref="CU30:CX30" si="103">+CT30+1</f>
        <v>44</v>
      </c>
      <c r="CV30" s="92">
        <f t="shared" si="103"/>
        <v>45</v>
      </c>
      <c r="CW30" s="92">
        <f t="shared" si="103"/>
        <v>46</v>
      </c>
      <c r="CX30" s="92">
        <f t="shared" si="103"/>
        <v>47</v>
      </c>
      <c r="CY30" s="92"/>
      <c r="CZ30" s="92"/>
      <c r="DA30" s="47"/>
      <c r="DB30" s="9"/>
      <c r="DC30" s="96"/>
      <c r="DD30" s="92"/>
      <c r="DE30" s="92"/>
      <c r="DF30" s="92"/>
      <c r="DG30" s="92"/>
      <c r="DH30" s="92"/>
      <c r="DI30" s="92"/>
      <c r="DJ30" s="92"/>
      <c r="DK30" s="92"/>
      <c r="DL30" s="92"/>
      <c r="DM30" s="92"/>
      <c r="DN30" s="92"/>
      <c r="DO30" s="92"/>
      <c r="DP30" s="92"/>
      <c r="DQ30" s="92"/>
      <c r="DR30" s="92"/>
      <c r="DS30" s="92"/>
      <c r="DT30" s="92"/>
      <c r="DU30" s="92"/>
      <c r="DV30" s="92"/>
      <c r="DW30" s="92"/>
      <c r="DX30" s="92">
        <f t="shared" si="9"/>
        <v>142</v>
      </c>
      <c r="DY30" s="92"/>
      <c r="DZ30" s="92"/>
      <c r="EA30" s="92"/>
      <c r="EB30" s="92"/>
      <c r="EC30" s="92"/>
      <c r="ED30" s="92"/>
      <c r="EE30" s="92"/>
      <c r="EF30" s="92"/>
      <c r="EG30" s="92"/>
      <c r="EH30" s="92"/>
      <c r="EI30" s="92"/>
      <c r="EJ30" s="92"/>
    </row>
    <row r="31" spans="2:140" s="8" customFormat="1" ht="12.75" customHeight="1">
      <c r="B31" s="45" t="s">
        <v>975</v>
      </c>
      <c r="C31" s="9"/>
      <c r="D31" s="9"/>
      <c r="E31" s="9"/>
      <c r="F31" s="9"/>
      <c r="G31" s="7"/>
      <c r="H31" s="7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1"/>
      <c r="AD31" s="92"/>
      <c r="AE31" s="92"/>
      <c r="AF31" s="92"/>
      <c r="AG31" s="92"/>
      <c r="AH31" s="92"/>
      <c r="AI31" s="94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>
        <v>70</v>
      </c>
      <c r="CS31" s="92">
        <v>149</v>
      </c>
      <c r="CT31" s="92">
        <f>+CS31+50</f>
        <v>199</v>
      </c>
      <c r="CU31" s="92">
        <f t="shared" ref="CU31:CX31" si="104">+CT31+50</f>
        <v>249</v>
      </c>
      <c r="CV31" s="92">
        <f t="shared" si="104"/>
        <v>299</v>
      </c>
      <c r="CW31" s="92">
        <f t="shared" si="104"/>
        <v>349</v>
      </c>
      <c r="CX31" s="92">
        <f t="shared" si="104"/>
        <v>399</v>
      </c>
      <c r="CY31" s="92"/>
      <c r="CZ31" s="92"/>
      <c r="DA31" s="47"/>
      <c r="DB31" s="9"/>
      <c r="DC31" s="96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  <c r="DQ31" s="92"/>
      <c r="DR31" s="92"/>
      <c r="DS31" s="92"/>
      <c r="DT31" s="92"/>
      <c r="DU31" s="92"/>
      <c r="DV31" s="92"/>
      <c r="DW31" s="92"/>
      <c r="DX31" s="92">
        <v>50</v>
      </c>
      <c r="DY31" s="92">
        <v>500</v>
      </c>
      <c r="DZ31" s="92">
        <v>1000</v>
      </c>
      <c r="EA31" s="92">
        <v>1250</v>
      </c>
      <c r="EB31" s="90">
        <v>1300</v>
      </c>
      <c r="EC31" s="85">
        <f>EB31*1.01</f>
        <v>1313</v>
      </c>
      <c r="ED31" s="85">
        <f t="shared" ref="ED31:EJ31" si="105">EC31*1.01</f>
        <v>1326.13</v>
      </c>
      <c r="EE31" s="85">
        <f t="shared" si="105"/>
        <v>1339.3913000000002</v>
      </c>
      <c r="EF31" s="85">
        <f t="shared" si="105"/>
        <v>1352.7852130000003</v>
      </c>
      <c r="EG31" s="85">
        <f t="shared" si="105"/>
        <v>1366.3130651300003</v>
      </c>
      <c r="EH31" s="85">
        <f t="shared" si="105"/>
        <v>1379.9761957813002</v>
      </c>
      <c r="EI31" s="85">
        <f t="shared" si="105"/>
        <v>1393.7759577391132</v>
      </c>
      <c r="EJ31" s="85">
        <f t="shared" si="105"/>
        <v>1407.7137173165042</v>
      </c>
    </row>
    <row r="32" spans="2:140" s="8" customFormat="1" ht="3.75" customHeight="1">
      <c r="B32" s="45" t="s">
        <v>353</v>
      </c>
      <c r="C32" s="9"/>
      <c r="D32" s="9"/>
      <c r="E32" s="9"/>
      <c r="F32" s="9"/>
      <c r="G32" s="7"/>
      <c r="H32" s="7"/>
      <c r="I32" s="92"/>
      <c r="J32" s="92"/>
      <c r="K32" s="92"/>
      <c r="L32" s="92"/>
      <c r="M32" s="92"/>
      <c r="N32" s="92"/>
      <c r="O32" s="92">
        <v>131</v>
      </c>
      <c r="P32" s="92">
        <v>133</v>
      </c>
      <c r="Q32" s="92">
        <v>138</v>
      </c>
      <c r="R32" s="92">
        <v>157</v>
      </c>
      <c r="S32" s="92">
        <v>140</v>
      </c>
      <c r="T32" s="92">
        <v>153</v>
      </c>
      <c r="U32" s="92">
        <v>156</v>
      </c>
      <c r="V32" s="92">
        <v>167</v>
      </c>
      <c r="W32" s="92">
        <v>152</v>
      </c>
      <c r="X32" s="92">
        <v>175</v>
      </c>
      <c r="Y32" s="92">
        <v>191</v>
      </c>
      <c r="Z32" s="92">
        <v>179</v>
      </c>
      <c r="AA32" s="92">
        <v>186</v>
      </c>
      <c r="AB32" s="92">
        <v>192</v>
      </c>
      <c r="AC32" s="91">
        <v>197</v>
      </c>
      <c r="AD32" s="92">
        <f>AC32</f>
        <v>197</v>
      </c>
      <c r="AE32" s="92">
        <v>201</v>
      </c>
      <c r="AF32" s="92">
        <v>217</v>
      </c>
      <c r="AG32" s="92">
        <v>209</v>
      </c>
      <c r="AH32" s="92">
        <f>AG32</f>
        <v>209</v>
      </c>
      <c r="AI32" s="127">
        <v>121</v>
      </c>
      <c r="AJ32" s="92">
        <v>125</v>
      </c>
      <c r="AK32" s="92">
        <v>123</v>
      </c>
      <c r="AL32" s="92">
        <v>134</v>
      </c>
      <c r="AM32" s="92">
        <v>115</v>
      </c>
      <c r="AN32" s="92">
        <v>123</v>
      </c>
      <c r="AO32" s="92">
        <v>114</v>
      </c>
      <c r="AP32" s="92">
        <v>131</v>
      </c>
      <c r="AQ32" s="92">
        <v>114</v>
      </c>
      <c r="AR32" s="92">
        <v>122</v>
      </c>
      <c r="AS32" s="92">
        <v>124</v>
      </c>
      <c r="AT32" s="92">
        <v>117</v>
      </c>
      <c r="AU32" s="92">
        <v>124</v>
      </c>
      <c r="AV32" s="92">
        <v>105</v>
      </c>
      <c r="AW32" s="92">
        <v>102</v>
      </c>
      <c r="AX32" s="92">
        <v>113</v>
      </c>
      <c r="AY32" s="92">
        <v>105</v>
      </c>
      <c r="AZ32" s="92">
        <v>103</v>
      </c>
      <c r="BA32" s="92">
        <v>104</v>
      </c>
      <c r="BB32" s="92">
        <v>103</v>
      </c>
      <c r="BC32" s="92">
        <v>99</v>
      </c>
      <c r="BD32" s="92">
        <v>100</v>
      </c>
      <c r="BE32" s="92">
        <v>34</v>
      </c>
      <c r="BF32" s="92">
        <v>25</v>
      </c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92"/>
      <c r="CY32" s="92"/>
      <c r="CZ32" s="92"/>
      <c r="DA32" s="47"/>
      <c r="DB32" s="9" t="s">
        <v>440</v>
      </c>
      <c r="DC32" s="92" t="s">
        <v>440</v>
      </c>
      <c r="DD32" s="92">
        <v>484</v>
      </c>
      <c r="DE32" s="92">
        <f>SUM(O32:R32)</f>
        <v>559</v>
      </c>
      <c r="DF32" s="92">
        <f>SUM(S32:V32)</f>
        <v>616</v>
      </c>
      <c r="DG32" s="92">
        <f>SUM(W32:Z32)</f>
        <v>697</v>
      </c>
      <c r="DH32" s="92">
        <f>SUM(AA32:AD32)</f>
        <v>772</v>
      </c>
      <c r="DI32" s="92">
        <f>SUM(AE32:AH32)</f>
        <v>836</v>
      </c>
      <c r="DJ32" s="92">
        <f>SUM(AI32:AL32)</f>
        <v>503</v>
      </c>
      <c r="DK32" s="92">
        <f>SUM(AM32:AP32)</f>
        <v>483</v>
      </c>
      <c r="DL32" s="92">
        <f>SUM(AQ32:AT32)</f>
        <v>477</v>
      </c>
      <c r="DM32" s="92">
        <f>SUM(AU32:AX32)</f>
        <v>444</v>
      </c>
      <c r="DN32" s="92">
        <f>SUM(AY32:BB32)</f>
        <v>415</v>
      </c>
      <c r="DO32" s="92">
        <f>SUM(BC32:BF32)</f>
        <v>258</v>
      </c>
      <c r="DP32" s="92"/>
      <c r="DQ32" s="92"/>
      <c r="DR32" s="92"/>
      <c r="DS32" s="92"/>
      <c r="DT32" s="92"/>
      <c r="DU32" s="92"/>
      <c r="DV32" s="92"/>
      <c r="DW32" s="92"/>
      <c r="DX32" s="92"/>
      <c r="DY32" s="92"/>
      <c r="DZ32" s="92"/>
      <c r="EA32" s="92"/>
      <c r="EC32" s="28"/>
    </row>
    <row r="33" spans="2:136" s="8" customFormat="1" ht="3.75" customHeight="1">
      <c r="B33" s="45" t="s">
        <v>754</v>
      </c>
      <c r="C33" s="9"/>
      <c r="D33" s="9"/>
      <c r="E33" s="9"/>
      <c r="F33" s="9"/>
      <c r="G33" s="7"/>
      <c r="H33" s="7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1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>
        <v>50</v>
      </c>
      <c r="BL33" s="92">
        <v>112</v>
      </c>
      <c r="BM33" s="92">
        <v>164</v>
      </c>
      <c r="BN33" s="92">
        <v>229</v>
      </c>
      <c r="BO33" s="92">
        <v>378</v>
      </c>
      <c r="BP33" s="92">
        <v>517</v>
      </c>
      <c r="BQ33" s="92">
        <v>468</v>
      </c>
      <c r="BR33" s="92">
        <v>296</v>
      </c>
      <c r="BS33" s="92">
        <v>131</v>
      </c>
      <c r="BT33" s="92">
        <v>113</v>
      </c>
      <c r="BU33" s="92">
        <v>104</v>
      </c>
      <c r="BV33" s="92">
        <v>108</v>
      </c>
      <c r="BW33" s="92">
        <v>114</v>
      </c>
      <c r="BX33" s="92">
        <v>108</v>
      </c>
      <c r="BY33" s="92">
        <v>83</v>
      </c>
      <c r="BZ33" s="92">
        <v>66</v>
      </c>
      <c r="CA33" s="92">
        <v>55</v>
      </c>
      <c r="CB33" s="92">
        <v>39</v>
      </c>
      <c r="CC33" s="94" t="s">
        <v>785</v>
      </c>
      <c r="CD33" s="92">
        <v>45</v>
      </c>
      <c r="CE33" s="92">
        <v>0</v>
      </c>
      <c r="CF33" s="92">
        <v>0</v>
      </c>
      <c r="CG33" s="92">
        <v>0</v>
      </c>
      <c r="CH33" s="92">
        <v>0</v>
      </c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92"/>
      <c r="CY33" s="92"/>
      <c r="CZ33" s="92"/>
      <c r="DA33" s="47"/>
      <c r="DB33" s="9"/>
      <c r="DC33" s="92"/>
      <c r="DD33" s="92"/>
      <c r="DE33" s="92"/>
      <c r="DF33" s="92"/>
      <c r="DG33" s="92"/>
      <c r="DH33" s="92"/>
      <c r="DI33" s="92"/>
      <c r="DJ33" s="92"/>
      <c r="DK33" s="92"/>
      <c r="DL33" s="92"/>
      <c r="DM33" s="92"/>
      <c r="DN33" s="92"/>
      <c r="DO33" s="92"/>
      <c r="DP33" s="92"/>
      <c r="DQ33" s="92">
        <f>SUM(BK33:BN33)</f>
        <v>555</v>
      </c>
      <c r="DR33" s="92">
        <f>SUM(BO33:BR33)</f>
        <v>1659</v>
      </c>
      <c r="DS33" s="92">
        <f>SUM(BS33:BV33)</f>
        <v>456</v>
      </c>
      <c r="DT33" s="92">
        <f>SUM(BW33:BZ33)</f>
        <v>371</v>
      </c>
      <c r="DU33" s="92">
        <f>SUM(CA33:CD33)</f>
        <v>139</v>
      </c>
      <c r="DV33" s="92"/>
      <c r="DW33" s="92"/>
      <c r="DX33" s="92"/>
      <c r="DY33" s="92"/>
      <c r="DZ33" s="92"/>
      <c r="EA33" s="92"/>
      <c r="EC33" s="28"/>
    </row>
    <row r="34" spans="2:136" s="8" customFormat="1" ht="0.75" customHeight="1">
      <c r="B34" s="45" t="s">
        <v>569</v>
      </c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4" t="s">
        <v>530</v>
      </c>
      <c r="AE34" s="94" t="s">
        <v>531</v>
      </c>
      <c r="AF34" s="94" t="s">
        <v>553</v>
      </c>
      <c r="AG34" s="94" t="s">
        <v>547</v>
      </c>
      <c r="AH34" s="94" t="s">
        <v>529</v>
      </c>
      <c r="AI34" s="128" t="s">
        <v>519</v>
      </c>
      <c r="AJ34" s="94" t="s">
        <v>510</v>
      </c>
      <c r="AK34" s="94" t="s">
        <v>503</v>
      </c>
      <c r="AL34" s="92">
        <v>188</v>
      </c>
      <c r="AM34" s="92">
        <v>274</v>
      </c>
      <c r="AN34" s="92">
        <v>271</v>
      </c>
      <c r="AO34" s="92">
        <v>254</v>
      </c>
      <c r="AP34" s="92">
        <v>266</v>
      </c>
      <c r="AQ34" s="92">
        <v>248</v>
      </c>
      <c r="AR34" s="92">
        <v>234</v>
      </c>
      <c r="AS34" s="92">
        <v>223</v>
      </c>
      <c r="AT34" s="92">
        <v>230</v>
      </c>
      <c r="AU34" s="92">
        <v>237</v>
      </c>
      <c r="AV34" s="92">
        <v>225</v>
      </c>
      <c r="AW34" s="92">
        <v>227</v>
      </c>
      <c r="AX34" s="92">
        <v>229</v>
      </c>
      <c r="AY34" s="92">
        <v>216</v>
      </c>
      <c r="AZ34" s="92">
        <v>219</v>
      </c>
      <c r="BA34" s="92">
        <v>162</v>
      </c>
      <c r="BB34" s="92">
        <v>111</v>
      </c>
      <c r="BC34" s="92">
        <v>83</v>
      </c>
      <c r="BD34" s="92">
        <v>93</v>
      </c>
      <c r="BE34" s="92">
        <v>88</v>
      </c>
      <c r="BF34" s="92">
        <v>86</v>
      </c>
      <c r="BG34" s="92">
        <v>74</v>
      </c>
      <c r="BH34" s="92">
        <v>80</v>
      </c>
      <c r="BI34" s="92">
        <v>83</v>
      </c>
      <c r="BJ34" s="92">
        <v>75</v>
      </c>
      <c r="BK34" s="92">
        <v>66</v>
      </c>
      <c r="BL34" s="92">
        <v>73</v>
      </c>
      <c r="BM34" s="92">
        <v>78</v>
      </c>
      <c r="BN34" s="92">
        <v>67</v>
      </c>
      <c r="BO34" s="92">
        <v>66</v>
      </c>
      <c r="BP34" s="92">
        <v>65</v>
      </c>
      <c r="BQ34" s="92">
        <v>68</v>
      </c>
      <c r="BR34" s="92">
        <v>73</v>
      </c>
      <c r="BS34" s="92">
        <v>57</v>
      </c>
      <c r="BT34" s="92">
        <v>56</v>
      </c>
      <c r="BU34" s="92">
        <v>46</v>
      </c>
      <c r="BV34" s="92">
        <v>56</v>
      </c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2"/>
      <c r="CM34" s="92"/>
      <c r="CN34" s="92"/>
      <c r="CO34" s="92"/>
      <c r="CP34" s="92"/>
      <c r="CQ34" s="92"/>
      <c r="CR34" s="92"/>
      <c r="CS34" s="92"/>
      <c r="CT34" s="92"/>
      <c r="CU34" s="92"/>
      <c r="CV34" s="92"/>
      <c r="CW34" s="92"/>
      <c r="CX34" s="92"/>
      <c r="CY34" s="92"/>
      <c r="CZ34" s="92"/>
      <c r="DA34" s="47"/>
      <c r="DB34" s="92"/>
      <c r="DC34" s="92"/>
      <c r="DD34" s="92"/>
      <c r="DE34" s="92"/>
      <c r="DF34" s="92"/>
      <c r="DG34" s="92"/>
      <c r="DH34" s="92"/>
      <c r="DI34" s="94" t="s">
        <v>561</v>
      </c>
      <c r="DJ34" s="94" t="s">
        <v>560</v>
      </c>
      <c r="DK34" s="92">
        <f>SUM(AM34:AP34)</f>
        <v>1065</v>
      </c>
      <c r="DL34" s="92">
        <f t="shared" ref="DL34:DL39" si="106">SUM(AQ34:AT34)</f>
        <v>935</v>
      </c>
      <c r="DM34" s="92">
        <f t="shared" ref="DM34:DM39" si="107">SUM(AU34:AX34)</f>
        <v>918</v>
      </c>
      <c r="DN34" s="92">
        <f t="shared" ref="DN34:DN39" si="108">SUM(AY34:BB34)</f>
        <v>708</v>
      </c>
      <c r="DO34" s="92">
        <f t="shared" ref="DO34:DO39" si="109">SUM(BC34:BF34)</f>
        <v>350</v>
      </c>
      <c r="DP34" s="92">
        <f>SUM(BG34:BJ34)</f>
        <v>312</v>
      </c>
      <c r="DQ34" s="92">
        <f>SUM(BK34:BN34)</f>
        <v>284</v>
      </c>
      <c r="DR34" s="92">
        <f>SUM(BO34:BR34)</f>
        <v>272</v>
      </c>
      <c r="DS34" s="92">
        <f>SUM(BS34:BV34)</f>
        <v>215</v>
      </c>
      <c r="DT34" s="92"/>
      <c r="DU34" s="92"/>
      <c r="DV34" s="92"/>
      <c r="DW34" s="92"/>
      <c r="DX34" s="92"/>
      <c r="DY34" s="92"/>
      <c r="DZ34" s="92"/>
      <c r="EA34" s="92"/>
      <c r="EC34" s="28"/>
    </row>
    <row r="35" spans="2:136" s="8" customFormat="1" ht="0.75" customHeight="1">
      <c r="B35" s="45" t="s">
        <v>9</v>
      </c>
      <c r="C35" s="92">
        <v>1106.9466</v>
      </c>
      <c r="D35" s="92">
        <v>1106.9449999999999</v>
      </c>
      <c r="E35" s="92">
        <v>1348.01179</v>
      </c>
      <c r="F35" s="92">
        <v>1559.5255999999999</v>
      </c>
      <c r="G35" s="92">
        <v>1105</v>
      </c>
      <c r="H35" s="92">
        <v>1175</v>
      </c>
      <c r="I35" s="92">
        <v>1440</v>
      </c>
      <c r="J35" s="92">
        <v>1723</v>
      </c>
      <c r="K35" s="92">
        <v>1175</v>
      </c>
      <c r="L35" s="92">
        <v>1218</v>
      </c>
      <c r="M35" s="92">
        <v>1404.75</v>
      </c>
      <c r="N35" s="92">
        <v>1213.74</v>
      </c>
      <c r="O35" s="92">
        <v>1296</v>
      </c>
      <c r="P35" s="92">
        <v>1370</v>
      </c>
      <c r="Q35" s="92">
        <v>1221</v>
      </c>
      <c r="R35" s="92">
        <v>1311</v>
      </c>
      <c r="S35" s="92">
        <v>1106</v>
      </c>
      <c r="T35" s="92">
        <v>1151</v>
      </c>
      <c r="U35" s="92">
        <v>1050</v>
      </c>
      <c r="V35" s="92">
        <v>1074</v>
      </c>
      <c r="W35" s="92">
        <v>1063</v>
      </c>
      <c r="X35" s="92">
        <v>990</v>
      </c>
      <c r="Y35" s="92">
        <v>371</v>
      </c>
      <c r="Z35" s="92">
        <v>379</v>
      </c>
      <c r="AA35" s="92">
        <v>258</v>
      </c>
      <c r="AB35" s="92">
        <v>178</v>
      </c>
      <c r="AC35" s="92">
        <v>218</v>
      </c>
      <c r="AD35" s="92">
        <v>195</v>
      </c>
      <c r="AE35" s="92">
        <v>179</v>
      </c>
      <c r="AF35" s="92">
        <v>177</v>
      </c>
      <c r="AG35" s="92">
        <v>157</v>
      </c>
      <c r="AH35" s="92">
        <f>AG35*0.8</f>
        <v>125.60000000000001</v>
      </c>
      <c r="AI35" s="127">
        <v>137</v>
      </c>
      <c r="AJ35" s="92">
        <v>141</v>
      </c>
      <c r="AK35" s="92">
        <v>141</v>
      </c>
      <c r="AL35" s="92">
        <v>139</v>
      </c>
      <c r="AM35" s="92">
        <v>116</v>
      </c>
      <c r="AN35" s="92">
        <v>117</v>
      </c>
      <c r="AO35" s="92">
        <v>114</v>
      </c>
      <c r="AP35" s="92">
        <v>121</v>
      </c>
      <c r="AQ35" s="92">
        <v>127</v>
      </c>
      <c r="AR35" s="92">
        <v>107</v>
      </c>
      <c r="AS35" s="92">
        <v>110</v>
      </c>
      <c r="AT35" s="92">
        <v>111</v>
      </c>
      <c r="AU35" s="92">
        <v>103</v>
      </c>
      <c r="AV35" s="92">
        <v>96</v>
      </c>
      <c r="AW35" s="92">
        <v>86</v>
      </c>
      <c r="AX35" s="92">
        <v>98</v>
      </c>
      <c r="AY35" s="92">
        <v>82</v>
      </c>
      <c r="AZ35" s="92">
        <v>74</v>
      </c>
      <c r="BA35" s="92">
        <v>65</v>
      </c>
      <c r="BB35" s="92">
        <v>79</v>
      </c>
      <c r="BC35" s="92">
        <v>64</v>
      </c>
      <c r="BD35" s="92">
        <v>69</v>
      </c>
      <c r="BE35" s="92">
        <v>61</v>
      </c>
      <c r="BF35" s="92">
        <v>64</v>
      </c>
      <c r="BG35" s="92">
        <v>49</v>
      </c>
      <c r="BH35" s="92">
        <v>63</v>
      </c>
      <c r="BI35" s="92">
        <v>56</v>
      </c>
      <c r="BJ35" s="92">
        <v>49</v>
      </c>
      <c r="BK35" s="92">
        <v>46</v>
      </c>
      <c r="BL35" s="92">
        <v>50</v>
      </c>
      <c r="BM35" s="92">
        <v>54</v>
      </c>
      <c r="BN35" s="92">
        <v>37</v>
      </c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2"/>
      <c r="CM35" s="92"/>
      <c r="CN35" s="92"/>
      <c r="CO35" s="92"/>
      <c r="CP35" s="92"/>
      <c r="CQ35" s="92"/>
      <c r="CR35" s="92"/>
      <c r="CS35" s="92"/>
      <c r="CT35" s="92"/>
      <c r="CU35" s="92"/>
      <c r="CV35" s="92"/>
      <c r="CW35" s="92"/>
      <c r="CX35" s="92"/>
      <c r="CY35" s="92"/>
      <c r="CZ35" s="92"/>
      <c r="DA35" s="95"/>
      <c r="DB35" s="92">
        <v>5121</v>
      </c>
      <c r="DC35" s="92"/>
      <c r="DD35" s="92"/>
      <c r="DE35" s="92">
        <f>SUM(O35:R35)</f>
        <v>5198</v>
      </c>
      <c r="DF35" s="92">
        <f>SUM(S35:V35)</f>
        <v>4381</v>
      </c>
      <c r="DG35" s="92">
        <f>SUM(W35:Z35)</f>
        <v>2803</v>
      </c>
      <c r="DH35" s="92">
        <f>SUM(AA35:AD35)</f>
        <v>849</v>
      </c>
      <c r="DI35" s="92">
        <f>SUM(AE35:AH35)</f>
        <v>638.6</v>
      </c>
      <c r="DJ35" s="92">
        <f>SUM(AI35:AL35)</f>
        <v>558</v>
      </c>
      <c r="DK35" s="92">
        <f>SUM(AM35:AP35)</f>
        <v>468</v>
      </c>
      <c r="DL35" s="92">
        <f t="shared" si="106"/>
        <v>455</v>
      </c>
      <c r="DM35" s="92">
        <f t="shared" si="107"/>
        <v>383</v>
      </c>
      <c r="DN35" s="92">
        <f t="shared" si="108"/>
        <v>300</v>
      </c>
      <c r="DO35" s="92">
        <f t="shared" si="109"/>
        <v>258</v>
      </c>
      <c r="DP35" s="92">
        <f>SUM(BG35:BJ35)</f>
        <v>217</v>
      </c>
      <c r="DQ35" s="92">
        <f>SUM(BK35:BN35)</f>
        <v>187</v>
      </c>
      <c r="DR35" s="92"/>
      <c r="DS35" s="92"/>
      <c r="DT35" s="92"/>
      <c r="DU35" s="92"/>
      <c r="DV35" s="92"/>
      <c r="DW35" s="92"/>
      <c r="DX35" s="92"/>
      <c r="DY35" s="92"/>
      <c r="DZ35" s="92"/>
      <c r="EA35" s="92"/>
      <c r="EC35" s="28"/>
      <c r="EF35" s="97"/>
    </row>
    <row r="36" spans="2:136" s="8" customFormat="1" ht="0.75" customHeight="1">
      <c r="B36" s="45" t="s">
        <v>694</v>
      </c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>
        <v>1</v>
      </c>
      <c r="AR36" s="92">
        <v>21</v>
      </c>
      <c r="AS36" s="92">
        <v>31</v>
      </c>
      <c r="AT36" s="92">
        <v>87</v>
      </c>
      <c r="AU36" s="92">
        <v>111</v>
      </c>
      <c r="AV36" s="92">
        <v>126</v>
      </c>
      <c r="AW36" s="92">
        <v>149</v>
      </c>
      <c r="AX36" s="92">
        <v>115</v>
      </c>
      <c r="AY36" s="92">
        <v>110</v>
      </c>
      <c r="AZ36" s="92">
        <v>116</v>
      </c>
      <c r="BA36" s="92">
        <v>121</v>
      </c>
      <c r="BB36" s="92">
        <v>81</v>
      </c>
      <c r="BC36" s="92">
        <v>59</v>
      </c>
      <c r="BD36" s="92">
        <v>46</v>
      </c>
      <c r="BE36" s="92">
        <v>27</v>
      </c>
      <c r="BF36" s="92">
        <v>21</v>
      </c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  <c r="BW36" s="92"/>
      <c r="BX36" s="92"/>
      <c r="BY36" s="92"/>
      <c r="BZ36" s="92"/>
      <c r="CA36" s="92"/>
      <c r="CB36" s="92"/>
      <c r="CC36" s="92"/>
      <c r="CD36" s="92"/>
      <c r="CE36" s="92"/>
      <c r="CF36" s="92"/>
      <c r="CG36" s="92"/>
      <c r="CH36" s="92"/>
      <c r="CI36" s="92"/>
      <c r="CJ36" s="92"/>
      <c r="CK36" s="92"/>
      <c r="CL36" s="92"/>
      <c r="CM36" s="92"/>
      <c r="CN36" s="92"/>
      <c r="CO36" s="92"/>
      <c r="CP36" s="92"/>
      <c r="CQ36" s="92"/>
      <c r="CR36" s="92"/>
      <c r="CS36" s="92"/>
      <c r="CT36" s="92"/>
      <c r="CU36" s="92"/>
      <c r="CV36" s="92"/>
      <c r="CW36" s="92"/>
      <c r="CX36" s="92"/>
      <c r="CY36" s="92"/>
      <c r="CZ36" s="92"/>
      <c r="DA36" s="95"/>
      <c r="DB36" s="92"/>
      <c r="DC36" s="92"/>
      <c r="DD36" s="92"/>
      <c r="DE36" s="92"/>
      <c r="DF36" s="92"/>
      <c r="DG36" s="92"/>
      <c r="DH36" s="92"/>
      <c r="DI36" s="92"/>
      <c r="DJ36" s="92"/>
      <c r="DK36" s="92"/>
      <c r="DL36" s="92">
        <f t="shared" si="106"/>
        <v>140</v>
      </c>
      <c r="DM36" s="92">
        <f t="shared" si="107"/>
        <v>501</v>
      </c>
      <c r="DN36" s="92">
        <f t="shared" si="108"/>
        <v>428</v>
      </c>
      <c r="DO36" s="92">
        <f t="shared" si="109"/>
        <v>153</v>
      </c>
      <c r="DP36" s="92"/>
      <c r="DQ36" s="92"/>
      <c r="DR36" s="92"/>
      <c r="DS36" s="92"/>
      <c r="DT36" s="92"/>
      <c r="DU36" s="92"/>
      <c r="DV36" s="92"/>
      <c r="DW36" s="92"/>
      <c r="DX36" s="92"/>
      <c r="DY36" s="92"/>
      <c r="DZ36" s="92"/>
      <c r="EA36" s="92"/>
      <c r="EC36" s="28"/>
      <c r="EF36" s="97"/>
    </row>
    <row r="37" spans="2:136" s="8" customFormat="1" ht="0.75" customHeight="1">
      <c r="B37" s="45" t="s">
        <v>631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4" t="s">
        <v>522</v>
      </c>
      <c r="AE37" s="94" t="s">
        <v>538</v>
      </c>
      <c r="AF37" s="94" t="s">
        <v>556</v>
      </c>
      <c r="AG37" s="94" t="s">
        <v>549</v>
      </c>
      <c r="AH37" s="94" t="s">
        <v>537</v>
      </c>
      <c r="AI37" s="128" t="s">
        <v>522</v>
      </c>
      <c r="AJ37" s="94" t="s">
        <v>513</v>
      </c>
      <c r="AK37" s="94" t="s">
        <v>504</v>
      </c>
      <c r="AL37" s="92">
        <v>101</v>
      </c>
      <c r="AM37" s="92">
        <f>49+125</f>
        <v>174</v>
      </c>
      <c r="AN37" s="92">
        <v>202</v>
      </c>
      <c r="AO37" s="92">
        <v>137</v>
      </c>
      <c r="AP37" s="92">
        <v>146</v>
      </c>
      <c r="AQ37" s="92">
        <v>155</v>
      </c>
      <c r="AR37" s="92">
        <v>209</v>
      </c>
      <c r="AS37" s="92">
        <v>128</v>
      </c>
      <c r="AT37" s="92">
        <v>129</v>
      </c>
      <c r="AU37" s="92">
        <v>134</v>
      </c>
      <c r="AV37" s="92">
        <v>140</v>
      </c>
      <c r="AW37" s="92">
        <v>64</v>
      </c>
      <c r="AX37" s="92">
        <v>56</v>
      </c>
      <c r="AY37" s="92">
        <v>61</v>
      </c>
      <c r="AZ37" s="92">
        <v>64</v>
      </c>
      <c r="BA37" s="92">
        <v>54</v>
      </c>
      <c r="BB37" s="92">
        <v>55</v>
      </c>
      <c r="BC37" s="92">
        <v>62</v>
      </c>
      <c r="BD37" s="92">
        <v>69</v>
      </c>
      <c r="BE37" s="92">
        <v>49</v>
      </c>
      <c r="BF37" s="92">
        <v>52</v>
      </c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  <c r="BS37" s="92"/>
      <c r="BT37" s="92"/>
      <c r="BU37" s="92"/>
      <c r="BV37" s="92"/>
      <c r="BW37" s="92"/>
      <c r="BX37" s="92"/>
      <c r="BY37" s="92"/>
      <c r="BZ37" s="92"/>
      <c r="CA37" s="92"/>
      <c r="CB37" s="92"/>
      <c r="CC37" s="92"/>
      <c r="CD37" s="92"/>
      <c r="CE37" s="92"/>
      <c r="CF37" s="92"/>
      <c r="CG37" s="92"/>
      <c r="CH37" s="92"/>
      <c r="CI37" s="92"/>
      <c r="CJ37" s="92"/>
      <c r="CK37" s="92"/>
      <c r="CL37" s="92"/>
      <c r="CM37" s="92"/>
      <c r="CN37" s="92"/>
      <c r="CO37" s="92"/>
      <c r="CP37" s="92"/>
      <c r="CQ37" s="92"/>
      <c r="CR37" s="92"/>
      <c r="CS37" s="92"/>
      <c r="CT37" s="92"/>
      <c r="CU37" s="92"/>
      <c r="CV37" s="92"/>
      <c r="CW37" s="92"/>
      <c r="CX37" s="92"/>
      <c r="CY37" s="92"/>
      <c r="CZ37" s="92"/>
      <c r="DA37" s="47"/>
      <c r="DB37" s="92"/>
      <c r="DC37" s="92"/>
      <c r="DD37" s="92"/>
      <c r="DE37" s="92"/>
      <c r="DF37" s="92"/>
      <c r="DG37" s="92"/>
      <c r="DH37" s="92"/>
      <c r="DI37" s="92"/>
      <c r="DJ37" s="92"/>
      <c r="DK37" s="92">
        <f>SUM(AM37:AP37)</f>
        <v>659</v>
      </c>
      <c r="DL37" s="92">
        <f t="shared" si="106"/>
        <v>621</v>
      </c>
      <c r="DM37" s="92">
        <f t="shared" si="107"/>
        <v>394</v>
      </c>
      <c r="DN37" s="92">
        <f t="shared" si="108"/>
        <v>234</v>
      </c>
      <c r="DO37" s="92">
        <f t="shared" si="109"/>
        <v>232</v>
      </c>
      <c r="DP37" s="92"/>
      <c r="DQ37" s="92"/>
      <c r="DR37" s="92"/>
      <c r="DS37" s="92"/>
      <c r="DT37" s="92"/>
      <c r="DU37" s="92"/>
      <c r="DV37" s="92"/>
      <c r="DW37" s="92"/>
      <c r="DX37" s="92"/>
      <c r="DY37" s="92"/>
      <c r="DZ37" s="92"/>
      <c r="EA37" s="92"/>
      <c r="EC37" s="28"/>
      <c r="EF37" s="81"/>
    </row>
    <row r="38" spans="2:136" s="39" customFormat="1" ht="0.75" customHeight="1">
      <c r="B38" s="44" t="s">
        <v>106</v>
      </c>
      <c r="C38" s="40"/>
      <c r="D38" s="40"/>
      <c r="E38" s="40"/>
      <c r="F38" s="40"/>
      <c r="G38" s="40"/>
      <c r="H38" s="40"/>
      <c r="I38" s="92"/>
      <c r="J38" s="92"/>
      <c r="K38" s="92"/>
      <c r="L38" s="92"/>
      <c r="M38" s="92"/>
      <c r="N38" s="92"/>
      <c r="O38" s="92">
        <v>88</v>
      </c>
      <c r="P38" s="92">
        <v>101</v>
      </c>
      <c r="Q38" s="92">
        <v>109</v>
      </c>
      <c r="R38" s="92">
        <v>132</v>
      </c>
      <c r="S38" s="92">
        <v>130</v>
      </c>
      <c r="T38" s="92">
        <v>140</v>
      </c>
      <c r="U38" s="92">
        <v>142</v>
      </c>
      <c r="V38" s="92">
        <v>157</v>
      </c>
      <c r="W38" s="92">
        <v>146</v>
      </c>
      <c r="X38" s="92">
        <v>124</v>
      </c>
      <c r="Y38" s="92">
        <v>127</v>
      </c>
      <c r="Z38" s="92">
        <v>133</v>
      </c>
      <c r="AA38" s="92">
        <v>134</v>
      </c>
      <c r="AB38" s="92">
        <v>123</v>
      </c>
      <c r="AC38" s="91">
        <v>135</v>
      </c>
      <c r="AD38" s="92">
        <f>AC38</f>
        <v>135</v>
      </c>
      <c r="AE38" s="92">
        <v>149</v>
      </c>
      <c r="AF38" s="92">
        <v>161</v>
      </c>
      <c r="AG38" s="92">
        <v>148</v>
      </c>
      <c r="AH38" s="92">
        <f>AG38</f>
        <v>148</v>
      </c>
      <c r="AI38" s="127">
        <v>139</v>
      </c>
      <c r="AJ38" s="92">
        <v>149</v>
      </c>
      <c r="AK38" s="92">
        <v>155</v>
      </c>
      <c r="AL38" s="92">
        <v>175</v>
      </c>
      <c r="AM38" s="92">
        <v>153</v>
      </c>
      <c r="AN38" s="92">
        <v>150</v>
      </c>
      <c r="AO38" s="92">
        <v>135</v>
      </c>
      <c r="AP38" s="92">
        <v>174</v>
      </c>
      <c r="AQ38" s="92">
        <v>158</v>
      </c>
      <c r="AR38" s="92">
        <v>168</v>
      </c>
      <c r="AS38" s="92">
        <v>150</v>
      </c>
      <c r="AT38" s="92">
        <v>164</v>
      </c>
      <c r="AU38" s="92">
        <v>145</v>
      </c>
      <c r="AV38" s="92">
        <v>166</v>
      </c>
      <c r="AW38" s="92">
        <v>163</v>
      </c>
      <c r="AX38" s="92">
        <v>145</v>
      </c>
      <c r="AY38" s="92">
        <v>162</v>
      </c>
      <c r="AZ38" s="92">
        <v>163</v>
      </c>
      <c r="BA38" s="92">
        <v>151</v>
      </c>
      <c r="BB38" s="92">
        <v>183</v>
      </c>
      <c r="BC38" s="92">
        <v>166</v>
      </c>
      <c r="BD38" s="92">
        <v>156</v>
      </c>
      <c r="BE38" s="92">
        <v>183</v>
      </c>
      <c r="BF38" s="92">
        <v>175</v>
      </c>
      <c r="BG38" s="92">
        <v>163</v>
      </c>
      <c r="BH38" s="92">
        <v>134</v>
      </c>
      <c r="BI38" s="92">
        <v>139</v>
      </c>
      <c r="BJ38" s="92">
        <v>137</v>
      </c>
      <c r="BK38" s="92">
        <v>133</v>
      </c>
      <c r="BL38" s="92">
        <v>131</v>
      </c>
      <c r="BM38" s="92">
        <v>142</v>
      </c>
      <c r="BN38" s="92">
        <v>152</v>
      </c>
      <c r="BO38" s="92">
        <v>121</v>
      </c>
      <c r="BP38" s="92">
        <v>112</v>
      </c>
      <c r="BQ38" s="92">
        <v>94</v>
      </c>
      <c r="BR38" s="92">
        <v>95</v>
      </c>
      <c r="BS38" s="92">
        <v>91</v>
      </c>
      <c r="BT38" s="92">
        <v>87</v>
      </c>
      <c r="BU38" s="92">
        <v>79</v>
      </c>
      <c r="BV38" s="92">
        <v>69</v>
      </c>
      <c r="BW38" s="92">
        <v>61</v>
      </c>
      <c r="BX38" s="92">
        <v>67</v>
      </c>
      <c r="BY38" s="92">
        <v>62</v>
      </c>
      <c r="BZ38" s="92">
        <v>58</v>
      </c>
      <c r="CA38" s="92">
        <v>55</v>
      </c>
      <c r="CB38" s="92">
        <v>43</v>
      </c>
      <c r="CC38" s="92">
        <v>50</v>
      </c>
      <c r="CD38" s="92">
        <v>65</v>
      </c>
      <c r="CE38" s="92">
        <v>57</v>
      </c>
      <c r="CF38" s="92">
        <v>54</v>
      </c>
      <c r="CG38" s="92">
        <v>56</v>
      </c>
      <c r="CH38" s="92">
        <v>45</v>
      </c>
      <c r="CI38" s="92">
        <v>53</v>
      </c>
      <c r="CJ38" s="92">
        <v>42</v>
      </c>
      <c r="CK38" s="92">
        <v>43</v>
      </c>
      <c r="CL38" s="92">
        <v>36</v>
      </c>
      <c r="CM38" s="92"/>
      <c r="CN38" s="92"/>
      <c r="CO38" s="92"/>
      <c r="CP38" s="92"/>
      <c r="CQ38" s="92"/>
      <c r="CR38" s="92"/>
      <c r="CS38" s="92"/>
      <c r="CT38" s="92"/>
      <c r="CU38" s="92"/>
      <c r="CV38" s="92"/>
      <c r="CW38" s="92"/>
      <c r="CX38" s="92"/>
      <c r="CY38" s="92"/>
      <c r="CZ38" s="92"/>
      <c r="DA38" s="46"/>
      <c r="DB38" s="40" t="s">
        <v>440</v>
      </c>
      <c r="DC38" s="92" t="s">
        <v>440</v>
      </c>
      <c r="DD38" s="92">
        <v>276</v>
      </c>
      <c r="DE38" s="92">
        <f>SUM(O38:R38)</f>
        <v>430</v>
      </c>
      <c r="DF38" s="92">
        <f>SUM(S38:V38)</f>
        <v>569</v>
      </c>
      <c r="DG38" s="92">
        <f>SUM(W38:Z38)</f>
        <v>530</v>
      </c>
      <c r="DH38" s="92">
        <f>SUM(AA38:AD38)</f>
        <v>527</v>
      </c>
      <c r="DI38" s="92">
        <f>SUM(AE38:AH38)</f>
        <v>606</v>
      </c>
      <c r="DJ38" s="92">
        <f>SUM(AI38:AL38)</f>
        <v>618</v>
      </c>
      <c r="DK38" s="92">
        <f>SUM(AM38:AP38)</f>
        <v>612</v>
      </c>
      <c r="DL38" s="92">
        <f t="shared" si="106"/>
        <v>640</v>
      </c>
      <c r="DM38" s="92">
        <f t="shared" si="107"/>
        <v>619</v>
      </c>
      <c r="DN38" s="92">
        <f t="shared" si="108"/>
        <v>659</v>
      </c>
      <c r="DO38" s="92">
        <f t="shared" si="109"/>
        <v>680</v>
      </c>
      <c r="DP38" s="92">
        <f>SUM(BG38:BJ38)</f>
        <v>573</v>
      </c>
      <c r="DQ38" s="92">
        <f>SUM(BK38:BN38)</f>
        <v>558</v>
      </c>
      <c r="DR38" s="92">
        <f>SUM(BO38:BR38)</f>
        <v>422</v>
      </c>
      <c r="DS38" s="92">
        <f>SUM(BS38:BV38)</f>
        <v>326</v>
      </c>
      <c r="DT38" s="92">
        <f>SUM(BW38:BZ38)</f>
        <v>248</v>
      </c>
      <c r="DU38" s="92">
        <f>SUM(CA38:CD38)</f>
        <v>213</v>
      </c>
      <c r="DV38" s="92">
        <f>SUM(CE38:CH38)</f>
        <v>212</v>
      </c>
      <c r="DW38" s="92">
        <f>SUM(CI38:CL38)</f>
        <v>174</v>
      </c>
      <c r="DX38" s="92"/>
      <c r="DY38" s="92"/>
      <c r="DZ38" s="92"/>
      <c r="EA38" s="92"/>
      <c r="EC38" s="28"/>
    </row>
    <row r="39" spans="2:136" s="8" customFormat="1" ht="0.75" customHeight="1">
      <c r="B39" s="45" t="s">
        <v>567</v>
      </c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4" t="s">
        <v>536</v>
      </c>
      <c r="AE39" s="94" t="s">
        <v>535</v>
      </c>
      <c r="AF39" s="94" t="s">
        <v>555</v>
      </c>
      <c r="AG39" s="94" t="s">
        <v>548</v>
      </c>
      <c r="AH39" s="94" t="s">
        <v>535</v>
      </c>
      <c r="AI39" s="128" t="s">
        <v>521</v>
      </c>
      <c r="AJ39" s="94" t="s">
        <v>512</v>
      </c>
      <c r="AK39" s="94" t="s">
        <v>501</v>
      </c>
      <c r="AL39" s="92">
        <v>216</v>
      </c>
      <c r="AM39" s="92">
        <v>186</v>
      </c>
      <c r="AN39" s="92">
        <v>185</v>
      </c>
      <c r="AO39" s="92">
        <v>168</v>
      </c>
      <c r="AP39" s="92">
        <v>198</v>
      </c>
      <c r="AQ39" s="92">
        <v>166</v>
      </c>
      <c r="AR39" s="92">
        <v>154</v>
      </c>
      <c r="AS39" s="92">
        <v>163</v>
      </c>
      <c r="AT39" s="92">
        <v>175</v>
      </c>
      <c r="AU39" s="92">
        <v>162</v>
      </c>
      <c r="AV39" s="92">
        <v>183</v>
      </c>
      <c r="AW39" s="92">
        <v>165</v>
      </c>
      <c r="AX39" s="92">
        <v>143</v>
      </c>
      <c r="AY39" s="92">
        <v>126</v>
      </c>
      <c r="AZ39" s="92">
        <v>142</v>
      </c>
      <c r="BA39" s="92">
        <v>104</v>
      </c>
      <c r="BB39" s="92">
        <v>124</v>
      </c>
      <c r="BC39" s="92">
        <v>112</v>
      </c>
      <c r="BD39" s="92">
        <v>103</v>
      </c>
      <c r="BE39" s="92">
        <v>84</v>
      </c>
      <c r="BF39" s="92">
        <v>81</v>
      </c>
      <c r="BG39" s="92"/>
      <c r="BH39" s="92"/>
      <c r="BI39" s="92"/>
      <c r="BJ39" s="92"/>
      <c r="BK39" s="92"/>
      <c r="BL39" s="92"/>
      <c r="BM39" s="92"/>
      <c r="BN39" s="92"/>
      <c r="BO39" s="92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92"/>
      <c r="CD39" s="92"/>
      <c r="CE39" s="92"/>
      <c r="CF39" s="92"/>
      <c r="CG39" s="92"/>
      <c r="CH39" s="92"/>
      <c r="CI39" s="92"/>
      <c r="CJ39" s="92"/>
      <c r="CK39" s="92"/>
      <c r="CL39" s="92"/>
      <c r="CM39" s="92"/>
      <c r="CN39" s="92"/>
      <c r="CO39" s="92"/>
      <c r="CP39" s="92"/>
      <c r="CQ39" s="92"/>
      <c r="CR39" s="92"/>
      <c r="CS39" s="92"/>
      <c r="CT39" s="92"/>
      <c r="CU39" s="92"/>
      <c r="CV39" s="92"/>
      <c r="CW39" s="92"/>
      <c r="CX39" s="92"/>
      <c r="CY39" s="92"/>
      <c r="CZ39" s="92"/>
      <c r="DA39" s="47"/>
      <c r="DB39" s="92"/>
      <c r="DC39" s="92"/>
      <c r="DD39" s="92"/>
      <c r="DE39" s="92"/>
      <c r="DF39" s="92"/>
      <c r="DG39" s="92"/>
      <c r="DH39" s="92"/>
      <c r="DI39" s="94" t="s">
        <v>566</v>
      </c>
      <c r="DJ39" s="94" t="s">
        <v>565</v>
      </c>
      <c r="DK39" s="92">
        <f t="shared" ref="DK39:DK42" si="110">SUM(AM39:AP39)</f>
        <v>737</v>
      </c>
      <c r="DL39" s="92">
        <f t="shared" si="106"/>
        <v>658</v>
      </c>
      <c r="DM39" s="92">
        <f t="shared" si="107"/>
        <v>653</v>
      </c>
      <c r="DN39" s="92">
        <f t="shared" si="108"/>
        <v>496</v>
      </c>
      <c r="DO39" s="92">
        <f t="shared" si="109"/>
        <v>380</v>
      </c>
      <c r="DP39" s="92"/>
      <c r="DQ39" s="92"/>
      <c r="DR39" s="92"/>
      <c r="DS39" s="92"/>
      <c r="DT39" s="92"/>
      <c r="DU39" s="92"/>
      <c r="DV39" s="92"/>
      <c r="DW39" s="92"/>
      <c r="DX39" s="92"/>
      <c r="DY39" s="92"/>
      <c r="DZ39" s="92"/>
      <c r="EA39" s="92"/>
      <c r="EC39" s="28"/>
      <c r="EF39" s="81"/>
    </row>
    <row r="40" spans="2:136" s="8" customFormat="1" ht="0.75" customHeight="1">
      <c r="B40" s="45" t="s">
        <v>753</v>
      </c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4"/>
      <c r="AE40" s="94"/>
      <c r="AF40" s="94"/>
      <c r="AG40" s="94"/>
      <c r="AH40" s="94"/>
      <c r="AI40" s="94"/>
      <c r="AJ40" s="94"/>
      <c r="AK40" s="94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>
        <v>187</v>
      </c>
      <c r="BH40" s="92">
        <v>293</v>
      </c>
      <c r="BI40" s="92">
        <v>325</v>
      </c>
      <c r="BJ40" s="92">
        <v>322</v>
      </c>
      <c r="BK40" s="92">
        <v>292</v>
      </c>
      <c r="BL40" s="92">
        <v>357</v>
      </c>
      <c r="BM40" s="92">
        <v>320</v>
      </c>
      <c r="BN40" s="92">
        <v>119</v>
      </c>
      <c r="BO40" s="92">
        <v>96</v>
      </c>
      <c r="BP40" s="92">
        <v>103</v>
      </c>
      <c r="BQ40" s="92">
        <v>91</v>
      </c>
      <c r="BR40" s="92">
        <v>92</v>
      </c>
      <c r="BS40" s="92">
        <v>98</v>
      </c>
      <c r="BT40" s="92">
        <v>94</v>
      </c>
      <c r="BU40" s="92">
        <v>95</v>
      </c>
      <c r="BV40" s="92">
        <v>80</v>
      </c>
      <c r="BW40" s="92">
        <v>88</v>
      </c>
      <c r="BX40" s="92">
        <v>67</v>
      </c>
      <c r="BY40" s="92">
        <v>52</v>
      </c>
      <c r="BZ40" s="92">
        <v>50</v>
      </c>
      <c r="CA40" s="92">
        <v>46</v>
      </c>
      <c r="CB40" s="92">
        <v>32</v>
      </c>
      <c r="CC40" s="94" t="s">
        <v>625</v>
      </c>
      <c r="CD40" s="92">
        <v>36</v>
      </c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47"/>
      <c r="DB40" s="92"/>
      <c r="DC40" s="92"/>
      <c r="DD40" s="92"/>
      <c r="DE40" s="92"/>
      <c r="DF40" s="92"/>
      <c r="DG40" s="92"/>
      <c r="DH40" s="92"/>
      <c r="DI40" s="94"/>
      <c r="DJ40" s="94"/>
      <c r="DK40" s="92"/>
      <c r="DL40" s="92"/>
      <c r="DM40" s="92"/>
      <c r="DN40" s="92"/>
      <c r="DO40" s="92"/>
      <c r="DP40" s="92">
        <f t="shared" ref="DP40:DP51" si="111">SUM(BG40:BJ40)</f>
        <v>1127</v>
      </c>
      <c r="DQ40" s="92">
        <f t="shared" ref="DQ40:DQ51" si="112">SUM(BK40:BN40)</f>
        <v>1088</v>
      </c>
      <c r="DR40" s="92">
        <f t="shared" ref="DR40:DR54" si="113">SUM(BO40:BR40)</f>
        <v>382</v>
      </c>
      <c r="DS40" s="92">
        <f t="shared" ref="DS40:DS54" si="114">SUM(BS40:BV40)</f>
        <v>367</v>
      </c>
      <c r="DT40" s="92">
        <f>SUM(BW40:BZ40)</f>
        <v>257</v>
      </c>
      <c r="DU40" s="92">
        <f>SUM(CA40:CD40)</f>
        <v>114</v>
      </c>
      <c r="DV40" s="92"/>
      <c r="DW40" s="92"/>
      <c r="DX40" s="92"/>
      <c r="DY40" s="92"/>
      <c r="DZ40" s="92"/>
      <c r="EA40" s="92"/>
      <c r="EC40" s="28"/>
      <c r="EF40" s="81"/>
    </row>
    <row r="41" spans="2:136" s="8" customFormat="1" ht="0.75" customHeight="1">
      <c r="B41" s="45" t="s">
        <v>617</v>
      </c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4" t="s">
        <v>540</v>
      </c>
      <c r="AE41" s="94" t="s">
        <v>514</v>
      </c>
      <c r="AF41" s="94" t="s">
        <v>557</v>
      </c>
      <c r="AG41" s="94" t="s">
        <v>550</v>
      </c>
      <c r="AH41" s="94" t="s">
        <v>539</v>
      </c>
      <c r="AI41" s="128" t="s">
        <v>506</v>
      </c>
      <c r="AJ41" s="94" t="s">
        <v>514</v>
      </c>
      <c r="AK41" s="94" t="s">
        <v>505</v>
      </c>
      <c r="AL41" s="92">
        <v>96</v>
      </c>
      <c r="AM41" s="92">
        <v>134</v>
      </c>
      <c r="AN41" s="92">
        <v>137</v>
      </c>
      <c r="AO41" s="92">
        <v>119</v>
      </c>
      <c r="AP41" s="92">
        <v>138</v>
      </c>
      <c r="AQ41" s="92">
        <v>133</v>
      </c>
      <c r="AR41" s="92">
        <v>143</v>
      </c>
      <c r="AS41" s="92">
        <v>129</v>
      </c>
      <c r="AT41" s="92">
        <v>126</v>
      </c>
      <c r="AU41" s="92">
        <v>116</v>
      </c>
      <c r="AV41" s="92">
        <v>125</v>
      </c>
      <c r="AW41" s="92">
        <v>111</v>
      </c>
      <c r="AX41" s="92">
        <v>116</v>
      </c>
      <c r="AY41" s="92">
        <v>122</v>
      </c>
      <c r="AZ41" s="92">
        <v>134</v>
      </c>
      <c r="BA41" s="92">
        <v>124</v>
      </c>
      <c r="BB41" s="92">
        <v>101</v>
      </c>
      <c r="BC41" s="92">
        <v>110</v>
      </c>
      <c r="BD41" s="92">
        <v>102</v>
      </c>
      <c r="BE41" s="92">
        <v>97</v>
      </c>
      <c r="BF41" s="92">
        <v>102</v>
      </c>
      <c r="BG41" s="92">
        <v>82</v>
      </c>
      <c r="BH41" s="92">
        <v>111</v>
      </c>
      <c r="BI41" s="92">
        <v>95</v>
      </c>
      <c r="BJ41" s="92">
        <v>95</v>
      </c>
      <c r="BK41" s="92">
        <v>94</v>
      </c>
      <c r="BL41" s="92">
        <v>73</v>
      </c>
      <c r="BM41" s="92">
        <v>101</v>
      </c>
      <c r="BN41" s="92">
        <v>87</v>
      </c>
      <c r="BO41" s="92">
        <v>81</v>
      </c>
      <c r="BP41" s="92">
        <v>79</v>
      </c>
      <c r="BQ41" s="92">
        <v>72</v>
      </c>
      <c r="BR41" s="92">
        <v>66</v>
      </c>
      <c r="BS41" s="92">
        <v>67</v>
      </c>
      <c r="BT41" s="92">
        <v>70</v>
      </c>
      <c r="BU41" s="92">
        <v>60</v>
      </c>
      <c r="BV41" s="92">
        <v>70</v>
      </c>
      <c r="BW41" s="92">
        <v>57</v>
      </c>
      <c r="BX41" s="92">
        <v>63</v>
      </c>
      <c r="BY41" s="92">
        <v>62</v>
      </c>
      <c r="BZ41" s="92">
        <v>58</v>
      </c>
      <c r="CA41" s="92">
        <v>41</v>
      </c>
      <c r="CB41" s="92">
        <v>44</v>
      </c>
      <c r="CC41" s="94" t="s">
        <v>622</v>
      </c>
      <c r="CD41" s="92">
        <v>57</v>
      </c>
      <c r="CE41" s="92"/>
      <c r="CF41" s="92"/>
      <c r="CG41" s="92"/>
      <c r="CH41" s="92"/>
      <c r="CI41" s="92"/>
      <c r="CJ41" s="92"/>
      <c r="CK41" s="92"/>
      <c r="CL41" s="92"/>
      <c r="CM41" s="92"/>
      <c r="CN41" s="92"/>
      <c r="CO41" s="92"/>
      <c r="CP41" s="92"/>
      <c r="CQ41" s="92"/>
      <c r="CR41" s="92"/>
      <c r="CS41" s="92"/>
      <c r="CT41" s="92"/>
      <c r="CU41" s="92"/>
      <c r="CV41" s="92"/>
      <c r="CW41" s="92"/>
      <c r="CX41" s="92"/>
      <c r="CY41" s="92"/>
      <c r="CZ41" s="92"/>
      <c r="DA41" s="47"/>
      <c r="DB41" s="92"/>
      <c r="DC41" s="92"/>
      <c r="DD41" s="92"/>
      <c r="DE41" s="92"/>
      <c r="DF41" s="92"/>
      <c r="DG41" s="92"/>
      <c r="DH41" s="92"/>
      <c r="DI41" s="92"/>
      <c r="DJ41" s="92"/>
      <c r="DK41" s="92">
        <f t="shared" si="110"/>
        <v>528</v>
      </c>
      <c r="DL41" s="92">
        <f t="shared" ref="DL41:DL51" si="115">SUM(AQ41:AT41)</f>
        <v>531</v>
      </c>
      <c r="DM41" s="92">
        <f t="shared" ref="DM41:DM51" si="116">SUM(AU41:AX41)</f>
        <v>468</v>
      </c>
      <c r="DN41" s="92">
        <f t="shared" ref="DN41:DN51" si="117">SUM(AY41:BB41)</f>
        <v>481</v>
      </c>
      <c r="DO41" s="92">
        <f t="shared" ref="DO41:DO51" si="118">SUM(BC41:BF41)</f>
        <v>411</v>
      </c>
      <c r="DP41" s="92">
        <f t="shared" si="111"/>
        <v>383</v>
      </c>
      <c r="DQ41" s="92">
        <f t="shared" si="112"/>
        <v>355</v>
      </c>
      <c r="DR41" s="92">
        <f t="shared" si="113"/>
        <v>298</v>
      </c>
      <c r="DS41" s="92">
        <f t="shared" si="114"/>
        <v>267</v>
      </c>
      <c r="DT41" s="92">
        <f>SUM(BW41:BZ41)</f>
        <v>240</v>
      </c>
      <c r="DU41" s="92">
        <f>SUM(CA41:CD41)</f>
        <v>142</v>
      </c>
      <c r="DV41" s="92"/>
      <c r="DW41" s="92"/>
      <c r="DX41" s="92"/>
      <c r="DY41" s="92"/>
      <c r="DZ41" s="92"/>
      <c r="EA41" s="92"/>
      <c r="EC41" s="28"/>
    </row>
    <row r="42" spans="2:136" s="8" customFormat="1" ht="0.75" customHeight="1">
      <c r="B42" s="45" t="s">
        <v>610</v>
      </c>
      <c r="C42" s="9"/>
      <c r="D42" s="9"/>
      <c r="E42" s="9"/>
      <c r="F42" s="9"/>
      <c r="G42" s="7"/>
      <c r="H42" s="7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128" t="s">
        <v>626</v>
      </c>
      <c r="AJ42" s="92">
        <v>43</v>
      </c>
      <c r="AK42" s="92">
        <v>45</v>
      </c>
      <c r="AL42" s="92">
        <v>53</v>
      </c>
      <c r="AM42" s="92">
        <v>51</v>
      </c>
      <c r="AN42" s="92">
        <v>51</v>
      </c>
      <c r="AO42" s="92">
        <v>64</v>
      </c>
      <c r="AP42" s="92">
        <v>71</v>
      </c>
      <c r="AQ42" s="92">
        <v>60</v>
      </c>
      <c r="AR42" s="92">
        <v>81</v>
      </c>
      <c r="AS42" s="92">
        <v>80</v>
      </c>
      <c r="AT42" s="92">
        <v>74</v>
      </c>
      <c r="AU42" s="92">
        <v>76</v>
      </c>
      <c r="AV42" s="92">
        <v>85</v>
      </c>
      <c r="AW42" s="92">
        <v>93</v>
      </c>
      <c r="AX42" s="92">
        <v>94</v>
      </c>
      <c r="AY42" s="92">
        <v>84</v>
      </c>
      <c r="AZ42" s="92">
        <v>102</v>
      </c>
      <c r="BA42" s="92">
        <v>96</v>
      </c>
      <c r="BB42" s="92">
        <v>120</v>
      </c>
      <c r="BC42" s="92">
        <v>102</v>
      </c>
      <c r="BD42" s="92">
        <v>119</v>
      </c>
      <c r="BE42" s="92">
        <v>158</v>
      </c>
      <c r="BF42" s="92">
        <v>123</v>
      </c>
      <c r="BG42" s="92">
        <v>137</v>
      </c>
      <c r="BH42" s="92">
        <v>124</v>
      </c>
      <c r="BI42" s="92">
        <v>176</v>
      </c>
      <c r="BJ42" s="92">
        <v>151</v>
      </c>
      <c r="BK42" s="92">
        <v>134</v>
      </c>
      <c r="BL42" s="92">
        <v>164</v>
      </c>
      <c r="BM42" s="92">
        <v>148</v>
      </c>
      <c r="BN42" s="92">
        <v>160</v>
      </c>
      <c r="BO42" s="92">
        <v>170</v>
      </c>
      <c r="BP42" s="92">
        <v>178</v>
      </c>
      <c r="BQ42" s="92">
        <v>155</v>
      </c>
      <c r="BR42" s="92">
        <v>183</v>
      </c>
      <c r="BS42" s="92">
        <v>174</v>
      </c>
      <c r="BT42" s="92">
        <v>174</v>
      </c>
      <c r="BU42" s="92">
        <v>186</v>
      </c>
      <c r="BV42" s="92">
        <v>169</v>
      </c>
      <c r="BW42" s="92">
        <v>199</v>
      </c>
      <c r="BX42" s="92">
        <v>183</v>
      </c>
      <c r="BY42" s="92">
        <v>199</v>
      </c>
      <c r="BZ42" s="92">
        <v>206</v>
      </c>
      <c r="CA42" s="92">
        <v>195</v>
      </c>
      <c r="CB42" s="92">
        <v>132</v>
      </c>
      <c r="CC42" s="94" t="s">
        <v>780</v>
      </c>
      <c r="CD42" s="92">
        <v>165</v>
      </c>
      <c r="CE42" s="92"/>
      <c r="CF42" s="92"/>
      <c r="CG42" s="92"/>
      <c r="CH42" s="92"/>
      <c r="CI42" s="92"/>
      <c r="CJ42" s="92"/>
      <c r="CK42" s="92"/>
      <c r="CL42" s="92"/>
      <c r="CM42" s="92"/>
      <c r="CN42" s="92"/>
      <c r="CO42" s="92"/>
      <c r="CP42" s="92"/>
      <c r="CQ42" s="92"/>
      <c r="CR42" s="92"/>
      <c r="CS42" s="92"/>
      <c r="CT42" s="92"/>
      <c r="CU42" s="92"/>
      <c r="CV42" s="92"/>
      <c r="CW42" s="92"/>
      <c r="CX42" s="92"/>
      <c r="CY42" s="92"/>
      <c r="CZ42" s="92"/>
      <c r="DA42" s="47"/>
      <c r="DB42" s="9"/>
      <c r="DC42" s="92"/>
      <c r="DD42" s="92"/>
      <c r="DE42" s="92"/>
      <c r="DF42" s="92"/>
      <c r="DG42" s="92"/>
      <c r="DH42" s="92"/>
      <c r="DI42" s="92"/>
      <c r="DJ42" s="92"/>
      <c r="DK42" s="92">
        <f t="shared" si="110"/>
        <v>237</v>
      </c>
      <c r="DL42" s="92">
        <f t="shared" si="115"/>
        <v>295</v>
      </c>
      <c r="DM42" s="92">
        <f t="shared" si="116"/>
        <v>348</v>
      </c>
      <c r="DN42" s="92">
        <f t="shared" si="117"/>
        <v>402</v>
      </c>
      <c r="DO42" s="92">
        <f t="shared" si="118"/>
        <v>502</v>
      </c>
      <c r="DP42" s="92">
        <f t="shared" si="111"/>
        <v>588</v>
      </c>
      <c r="DQ42" s="92">
        <f t="shared" si="112"/>
        <v>606</v>
      </c>
      <c r="DR42" s="92">
        <f t="shared" si="113"/>
        <v>686</v>
      </c>
      <c r="DS42" s="92">
        <f t="shared" si="114"/>
        <v>703</v>
      </c>
      <c r="DT42" s="92">
        <f>SUM(BW42:BZ42)</f>
        <v>787</v>
      </c>
      <c r="DU42" s="92">
        <f>SUM(CA42:CD42)</f>
        <v>492</v>
      </c>
      <c r="DV42" s="92"/>
      <c r="DW42" s="92"/>
      <c r="DX42" s="92"/>
      <c r="DY42" s="92"/>
      <c r="DZ42" s="92"/>
      <c r="EA42" s="92"/>
      <c r="EC42" s="28"/>
    </row>
    <row r="43" spans="2:136" s="8" customFormat="1" ht="0.75" customHeight="1">
      <c r="B43" s="45" t="s">
        <v>674</v>
      </c>
      <c r="C43" s="9"/>
      <c r="D43" s="9"/>
      <c r="E43" s="9"/>
      <c r="F43" s="9"/>
      <c r="G43" s="7"/>
      <c r="H43" s="7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1"/>
      <c r="AD43" s="92"/>
      <c r="AE43" s="92"/>
      <c r="AF43" s="92"/>
      <c r="AG43" s="92"/>
      <c r="AH43" s="92"/>
      <c r="AI43" s="94"/>
      <c r="AJ43" s="92"/>
      <c r="AK43" s="92"/>
      <c r="AL43" s="92"/>
      <c r="AM43" s="92"/>
      <c r="AN43" s="92"/>
      <c r="AO43" s="92"/>
      <c r="AP43" s="92"/>
      <c r="AQ43" s="92">
        <v>13</v>
      </c>
      <c r="AR43" s="92">
        <v>25</v>
      </c>
      <c r="AS43" s="92">
        <v>22</v>
      </c>
      <c r="AT43" s="92">
        <v>37</v>
      </c>
      <c r="AU43" s="92">
        <v>39</v>
      </c>
      <c r="AV43" s="92">
        <v>50</v>
      </c>
      <c r="AW43" s="92">
        <v>52</v>
      </c>
      <c r="AX43" s="92">
        <v>67</v>
      </c>
      <c r="AY43" s="92">
        <v>68</v>
      </c>
      <c r="AZ43" s="92">
        <v>79</v>
      </c>
      <c r="BA43" s="92">
        <v>82</v>
      </c>
      <c r="BB43" s="92">
        <v>95</v>
      </c>
      <c r="BC43" s="92">
        <v>102</v>
      </c>
      <c r="BD43" s="92">
        <v>103</v>
      </c>
      <c r="BE43" s="92">
        <v>124</v>
      </c>
      <c r="BF43" s="92">
        <v>132</v>
      </c>
      <c r="BG43" s="92">
        <v>130</v>
      </c>
      <c r="BH43" s="92">
        <v>120</v>
      </c>
      <c r="BI43" s="92">
        <v>133</v>
      </c>
      <c r="BJ43" s="92">
        <v>153</v>
      </c>
      <c r="BK43" s="92">
        <v>113</v>
      </c>
      <c r="BL43" s="92">
        <v>121</v>
      </c>
      <c r="BM43" s="92">
        <v>97</v>
      </c>
      <c r="BN43" s="92">
        <v>105</v>
      </c>
      <c r="BO43" s="92">
        <v>82</v>
      </c>
      <c r="BP43" s="92">
        <v>69</v>
      </c>
      <c r="BQ43" s="92">
        <v>59</v>
      </c>
      <c r="BR43" s="92">
        <v>77</v>
      </c>
      <c r="BS43" s="92">
        <v>57</v>
      </c>
      <c r="BT43" s="92">
        <v>42</v>
      </c>
      <c r="BU43" s="92">
        <v>50</v>
      </c>
      <c r="BV43" s="92">
        <v>65</v>
      </c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92"/>
      <c r="CY43" s="92"/>
      <c r="CZ43" s="92"/>
      <c r="DA43" s="47"/>
      <c r="DB43" s="9"/>
      <c r="DC43" s="96"/>
      <c r="DD43" s="92"/>
      <c r="DE43" s="92"/>
      <c r="DF43" s="92"/>
      <c r="DG43" s="92"/>
      <c r="DH43" s="92"/>
      <c r="DI43" s="92"/>
      <c r="DJ43" s="92"/>
      <c r="DK43" s="92"/>
      <c r="DL43" s="92">
        <f t="shared" si="115"/>
        <v>97</v>
      </c>
      <c r="DM43" s="92">
        <f t="shared" si="116"/>
        <v>208</v>
      </c>
      <c r="DN43" s="92">
        <f t="shared" si="117"/>
        <v>324</v>
      </c>
      <c r="DO43" s="92">
        <f t="shared" si="118"/>
        <v>461</v>
      </c>
      <c r="DP43" s="92">
        <f t="shared" si="111"/>
        <v>536</v>
      </c>
      <c r="DQ43" s="92">
        <f t="shared" si="112"/>
        <v>436</v>
      </c>
      <c r="DR43" s="92">
        <f t="shared" si="113"/>
        <v>287</v>
      </c>
      <c r="DS43" s="92">
        <f t="shared" si="114"/>
        <v>214</v>
      </c>
      <c r="DT43" s="92"/>
      <c r="DU43" s="92"/>
      <c r="DV43" s="92"/>
      <c r="DW43" s="92"/>
      <c r="DX43" s="92"/>
      <c r="DY43" s="92"/>
      <c r="DZ43" s="92"/>
      <c r="EA43" s="92"/>
      <c r="EC43" s="28"/>
    </row>
    <row r="44" spans="2:136" s="8" customFormat="1" ht="0.75" customHeight="1">
      <c r="B44" s="45" t="s">
        <v>128</v>
      </c>
      <c r="C44" s="9"/>
      <c r="D44" s="9"/>
      <c r="E44" s="9"/>
      <c r="F44" s="9"/>
      <c r="G44" s="7"/>
      <c r="H44" s="7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>
        <v>1</v>
      </c>
      <c r="Y44" s="92">
        <v>10</v>
      </c>
      <c r="Z44" s="92">
        <v>27</v>
      </c>
      <c r="AA44" s="92">
        <v>43</v>
      </c>
      <c r="AB44" s="92">
        <v>47</v>
      </c>
      <c r="AC44" s="91">
        <v>61</v>
      </c>
      <c r="AD44" s="92">
        <v>80</v>
      </c>
      <c r="AE44" s="92">
        <v>74</v>
      </c>
      <c r="AF44" s="92">
        <v>66</v>
      </c>
      <c r="AG44" s="92">
        <v>11</v>
      </c>
      <c r="AH44" s="92">
        <v>162</v>
      </c>
      <c r="AI44" s="127">
        <v>75</v>
      </c>
      <c r="AJ44" s="92">
        <v>42</v>
      </c>
      <c r="AK44" s="92">
        <v>84</v>
      </c>
      <c r="AL44" s="92">
        <v>76</v>
      </c>
      <c r="AM44" s="92">
        <v>95</v>
      </c>
      <c r="AN44" s="92">
        <v>18</v>
      </c>
      <c r="AO44" s="92">
        <v>23</v>
      </c>
      <c r="AP44" s="92">
        <v>107</v>
      </c>
      <c r="AQ44" s="92">
        <v>24</v>
      </c>
      <c r="AR44" s="92">
        <v>122</v>
      </c>
      <c r="AS44" s="92">
        <v>108</v>
      </c>
      <c r="AT44" s="92">
        <v>78</v>
      </c>
      <c r="AU44" s="92">
        <v>76</v>
      </c>
      <c r="AV44" s="92">
        <v>148</v>
      </c>
      <c r="AW44" s="92">
        <v>202</v>
      </c>
      <c r="AX44" s="92">
        <v>225</v>
      </c>
      <c r="AY44" s="92">
        <v>168</v>
      </c>
      <c r="AZ44" s="92">
        <v>141</v>
      </c>
      <c r="BA44" s="92">
        <v>185</v>
      </c>
      <c r="BB44" s="92">
        <v>264</v>
      </c>
      <c r="BC44" s="92">
        <v>142</v>
      </c>
      <c r="BD44" s="92">
        <v>156</v>
      </c>
      <c r="BE44" s="92">
        <v>181</v>
      </c>
      <c r="BF44" s="92">
        <v>285</v>
      </c>
      <c r="BG44" s="92">
        <v>175</v>
      </c>
      <c r="BH44" s="92">
        <v>149</v>
      </c>
      <c r="BI44" s="92">
        <v>179</v>
      </c>
      <c r="BJ44" s="92">
        <v>246</v>
      </c>
      <c r="BK44" s="92">
        <v>125</v>
      </c>
      <c r="BL44" s="92">
        <v>149</v>
      </c>
      <c r="BM44" s="92">
        <v>190</v>
      </c>
      <c r="BN44" s="92">
        <v>221</v>
      </c>
      <c r="BO44" s="92">
        <v>154</v>
      </c>
      <c r="BP44" s="92">
        <v>160</v>
      </c>
      <c r="BQ44" s="92">
        <v>234</v>
      </c>
      <c r="BR44" s="92">
        <v>121</v>
      </c>
      <c r="BS44" s="92">
        <v>65</v>
      </c>
      <c r="BT44" s="92">
        <v>44</v>
      </c>
      <c r="BU44" s="92">
        <v>54</v>
      </c>
      <c r="BV44" s="92">
        <v>54</v>
      </c>
      <c r="BW44" s="92"/>
      <c r="BX44" s="92"/>
      <c r="BY44" s="92"/>
      <c r="BZ44" s="92"/>
      <c r="CA44" s="92"/>
      <c r="CB44" s="92"/>
      <c r="CC44" s="92"/>
      <c r="CD44" s="92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2"/>
      <c r="CR44" s="92"/>
      <c r="CS44" s="92"/>
      <c r="CT44" s="92"/>
      <c r="CU44" s="92"/>
      <c r="CV44" s="92"/>
      <c r="CW44" s="92"/>
      <c r="CX44" s="92"/>
      <c r="CY44" s="92"/>
      <c r="CZ44" s="92"/>
      <c r="DA44" s="47"/>
      <c r="DB44" s="9" t="s">
        <v>440</v>
      </c>
      <c r="DC44" s="92" t="s">
        <v>440</v>
      </c>
      <c r="DD44" s="92" t="s">
        <v>440</v>
      </c>
      <c r="DE44" s="92">
        <f>SUM(O44:R44)</f>
        <v>0</v>
      </c>
      <c r="DF44" s="92">
        <f>SUM(S44:V44)</f>
        <v>0</v>
      </c>
      <c r="DG44" s="92">
        <f>SUM(W44:Z44)</f>
        <v>38</v>
      </c>
      <c r="DH44" s="92">
        <f>SUM(AA44:AD44)</f>
        <v>231</v>
      </c>
      <c r="DI44" s="92">
        <f>SUM(AE44:AH44)</f>
        <v>313</v>
      </c>
      <c r="DJ44" s="92">
        <f>SUM(AI44:AL44)</f>
        <v>277</v>
      </c>
      <c r="DK44" s="92">
        <f t="shared" ref="DK44:DK51" si="119">SUM(AM44:AP44)</f>
        <v>243</v>
      </c>
      <c r="DL44" s="92">
        <f t="shared" si="115"/>
        <v>332</v>
      </c>
      <c r="DM44" s="92">
        <f t="shared" si="116"/>
        <v>651</v>
      </c>
      <c r="DN44" s="92">
        <f t="shared" si="117"/>
        <v>758</v>
      </c>
      <c r="DO44" s="92">
        <f t="shared" si="118"/>
        <v>764</v>
      </c>
      <c r="DP44" s="92">
        <f t="shared" si="111"/>
        <v>749</v>
      </c>
      <c r="DQ44" s="92">
        <f t="shared" si="112"/>
        <v>685</v>
      </c>
      <c r="DR44" s="92">
        <f t="shared" si="113"/>
        <v>669</v>
      </c>
      <c r="DS44" s="92">
        <f t="shared" si="114"/>
        <v>217</v>
      </c>
      <c r="DT44" s="92"/>
      <c r="DU44" s="92"/>
      <c r="DV44" s="92"/>
      <c r="DW44" s="92"/>
      <c r="DX44" s="92"/>
      <c r="DY44" s="92"/>
      <c r="DZ44" s="92"/>
      <c r="EA44" s="92"/>
      <c r="EC44" s="28"/>
    </row>
    <row r="45" spans="2:136" s="39" customFormat="1" ht="0.75" customHeight="1">
      <c r="B45" s="44" t="s">
        <v>693</v>
      </c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4" t="s">
        <v>542</v>
      </c>
      <c r="AE45" s="94" t="s">
        <v>516</v>
      </c>
      <c r="AF45" s="94" t="s">
        <v>558</v>
      </c>
      <c r="AG45" s="94" t="s">
        <v>551</v>
      </c>
      <c r="AH45" s="94" t="s">
        <v>541</v>
      </c>
      <c r="AI45" s="128" t="s">
        <v>523</v>
      </c>
      <c r="AJ45" s="94" t="s">
        <v>515</v>
      </c>
      <c r="AK45" s="94" t="s">
        <v>506</v>
      </c>
      <c r="AL45" s="92">
        <v>88</v>
      </c>
      <c r="AM45" s="92">
        <v>135</v>
      </c>
      <c r="AN45" s="92">
        <v>145</v>
      </c>
      <c r="AO45" s="92">
        <v>134</v>
      </c>
      <c r="AP45" s="92">
        <v>145</v>
      </c>
      <c r="AQ45" s="92">
        <v>142</v>
      </c>
      <c r="AR45" s="92">
        <v>154</v>
      </c>
      <c r="AS45" s="92">
        <v>159</v>
      </c>
      <c r="AT45" s="92">
        <v>168</v>
      </c>
      <c r="AU45" s="92">
        <v>146</v>
      </c>
      <c r="AV45" s="92">
        <v>157</v>
      </c>
      <c r="AW45" s="92">
        <v>156</v>
      </c>
      <c r="AX45" s="92">
        <v>164</v>
      </c>
      <c r="AY45" s="92">
        <v>151</v>
      </c>
      <c r="AZ45" s="92">
        <v>171</v>
      </c>
      <c r="BA45" s="92">
        <v>170</v>
      </c>
      <c r="BB45" s="92">
        <v>193</v>
      </c>
      <c r="BC45" s="92">
        <v>168</v>
      </c>
      <c r="BD45" s="92">
        <v>178</v>
      </c>
      <c r="BE45" s="92">
        <v>186</v>
      </c>
      <c r="BF45" s="92">
        <v>191</v>
      </c>
      <c r="BG45" s="92">
        <v>166</v>
      </c>
      <c r="BH45" s="92">
        <v>182</v>
      </c>
      <c r="BI45" s="92">
        <v>190</v>
      </c>
      <c r="BJ45" s="92">
        <v>193</v>
      </c>
      <c r="BK45" s="92">
        <v>175</v>
      </c>
      <c r="BL45" s="92">
        <v>200</v>
      </c>
      <c r="BM45" s="92">
        <v>195</v>
      </c>
      <c r="BN45" s="92">
        <v>207</v>
      </c>
      <c r="BO45" s="92">
        <v>160</v>
      </c>
      <c r="BP45" s="92">
        <v>199</v>
      </c>
      <c r="BQ45" s="92">
        <v>214</v>
      </c>
      <c r="BR45" s="92">
        <v>188</v>
      </c>
      <c r="BS45" s="92">
        <v>216</v>
      </c>
      <c r="BT45" s="92">
        <v>236</v>
      </c>
      <c r="BU45" s="92">
        <v>234</v>
      </c>
      <c r="BV45" s="92">
        <v>216</v>
      </c>
      <c r="BW45" s="92">
        <v>219</v>
      </c>
      <c r="BX45" s="92">
        <v>240</v>
      </c>
      <c r="BY45" s="92">
        <v>241</v>
      </c>
      <c r="BZ45" s="92">
        <v>179</v>
      </c>
      <c r="CA45" s="92">
        <v>63</v>
      </c>
      <c r="CB45" s="92">
        <v>63</v>
      </c>
      <c r="CC45" s="94" t="s">
        <v>779</v>
      </c>
      <c r="CD45" s="92">
        <v>53</v>
      </c>
      <c r="CE45" s="92"/>
      <c r="CF45" s="92"/>
      <c r="CG45" s="92"/>
      <c r="CH45" s="92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/>
      <c r="CX45" s="92"/>
      <c r="CY45" s="92"/>
      <c r="CZ45" s="92"/>
      <c r="DA45" s="46"/>
      <c r="DB45" s="92"/>
      <c r="DC45" s="92"/>
      <c r="DD45" s="92"/>
      <c r="DE45" s="92"/>
      <c r="DF45" s="92"/>
      <c r="DG45" s="92"/>
      <c r="DH45" s="92"/>
      <c r="DI45" s="92"/>
      <c r="DJ45" s="92"/>
      <c r="DK45" s="92">
        <f t="shared" si="119"/>
        <v>559</v>
      </c>
      <c r="DL45" s="92">
        <f t="shared" si="115"/>
        <v>623</v>
      </c>
      <c r="DM45" s="92">
        <f t="shared" si="116"/>
        <v>623</v>
      </c>
      <c r="DN45" s="92">
        <f t="shared" si="117"/>
        <v>685</v>
      </c>
      <c r="DO45" s="92">
        <f t="shared" si="118"/>
        <v>723</v>
      </c>
      <c r="DP45" s="92">
        <f t="shared" si="111"/>
        <v>731</v>
      </c>
      <c r="DQ45" s="92">
        <f t="shared" si="112"/>
        <v>777</v>
      </c>
      <c r="DR45" s="92">
        <f t="shared" si="113"/>
        <v>761</v>
      </c>
      <c r="DS45" s="92">
        <f t="shared" si="114"/>
        <v>902</v>
      </c>
      <c r="DT45" s="92">
        <f>SUM(BW45:BZ45)</f>
        <v>879</v>
      </c>
      <c r="DU45" s="92">
        <f>SUM(CA45:CD45)</f>
        <v>179</v>
      </c>
      <c r="DV45" s="92"/>
      <c r="DW45" s="92"/>
      <c r="DX45" s="92"/>
      <c r="DY45" s="92"/>
      <c r="DZ45" s="92"/>
      <c r="EA45" s="92"/>
      <c r="EC45" s="28"/>
    </row>
    <row r="46" spans="2:136" s="8" customFormat="1" ht="0.75" customHeight="1">
      <c r="B46" s="45" t="s">
        <v>107</v>
      </c>
      <c r="C46" s="9"/>
      <c r="D46" s="9"/>
      <c r="E46" s="9"/>
      <c r="F46" s="9"/>
      <c r="G46" s="7"/>
      <c r="H46" s="7"/>
      <c r="I46" s="92"/>
      <c r="J46" s="92"/>
      <c r="K46" s="92"/>
      <c r="L46" s="92"/>
      <c r="M46" s="92"/>
      <c r="N46" s="92"/>
      <c r="O46" s="92">
        <v>30</v>
      </c>
      <c r="P46" s="92">
        <v>62</v>
      </c>
      <c r="Q46" s="92">
        <v>61</v>
      </c>
      <c r="R46" s="92">
        <v>77</v>
      </c>
      <c r="S46" s="92">
        <v>57</v>
      </c>
      <c r="T46" s="92">
        <v>50</v>
      </c>
      <c r="U46" s="92">
        <v>56</v>
      </c>
      <c r="V46" s="92">
        <v>55</v>
      </c>
      <c r="W46" s="92">
        <v>59</v>
      </c>
      <c r="X46" s="92">
        <v>66</v>
      </c>
      <c r="Y46" s="92">
        <v>66</v>
      </c>
      <c r="Z46" s="92">
        <v>74</v>
      </c>
      <c r="AA46" s="92">
        <v>79</v>
      </c>
      <c r="AB46" s="92">
        <v>89</v>
      </c>
      <c r="AC46" s="91">
        <v>76</v>
      </c>
      <c r="AD46" s="92">
        <f>AC46</f>
        <v>76</v>
      </c>
      <c r="AE46" s="92">
        <v>93</v>
      </c>
      <c r="AF46" s="92">
        <v>104</v>
      </c>
      <c r="AG46" s="92">
        <v>97</v>
      </c>
      <c r="AH46" s="92">
        <f>AG46-1</f>
        <v>96</v>
      </c>
      <c r="AI46" s="127">
        <v>81</v>
      </c>
      <c r="AJ46" s="92">
        <v>88</v>
      </c>
      <c r="AK46" s="92">
        <v>90</v>
      </c>
      <c r="AL46" s="92">
        <v>98</v>
      </c>
      <c r="AM46" s="92">
        <v>95</v>
      </c>
      <c r="AN46" s="92">
        <v>95</v>
      </c>
      <c r="AO46" s="92">
        <v>94</v>
      </c>
      <c r="AP46" s="92">
        <v>115</v>
      </c>
      <c r="AQ46" s="92">
        <v>114</v>
      </c>
      <c r="AR46" s="92">
        <v>100</v>
      </c>
      <c r="AS46" s="92">
        <v>108</v>
      </c>
      <c r="AT46" s="92">
        <v>110</v>
      </c>
      <c r="AU46" s="92">
        <v>112</v>
      </c>
      <c r="AV46" s="92">
        <v>117</v>
      </c>
      <c r="AW46" s="92">
        <v>109</v>
      </c>
      <c r="AX46" s="92">
        <v>115</v>
      </c>
      <c r="AY46" s="92">
        <v>121</v>
      </c>
      <c r="AZ46" s="92">
        <v>121</v>
      </c>
      <c r="BA46" s="92">
        <v>112</v>
      </c>
      <c r="BB46" s="92">
        <v>131</v>
      </c>
      <c r="BC46" s="92">
        <v>128</v>
      </c>
      <c r="BD46" s="92">
        <v>141</v>
      </c>
      <c r="BE46" s="92">
        <v>132</v>
      </c>
      <c r="BF46" s="92">
        <v>118</v>
      </c>
      <c r="BG46" s="92">
        <v>123</v>
      </c>
      <c r="BH46" s="92">
        <v>115</v>
      </c>
      <c r="BI46" s="92">
        <v>123</v>
      </c>
      <c r="BJ46" s="92">
        <v>110</v>
      </c>
      <c r="BK46" s="92">
        <v>111</v>
      </c>
      <c r="BL46" s="92">
        <v>117</v>
      </c>
      <c r="BM46" s="92">
        <v>114</v>
      </c>
      <c r="BN46" s="92">
        <v>108</v>
      </c>
      <c r="BO46" s="92">
        <v>103</v>
      </c>
      <c r="BP46" s="92">
        <v>89</v>
      </c>
      <c r="BQ46" s="92">
        <v>80</v>
      </c>
      <c r="BR46" s="92">
        <v>91</v>
      </c>
      <c r="BS46" s="92">
        <v>83</v>
      </c>
      <c r="BT46" s="92">
        <v>84</v>
      </c>
      <c r="BU46" s="92">
        <v>83</v>
      </c>
      <c r="BV46" s="92">
        <v>86</v>
      </c>
      <c r="BW46" s="92">
        <v>75</v>
      </c>
      <c r="BX46" s="92">
        <v>75</v>
      </c>
      <c r="BY46" s="92">
        <v>72</v>
      </c>
      <c r="BZ46" s="92">
        <v>67</v>
      </c>
      <c r="CA46" s="92">
        <v>70</v>
      </c>
      <c r="CB46" s="92">
        <v>65</v>
      </c>
      <c r="CC46" s="94" t="s">
        <v>786</v>
      </c>
      <c r="CD46" s="92">
        <v>54</v>
      </c>
      <c r="CE46" s="92"/>
      <c r="CF46" s="92"/>
      <c r="CG46" s="92"/>
      <c r="CH46" s="92"/>
      <c r="CI46" s="92"/>
      <c r="CJ46" s="92"/>
      <c r="CK46" s="92"/>
      <c r="CL46" s="92"/>
      <c r="CM46" s="92"/>
      <c r="CN46" s="92"/>
      <c r="CO46" s="92"/>
      <c r="CP46" s="92"/>
      <c r="CQ46" s="92"/>
      <c r="CR46" s="92"/>
      <c r="CS46" s="92"/>
      <c r="CT46" s="92"/>
      <c r="CU46" s="92"/>
      <c r="CV46" s="92"/>
      <c r="CW46" s="92"/>
      <c r="CX46" s="92"/>
      <c r="CY46" s="92"/>
      <c r="CZ46" s="92"/>
      <c r="DA46" s="47"/>
      <c r="DB46" s="9" t="s">
        <v>440</v>
      </c>
      <c r="DC46" s="92" t="s">
        <v>440</v>
      </c>
      <c r="DD46" s="92">
        <v>70</v>
      </c>
      <c r="DE46" s="92">
        <f t="shared" ref="DE46:DE51" si="120">SUM(O46:R46)</f>
        <v>230</v>
      </c>
      <c r="DF46" s="92">
        <f t="shared" ref="DF46:DF51" si="121">SUM(S46:V46)</f>
        <v>218</v>
      </c>
      <c r="DG46" s="92">
        <f t="shared" ref="DG46:DG51" si="122">SUM(W46:Z46)</f>
        <v>265</v>
      </c>
      <c r="DH46" s="92">
        <f t="shared" ref="DH46:DH51" si="123">SUM(AA46:AD46)</f>
        <v>320</v>
      </c>
      <c r="DI46" s="92">
        <f t="shared" ref="DI46:DI51" si="124">SUM(AE46:AH46)</f>
        <v>390</v>
      </c>
      <c r="DJ46" s="92">
        <f t="shared" ref="DJ46:DJ51" si="125">SUM(AI46:AL46)</f>
        <v>357</v>
      </c>
      <c r="DK46" s="92">
        <f t="shared" si="119"/>
        <v>399</v>
      </c>
      <c r="DL46" s="92">
        <f t="shared" si="115"/>
        <v>432</v>
      </c>
      <c r="DM46" s="92">
        <f t="shared" si="116"/>
        <v>453</v>
      </c>
      <c r="DN46" s="92">
        <f t="shared" si="117"/>
        <v>485</v>
      </c>
      <c r="DO46" s="92">
        <f t="shared" si="118"/>
        <v>519</v>
      </c>
      <c r="DP46" s="92">
        <f t="shared" si="111"/>
        <v>471</v>
      </c>
      <c r="DQ46" s="92">
        <f t="shared" si="112"/>
        <v>450</v>
      </c>
      <c r="DR46" s="92">
        <f t="shared" si="113"/>
        <v>363</v>
      </c>
      <c r="DS46" s="92">
        <f t="shared" si="114"/>
        <v>336</v>
      </c>
      <c r="DT46" s="92">
        <f>SUM(BW46:BZ46)</f>
        <v>289</v>
      </c>
      <c r="DU46" s="92">
        <f>SUM(CA46:CD46)</f>
        <v>189</v>
      </c>
      <c r="DV46" s="92"/>
      <c r="DW46" s="92"/>
      <c r="DX46" s="92"/>
      <c r="DY46" s="92"/>
      <c r="DZ46" s="92"/>
      <c r="EA46" s="92"/>
      <c r="EC46" s="28"/>
      <c r="EF46" s="81"/>
    </row>
    <row r="47" spans="2:136" s="8" customFormat="1" ht="0.75" customHeight="1">
      <c r="B47" s="45" t="s">
        <v>11</v>
      </c>
      <c r="C47" s="92">
        <v>394.74103000000002</v>
      </c>
      <c r="D47" s="92">
        <v>394.74152000000004</v>
      </c>
      <c r="E47" s="92">
        <v>419.24689999999998</v>
      </c>
      <c r="F47" s="92">
        <v>441.19976359338057</v>
      </c>
      <c r="G47" s="92">
        <v>515</v>
      </c>
      <c r="H47" s="92">
        <v>586</v>
      </c>
      <c r="I47" s="92">
        <v>451</v>
      </c>
      <c r="J47" s="92">
        <v>691</v>
      </c>
      <c r="K47" s="92">
        <v>795</v>
      </c>
      <c r="L47" s="92">
        <v>544</v>
      </c>
      <c r="M47" s="92">
        <v>687.25</v>
      </c>
      <c r="N47" s="92">
        <v>650.25</v>
      </c>
      <c r="O47" s="92">
        <v>759</v>
      </c>
      <c r="P47" s="92">
        <v>792</v>
      </c>
      <c r="Q47" s="92">
        <v>778</v>
      </c>
      <c r="R47" s="92">
        <v>831</v>
      </c>
      <c r="S47" s="92">
        <v>772</v>
      </c>
      <c r="T47" s="92">
        <v>853</v>
      </c>
      <c r="U47" s="92">
        <v>777</v>
      </c>
      <c r="V47" s="92">
        <v>789</v>
      </c>
      <c r="W47" s="92">
        <v>754</v>
      </c>
      <c r="X47" s="92">
        <v>821</v>
      </c>
      <c r="Y47" s="92">
        <v>771</v>
      </c>
      <c r="Z47" s="92">
        <v>789</v>
      </c>
      <c r="AA47" s="92">
        <v>742</v>
      </c>
      <c r="AB47" s="92">
        <v>786</v>
      </c>
      <c r="AC47" s="92">
        <v>725</v>
      </c>
      <c r="AD47" s="92">
        <v>730</v>
      </c>
      <c r="AE47" s="92">
        <v>470</v>
      </c>
      <c r="AF47" s="92">
        <v>411</v>
      </c>
      <c r="AG47" s="92">
        <v>354</v>
      </c>
      <c r="AH47" s="92">
        <f>AG47-40</f>
        <v>314</v>
      </c>
      <c r="AI47" s="127">
        <v>261</v>
      </c>
      <c r="AJ47" s="92">
        <v>277</v>
      </c>
      <c r="AK47" s="92">
        <v>276</v>
      </c>
      <c r="AL47" s="92">
        <v>285</v>
      </c>
      <c r="AM47" s="92">
        <f>25+205</f>
        <v>230</v>
      </c>
      <c r="AN47" s="92">
        <v>241</v>
      </c>
      <c r="AO47" s="92">
        <v>220</v>
      </c>
      <c r="AP47" s="92">
        <v>234</v>
      </c>
      <c r="AQ47" s="92">
        <v>208</v>
      </c>
      <c r="AR47" s="92">
        <v>221</v>
      </c>
      <c r="AS47" s="92">
        <v>215</v>
      </c>
      <c r="AT47" s="92">
        <v>211</v>
      </c>
      <c r="AU47" s="92">
        <v>184</v>
      </c>
      <c r="AV47" s="92">
        <v>186</v>
      </c>
      <c r="AW47" s="92">
        <v>152</v>
      </c>
      <c r="AX47" s="92">
        <v>154</v>
      </c>
      <c r="AY47" s="92">
        <v>137</v>
      </c>
      <c r="AZ47" s="92">
        <v>144</v>
      </c>
      <c r="BA47" s="92">
        <v>140</v>
      </c>
      <c r="BB47" s="92">
        <v>139</v>
      </c>
      <c r="BC47" s="92">
        <v>123</v>
      </c>
      <c r="BD47" s="92">
        <v>121</v>
      </c>
      <c r="BE47" s="92">
        <v>114</v>
      </c>
      <c r="BF47" s="92">
        <v>112</v>
      </c>
      <c r="BG47" s="92">
        <v>94</v>
      </c>
      <c r="BH47" s="92">
        <v>96</v>
      </c>
      <c r="BI47" s="92">
        <v>86</v>
      </c>
      <c r="BJ47" s="92">
        <v>82</v>
      </c>
      <c r="BK47" s="92">
        <v>75</v>
      </c>
      <c r="BL47" s="92">
        <v>73</v>
      </c>
      <c r="BM47" s="92">
        <v>68</v>
      </c>
      <c r="BN47" s="92">
        <v>68</v>
      </c>
      <c r="BO47" s="92">
        <v>61</v>
      </c>
      <c r="BP47" s="92">
        <v>66</v>
      </c>
      <c r="BQ47" s="92">
        <v>53</v>
      </c>
      <c r="BR47" s="92">
        <v>62</v>
      </c>
      <c r="BS47" s="92">
        <v>55</v>
      </c>
      <c r="BT47" s="92">
        <v>59</v>
      </c>
      <c r="BU47" s="92">
        <v>45</v>
      </c>
      <c r="BV47" s="92">
        <v>50</v>
      </c>
      <c r="BW47" s="92">
        <v>0</v>
      </c>
      <c r="BX47" s="92">
        <v>0</v>
      </c>
      <c r="BY47" s="92">
        <v>0</v>
      </c>
      <c r="BZ47" s="92">
        <v>0</v>
      </c>
      <c r="CA47" s="92">
        <v>0</v>
      </c>
      <c r="CB47" s="92">
        <v>0</v>
      </c>
      <c r="CC47" s="92">
        <v>0</v>
      </c>
      <c r="CD47" s="92">
        <v>0</v>
      </c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92"/>
      <c r="CY47" s="92"/>
      <c r="CZ47" s="92"/>
      <c r="DA47" s="47"/>
      <c r="DB47" s="92">
        <v>1649.9299223235394</v>
      </c>
      <c r="DC47" s="92">
        <v>2250</v>
      </c>
      <c r="DD47" s="92">
        <v>2677</v>
      </c>
      <c r="DE47" s="92">
        <f t="shared" si="120"/>
        <v>3160</v>
      </c>
      <c r="DF47" s="92">
        <f t="shared" si="121"/>
        <v>3191</v>
      </c>
      <c r="DG47" s="92">
        <f t="shared" si="122"/>
        <v>3135</v>
      </c>
      <c r="DH47" s="92">
        <f t="shared" si="123"/>
        <v>2983</v>
      </c>
      <c r="DI47" s="92">
        <f t="shared" si="124"/>
        <v>1549</v>
      </c>
      <c r="DJ47" s="92">
        <f t="shared" si="125"/>
        <v>1099</v>
      </c>
      <c r="DK47" s="92">
        <f t="shared" si="119"/>
        <v>925</v>
      </c>
      <c r="DL47" s="92">
        <f t="shared" si="115"/>
        <v>855</v>
      </c>
      <c r="DM47" s="92">
        <f t="shared" si="116"/>
        <v>676</v>
      </c>
      <c r="DN47" s="92">
        <f t="shared" si="117"/>
        <v>560</v>
      </c>
      <c r="DO47" s="92">
        <f t="shared" si="118"/>
        <v>470</v>
      </c>
      <c r="DP47" s="92">
        <f t="shared" si="111"/>
        <v>358</v>
      </c>
      <c r="DQ47" s="92">
        <f t="shared" si="112"/>
        <v>284</v>
      </c>
      <c r="DR47" s="92">
        <f t="shared" si="113"/>
        <v>242</v>
      </c>
      <c r="DS47" s="92">
        <f t="shared" si="114"/>
        <v>209</v>
      </c>
      <c r="DT47" s="92"/>
      <c r="DU47" s="92"/>
      <c r="DV47" s="92"/>
      <c r="DW47" s="92"/>
      <c r="DX47" s="92"/>
      <c r="DY47" s="92"/>
      <c r="DZ47" s="92"/>
      <c r="EA47" s="92"/>
      <c r="EC47" s="28"/>
    </row>
    <row r="48" spans="2:136" s="8" customFormat="1" ht="0.75" customHeight="1">
      <c r="B48" s="45" t="s">
        <v>355</v>
      </c>
      <c r="C48" s="9"/>
      <c r="D48" s="9"/>
      <c r="E48" s="9"/>
      <c r="F48" s="9"/>
      <c r="G48" s="7"/>
      <c r="H48" s="7"/>
      <c r="I48" s="92"/>
      <c r="J48" s="92"/>
      <c r="K48" s="92"/>
      <c r="L48" s="92"/>
      <c r="M48" s="92"/>
      <c r="N48" s="92"/>
      <c r="O48" s="92">
        <v>6</v>
      </c>
      <c r="P48" s="92">
        <v>9</v>
      </c>
      <c r="Q48" s="92">
        <v>14</v>
      </c>
      <c r="R48" s="92">
        <v>18</v>
      </c>
      <c r="S48" s="92">
        <v>17</v>
      </c>
      <c r="T48" s="92">
        <v>19</v>
      </c>
      <c r="U48" s="92">
        <v>22</v>
      </c>
      <c r="V48" s="92">
        <v>28</v>
      </c>
      <c r="W48" s="92">
        <v>23</v>
      </c>
      <c r="X48" s="92">
        <v>32</v>
      </c>
      <c r="Y48" s="92">
        <v>41</v>
      </c>
      <c r="Z48" s="92">
        <v>36</v>
      </c>
      <c r="AA48" s="92">
        <v>48</v>
      </c>
      <c r="AB48" s="92">
        <v>47</v>
      </c>
      <c r="AC48" s="91">
        <v>49</v>
      </c>
      <c r="AD48" s="92">
        <f>AC48</f>
        <v>49</v>
      </c>
      <c r="AE48" s="92">
        <v>60</v>
      </c>
      <c r="AF48" s="92">
        <v>65</v>
      </c>
      <c r="AG48" s="92">
        <v>68</v>
      </c>
      <c r="AH48" s="92">
        <f>AG48+1</f>
        <v>69</v>
      </c>
      <c r="AI48" s="127">
        <v>69</v>
      </c>
      <c r="AJ48" s="92">
        <v>77</v>
      </c>
      <c r="AK48" s="92">
        <v>82</v>
      </c>
      <c r="AL48" s="92">
        <v>89</v>
      </c>
      <c r="AM48" s="92">
        <v>82</v>
      </c>
      <c r="AN48" s="92">
        <v>93</v>
      </c>
      <c r="AO48" s="92">
        <v>91</v>
      </c>
      <c r="AP48" s="92">
        <v>110</v>
      </c>
      <c r="AQ48" s="92">
        <v>87</v>
      </c>
      <c r="AR48" s="92">
        <v>120</v>
      </c>
      <c r="AS48" s="92">
        <v>98</v>
      </c>
      <c r="AT48" s="92">
        <v>114</v>
      </c>
      <c r="AU48" s="92">
        <v>102</v>
      </c>
      <c r="AV48" s="92">
        <v>145</v>
      </c>
      <c r="AW48" s="92">
        <v>111</v>
      </c>
      <c r="AX48" s="92">
        <v>131</v>
      </c>
      <c r="AY48" s="92">
        <v>116</v>
      </c>
      <c r="AZ48" s="92">
        <v>135</v>
      </c>
      <c r="BA48" s="92">
        <v>123</v>
      </c>
      <c r="BB48" s="92">
        <v>134</v>
      </c>
      <c r="BC48" s="92">
        <v>122</v>
      </c>
      <c r="BD48" s="92">
        <v>144</v>
      </c>
      <c r="BE48" s="92">
        <v>136</v>
      </c>
      <c r="BF48" s="92">
        <v>151</v>
      </c>
      <c r="BG48" s="92">
        <v>122</v>
      </c>
      <c r="BH48" s="92">
        <v>134</v>
      </c>
      <c r="BI48" s="92">
        <v>141</v>
      </c>
      <c r="BJ48" s="92">
        <v>139</v>
      </c>
      <c r="BK48" s="92">
        <v>126</v>
      </c>
      <c r="BL48" s="92">
        <v>143</v>
      </c>
      <c r="BM48" s="92">
        <v>137</v>
      </c>
      <c r="BN48" s="92">
        <v>144</v>
      </c>
      <c r="BO48" s="92">
        <v>133</v>
      </c>
      <c r="BP48" s="92">
        <v>143</v>
      </c>
      <c r="BQ48" s="92">
        <v>137</v>
      </c>
      <c r="BR48" s="92">
        <v>143</v>
      </c>
      <c r="BS48" s="92">
        <v>125</v>
      </c>
      <c r="BT48" s="92">
        <v>148</v>
      </c>
      <c r="BU48" s="92">
        <v>123</v>
      </c>
      <c r="BV48" s="92">
        <v>126</v>
      </c>
      <c r="BW48" s="92">
        <v>117</v>
      </c>
      <c r="BX48" s="92">
        <v>121</v>
      </c>
      <c r="BY48" s="92">
        <v>98</v>
      </c>
      <c r="BZ48" s="92">
        <v>53</v>
      </c>
      <c r="CA48" s="92">
        <v>43</v>
      </c>
      <c r="CB48" s="92">
        <v>33</v>
      </c>
      <c r="CC48" s="94" t="s">
        <v>625</v>
      </c>
      <c r="CD48" s="92">
        <v>31</v>
      </c>
      <c r="CE48" s="92"/>
      <c r="CF48" s="92"/>
      <c r="CG48" s="92"/>
      <c r="CH48" s="92"/>
      <c r="CI48" s="92"/>
      <c r="CJ48" s="92"/>
      <c r="CK48" s="92"/>
      <c r="CL48" s="92"/>
      <c r="CM48" s="92"/>
      <c r="CN48" s="92"/>
      <c r="CO48" s="92"/>
      <c r="CP48" s="92"/>
      <c r="CQ48" s="92"/>
      <c r="CR48" s="92"/>
      <c r="CS48" s="92"/>
      <c r="CT48" s="92"/>
      <c r="CU48" s="92"/>
      <c r="CV48" s="92"/>
      <c r="CW48" s="92"/>
      <c r="CX48" s="92"/>
      <c r="CY48" s="92"/>
      <c r="CZ48" s="92"/>
      <c r="DA48" s="47"/>
      <c r="DB48" s="9" t="s">
        <v>440</v>
      </c>
      <c r="DC48" s="92" t="s">
        <v>440</v>
      </c>
      <c r="DD48" s="92">
        <v>27</v>
      </c>
      <c r="DE48" s="92">
        <f t="shared" si="120"/>
        <v>47</v>
      </c>
      <c r="DF48" s="92">
        <f t="shared" si="121"/>
        <v>86</v>
      </c>
      <c r="DG48" s="92">
        <f t="shared" si="122"/>
        <v>132</v>
      </c>
      <c r="DH48" s="92">
        <f t="shared" si="123"/>
        <v>193</v>
      </c>
      <c r="DI48" s="92">
        <f t="shared" si="124"/>
        <v>262</v>
      </c>
      <c r="DJ48" s="92">
        <f t="shared" si="125"/>
        <v>317</v>
      </c>
      <c r="DK48" s="92">
        <f t="shared" si="119"/>
        <v>376</v>
      </c>
      <c r="DL48" s="92">
        <f t="shared" si="115"/>
        <v>419</v>
      </c>
      <c r="DM48" s="92">
        <f t="shared" si="116"/>
        <v>489</v>
      </c>
      <c r="DN48" s="92">
        <f t="shared" si="117"/>
        <v>508</v>
      </c>
      <c r="DO48" s="92">
        <f t="shared" si="118"/>
        <v>553</v>
      </c>
      <c r="DP48" s="92">
        <f t="shared" si="111"/>
        <v>536</v>
      </c>
      <c r="DQ48" s="92">
        <f t="shared" si="112"/>
        <v>550</v>
      </c>
      <c r="DR48" s="92">
        <f t="shared" si="113"/>
        <v>556</v>
      </c>
      <c r="DS48" s="92">
        <f t="shared" si="114"/>
        <v>522</v>
      </c>
      <c r="DT48" s="92">
        <f t="shared" ref="DT48:DT54" si="126">SUM(BW48:BZ48)</f>
        <v>389</v>
      </c>
      <c r="DU48" s="92">
        <f t="shared" ref="DU48:DU54" si="127">SUM(CA48:CD48)</f>
        <v>107</v>
      </c>
      <c r="DV48" s="92"/>
      <c r="DW48" s="92"/>
      <c r="DX48" s="92"/>
      <c r="DY48" s="92"/>
      <c r="DZ48" s="92"/>
      <c r="EA48" s="92"/>
      <c r="EC48" s="28"/>
    </row>
    <row r="49" spans="2:136" s="8" customFormat="1" ht="0.75" customHeight="1">
      <c r="B49" s="45" t="s">
        <v>356</v>
      </c>
      <c r="C49" s="9"/>
      <c r="D49" s="9"/>
      <c r="E49" s="9"/>
      <c r="F49" s="9"/>
      <c r="G49" s="7"/>
      <c r="H49" s="7"/>
      <c r="I49" s="92"/>
      <c r="J49" s="92"/>
      <c r="K49" s="92"/>
      <c r="L49" s="92"/>
      <c r="M49" s="92"/>
      <c r="N49" s="92"/>
      <c r="O49" s="92">
        <v>12</v>
      </c>
      <c r="P49" s="92">
        <v>16</v>
      </c>
      <c r="Q49" s="92">
        <v>16</v>
      </c>
      <c r="R49" s="92">
        <v>19</v>
      </c>
      <c r="S49" s="92">
        <v>20</v>
      </c>
      <c r="T49" s="92">
        <v>22</v>
      </c>
      <c r="U49" s="92">
        <v>25</v>
      </c>
      <c r="V49" s="92">
        <v>27</v>
      </c>
      <c r="W49" s="92">
        <v>28</v>
      </c>
      <c r="X49" s="92">
        <v>34</v>
      </c>
      <c r="Y49" s="92">
        <v>37</v>
      </c>
      <c r="Z49" s="92">
        <v>41</v>
      </c>
      <c r="AA49" s="92">
        <v>42</v>
      </c>
      <c r="AB49" s="92">
        <v>46</v>
      </c>
      <c r="AC49" s="91">
        <v>50</v>
      </c>
      <c r="AD49" s="92">
        <f>AC49</f>
        <v>50</v>
      </c>
      <c r="AE49" s="92">
        <v>55</v>
      </c>
      <c r="AF49" s="92">
        <v>71</v>
      </c>
      <c r="AG49" s="92">
        <v>71</v>
      </c>
      <c r="AH49" s="92">
        <f>AG49</f>
        <v>71</v>
      </c>
      <c r="AI49" s="127">
        <v>62</v>
      </c>
      <c r="AJ49" s="92">
        <v>71</v>
      </c>
      <c r="AK49" s="92">
        <v>73</v>
      </c>
      <c r="AL49" s="92">
        <v>88</v>
      </c>
      <c r="AM49" s="92">
        <v>75</v>
      </c>
      <c r="AN49" s="92">
        <v>83</v>
      </c>
      <c r="AO49" s="92">
        <v>91</v>
      </c>
      <c r="AP49" s="92">
        <v>113</v>
      </c>
      <c r="AQ49" s="92">
        <v>87</v>
      </c>
      <c r="AR49" s="92">
        <v>103</v>
      </c>
      <c r="AS49" s="92">
        <v>107</v>
      </c>
      <c r="AT49" s="92">
        <v>110</v>
      </c>
      <c r="AU49" s="92">
        <v>101</v>
      </c>
      <c r="AV49" s="92">
        <v>110</v>
      </c>
      <c r="AW49" s="92">
        <v>118</v>
      </c>
      <c r="AX49" s="92">
        <v>116</v>
      </c>
      <c r="AY49" s="92">
        <v>110</v>
      </c>
      <c r="AZ49" s="92">
        <v>120</v>
      </c>
      <c r="BA49" s="92">
        <v>130</v>
      </c>
      <c r="BB49" s="92">
        <v>128</v>
      </c>
      <c r="BC49" s="92">
        <v>114</v>
      </c>
      <c r="BD49" s="92">
        <v>134</v>
      </c>
      <c r="BE49" s="92">
        <v>141</v>
      </c>
      <c r="BF49" s="92">
        <v>139</v>
      </c>
      <c r="BG49" s="92">
        <v>132</v>
      </c>
      <c r="BH49" s="92">
        <v>139</v>
      </c>
      <c r="BI49" s="92">
        <v>153</v>
      </c>
      <c r="BJ49" s="92">
        <v>144</v>
      </c>
      <c r="BK49" s="92">
        <v>114</v>
      </c>
      <c r="BL49" s="92">
        <v>143</v>
      </c>
      <c r="BM49" s="92">
        <v>152</v>
      </c>
      <c r="BN49" s="92">
        <v>152</v>
      </c>
      <c r="BO49" s="92">
        <v>136</v>
      </c>
      <c r="BP49" s="92">
        <v>150</v>
      </c>
      <c r="BQ49" s="92">
        <v>159</v>
      </c>
      <c r="BR49" s="92">
        <v>157</v>
      </c>
      <c r="BS49" s="92">
        <v>151</v>
      </c>
      <c r="BT49" s="92">
        <v>149</v>
      </c>
      <c r="BU49" s="92">
        <v>137</v>
      </c>
      <c r="BV49" s="92">
        <v>59</v>
      </c>
      <c r="BW49" s="92">
        <v>72</v>
      </c>
      <c r="BX49" s="92">
        <v>78</v>
      </c>
      <c r="BY49" s="92">
        <v>57</v>
      </c>
      <c r="BZ49" s="92">
        <v>57</v>
      </c>
      <c r="CA49" s="92">
        <v>64</v>
      </c>
      <c r="CB49" s="92">
        <v>43</v>
      </c>
      <c r="CC49" s="92">
        <v>51</v>
      </c>
      <c r="CD49" s="92">
        <v>53</v>
      </c>
      <c r="CE49" s="92">
        <v>57</v>
      </c>
      <c r="CF49" s="92">
        <v>48</v>
      </c>
      <c r="CG49" s="92">
        <v>53</v>
      </c>
      <c r="CH49" s="92">
        <v>45</v>
      </c>
      <c r="CI49" s="92">
        <v>52</v>
      </c>
      <c r="CJ49" s="92">
        <v>46</v>
      </c>
      <c r="CK49" s="92">
        <v>50</v>
      </c>
      <c r="CL49" s="92">
        <v>40</v>
      </c>
      <c r="CM49" s="92"/>
      <c r="CN49" s="92"/>
      <c r="CO49" s="92"/>
      <c r="CP49" s="92"/>
      <c r="CQ49" s="92"/>
      <c r="CR49" s="92"/>
      <c r="CS49" s="92"/>
      <c r="CT49" s="92"/>
      <c r="CU49" s="92"/>
      <c r="CV49" s="92"/>
      <c r="CW49" s="92"/>
      <c r="CX49" s="92"/>
      <c r="CY49" s="92"/>
      <c r="CZ49" s="92"/>
      <c r="DA49" s="47"/>
      <c r="DB49" s="9" t="s">
        <v>440</v>
      </c>
      <c r="DC49" s="92" t="s">
        <v>440</v>
      </c>
      <c r="DD49" s="92">
        <v>37</v>
      </c>
      <c r="DE49" s="92">
        <f t="shared" si="120"/>
        <v>63</v>
      </c>
      <c r="DF49" s="92">
        <f t="shared" si="121"/>
        <v>94</v>
      </c>
      <c r="DG49" s="92">
        <f t="shared" si="122"/>
        <v>140</v>
      </c>
      <c r="DH49" s="92">
        <f t="shared" si="123"/>
        <v>188</v>
      </c>
      <c r="DI49" s="92">
        <f t="shared" si="124"/>
        <v>268</v>
      </c>
      <c r="DJ49" s="92">
        <f t="shared" si="125"/>
        <v>294</v>
      </c>
      <c r="DK49" s="92">
        <f t="shared" si="119"/>
        <v>362</v>
      </c>
      <c r="DL49" s="92">
        <f t="shared" si="115"/>
        <v>407</v>
      </c>
      <c r="DM49" s="92">
        <f t="shared" si="116"/>
        <v>445</v>
      </c>
      <c r="DN49" s="92">
        <f t="shared" si="117"/>
        <v>488</v>
      </c>
      <c r="DO49" s="92">
        <f t="shared" si="118"/>
        <v>528</v>
      </c>
      <c r="DP49" s="92">
        <f t="shared" si="111"/>
        <v>568</v>
      </c>
      <c r="DQ49" s="92">
        <f t="shared" si="112"/>
        <v>561</v>
      </c>
      <c r="DR49" s="92">
        <f t="shared" si="113"/>
        <v>602</v>
      </c>
      <c r="DS49" s="92">
        <f t="shared" si="114"/>
        <v>496</v>
      </c>
      <c r="DT49" s="92">
        <f t="shared" si="126"/>
        <v>264</v>
      </c>
      <c r="DU49" s="92">
        <f t="shared" si="127"/>
        <v>211</v>
      </c>
      <c r="DV49" s="92">
        <f>SUM(CE49:CH49)</f>
        <v>203</v>
      </c>
      <c r="DW49" s="92">
        <f>SUM(CI49:CL49)</f>
        <v>188</v>
      </c>
      <c r="DX49" s="92"/>
      <c r="DY49" s="92"/>
      <c r="DZ49" s="92"/>
      <c r="EA49" s="92"/>
      <c r="EC49" s="28"/>
    </row>
    <row r="50" spans="2:136" s="39" customFormat="1" ht="0.75" customHeight="1">
      <c r="B50" s="44" t="s">
        <v>473</v>
      </c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>
        <v>190</v>
      </c>
      <c r="P50" s="92">
        <v>242</v>
      </c>
      <c r="Q50" s="92">
        <v>293</v>
      </c>
      <c r="R50" s="92">
        <v>328</v>
      </c>
      <c r="S50" s="92">
        <v>332</v>
      </c>
      <c r="T50" s="92">
        <v>314</v>
      </c>
      <c r="U50" s="92">
        <v>356</v>
      </c>
      <c r="V50" s="92">
        <v>391</v>
      </c>
      <c r="W50" s="92">
        <v>414.8</v>
      </c>
      <c r="X50" s="92">
        <v>476</v>
      </c>
      <c r="Y50" s="92">
        <v>501.9</v>
      </c>
      <c r="Z50" s="92">
        <v>536.1</v>
      </c>
      <c r="AA50" s="92">
        <v>544</v>
      </c>
      <c r="AB50" s="92">
        <v>577.5</v>
      </c>
      <c r="AC50" s="92">
        <v>607</v>
      </c>
      <c r="AD50" s="92">
        <v>610</v>
      </c>
      <c r="AE50" s="92">
        <v>581.70000000000005</v>
      </c>
      <c r="AF50" s="92">
        <v>560.4</v>
      </c>
      <c r="AG50" s="92">
        <v>534.29999999999995</v>
      </c>
      <c r="AH50" s="92"/>
      <c r="AI50" s="127">
        <v>510</v>
      </c>
      <c r="AJ50" s="92">
        <v>556</v>
      </c>
      <c r="AK50" s="92">
        <v>563</v>
      </c>
      <c r="AL50" s="92">
        <v>614</v>
      </c>
      <c r="AM50" s="92">
        <f>281+253</f>
        <v>534</v>
      </c>
      <c r="AN50" s="92">
        <v>564</v>
      </c>
      <c r="AO50" s="92">
        <v>571</v>
      </c>
      <c r="AP50" s="92">
        <v>629</v>
      </c>
      <c r="AQ50" s="92">
        <v>582</v>
      </c>
      <c r="AR50" s="92">
        <v>592</v>
      </c>
      <c r="AS50" s="92">
        <v>614</v>
      </c>
      <c r="AT50" s="92">
        <v>640</v>
      </c>
      <c r="AU50" s="92">
        <v>614</v>
      </c>
      <c r="AV50" s="92">
        <v>632</v>
      </c>
      <c r="AW50" s="92">
        <v>645</v>
      </c>
      <c r="AX50" s="92">
        <v>676</v>
      </c>
      <c r="AY50" s="92">
        <v>629</v>
      </c>
      <c r="AZ50" s="92">
        <v>650</v>
      </c>
      <c r="BA50" s="92">
        <v>662</v>
      </c>
      <c r="BB50" s="92">
        <v>716</v>
      </c>
      <c r="BC50" s="92">
        <v>611</v>
      </c>
      <c r="BD50" s="92">
        <v>717</v>
      </c>
      <c r="BE50" s="92">
        <v>660</v>
      </c>
      <c r="BF50" s="92">
        <v>662</v>
      </c>
      <c r="BG50" s="92">
        <v>568</v>
      </c>
      <c r="BH50" s="92">
        <v>635</v>
      </c>
      <c r="BI50" s="92">
        <v>633</v>
      </c>
      <c r="BJ50" s="92">
        <v>691</v>
      </c>
      <c r="BK50" s="92">
        <v>612</v>
      </c>
      <c r="BL50" s="92">
        <v>702</v>
      </c>
      <c r="BM50" s="92">
        <v>671</v>
      </c>
      <c r="BN50" s="92">
        <v>575</v>
      </c>
      <c r="BO50" s="92">
        <v>334</v>
      </c>
      <c r="BP50" s="92">
        <v>367</v>
      </c>
      <c r="BQ50" s="92">
        <v>320</v>
      </c>
      <c r="BR50" s="92">
        <v>323</v>
      </c>
      <c r="BS50" s="92">
        <v>305</v>
      </c>
      <c r="BT50" s="92">
        <v>226</v>
      </c>
      <c r="BU50" s="92">
        <v>165</v>
      </c>
      <c r="BV50" s="92">
        <v>162</v>
      </c>
      <c r="BW50" s="92">
        <v>140</v>
      </c>
      <c r="BX50" s="92">
        <v>156</v>
      </c>
      <c r="BY50" s="92">
        <v>147</v>
      </c>
      <c r="BZ50" s="92">
        <v>146</v>
      </c>
      <c r="CA50" s="92">
        <v>145</v>
      </c>
      <c r="CB50" s="92">
        <v>137</v>
      </c>
      <c r="CC50" s="94" t="s">
        <v>781</v>
      </c>
      <c r="CD50" s="92">
        <v>98</v>
      </c>
      <c r="CE50" s="92"/>
      <c r="CF50" s="92"/>
      <c r="CG50" s="92"/>
      <c r="CH50" s="92"/>
      <c r="CI50" s="92"/>
      <c r="CJ50" s="92"/>
      <c r="CK50" s="92"/>
      <c r="CL50" s="92"/>
      <c r="CM50" s="92"/>
      <c r="CN50" s="92"/>
      <c r="CO50" s="92"/>
      <c r="CP50" s="92"/>
      <c r="CQ50" s="92"/>
      <c r="CR50" s="92"/>
      <c r="CS50" s="92"/>
      <c r="CT50" s="92"/>
      <c r="CU50" s="92"/>
      <c r="CV50" s="92"/>
      <c r="CW50" s="92"/>
      <c r="CX50" s="92"/>
      <c r="CY50" s="92"/>
      <c r="CZ50" s="92"/>
      <c r="DA50" s="46"/>
      <c r="DB50" s="92" t="s">
        <v>440</v>
      </c>
      <c r="DC50" s="92">
        <v>25</v>
      </c>
      <c r="DD50" s="92">
        <v>469</v>
      </c>
      <c r="DE50" s="92">
        <f t="shared" si="120"/>
        <v>1053</v>
      </c>
      <c r="DF50" s="92">
        <f t="shared" si="121"/>
        <v>1393</v>
      </c>
      <c r="DG50" s="92">
        <f t="shared" si="122"/>
        <v>1928.7999999999997</v>
      </c>
      <c r="DH50" s="92">
        <f t="shared" si="123"/>
        <v>2338.5</v>
      </c>
      <c r="DI50" s="92">
        <f t="shared" si="124"/>
        <v>1676.3999999999999</v>
      </c>
      <c r="DJ50" s="92">
        <f t="shared" si="125"/>
        <v>2243</v>
      </c>
      <c r="DK50" s="92">
        <f t="shared" si="119"/>
        <v>2298</v>
      </c>
      <c r="DL50" s="92">
        <f t="shared" si="115"/>
        <v>2428</v>
      </c>
      <c r="DM50" s="92">
        <f t="shared" si="116"/>
        <v>2567</v>
      </c>
      <c r="DN50" s="92">
        <f t="shared" si="117"/>
        <v>2657</v>
      </c>
      <c r="DO50" s="92">
        <f t="shared" si="118"/>
        <v>2650</v>
      </c>
      <c r="DP50" s="92">
        <f t="shared" si="111"/>
        <v>2527</v>
      </c>
      <c r="DQ50" s="92">
        <f t="shared" si="112"/>
        <v>2560</v>
      </c>
      <c r="DR50" s="92">
        <f t="shared" si="113"/>
        <v>1344</v>
      </c>
      <c r="DS50" s="92">
        <f t="shared" si="114"/>
        <v>858</v>
      </c>
      <c r="DT50" s="92">
        <f t="shared" si="126"/>
        <v>589</v>
      </c>
      <c r="DU50" s="92">
        <f t="shared" si="127"/>
        <v>380</v>
      </c>
      <c r="DV50" s="92"/>
      <c r="DW50" s="92"/>
      <c r="DX50" s="92"/>
      <c r="DY50" s="92"/>
      <c r="DZ50" s="92"/>
      <c r="EA50" s="92"/>
      <c r="EC50" s="85"/>
    </row>
    <row r="51" spans="2:136" s="39" customFormat="1" ht="0.75" customHeight="1">
      <c r="B51" s="44" t="s">
        <v>474</v>
      </c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>
        <v>0</v>
      </c>
      <c r="P51" s="92">
        <v>5</v>
      </c>
      <c r="Q51" s="92">
        <v>52</v>
      </c>
      <c r="R51" s="92">
        <v>76</v>
      </c>
      <c r="S51" s="92">
        <v>179</v>
      </c>
      <c r="T51" s="92">
        <v>193</v>
      </c>
      <c r="U51" s="92">
        <v>274</v>
      </c>
      <c r="V51" s="92">
        <v>355</v>
      </c>
      <c r="W51" s="92">
        <v>378.4</v>
      </c>
      <c r="X51" s="92">
        <v>497.4</v>
      </c>
      <c r="Y51" s="92">
        <v>526.6</v>
      </c>
      <c r="Z51" s="92">
        <v>552.9</v>
      </c>
      <c r="AA51" s="92">
        <v>623.79999999999995</v>
      </c>
      <c r="AB51" s="92">
        <v>686.4</v>
      </c>
      <c r="AC51" s="92">
        <v>693</v>
      </c>
      <c r="AD51" s="92">
        <v>600</v>
      </c>
      <c r="AE51" s="92">
        <v>651.20000000000005</v>
      </c>
      <c r="AF51" s="92">
        <v>592.1</v>
      </c>
      <c r="AG51" s="92">
        <v>567.20000000000005</v>
      </c>
      <c r="AH51" s="92">
        <f>AG51+10</f>
        <v>577.20000000000005</v>
      </c>
      <c r="AI51" s="127">
        <v>477</v>
      </c>
      <c r="AJ51" s="92">
        <v>532</v>
      </c>
      <c r="AK51" s="92">
        <v>525</v>
      </c>
      <c r="AL51" s="92">
        <v>577</v>
      </c>
      <c r="AM51" s="92">
        <v>477</v>
      </c>
      <c r="AN51" s="92">
        <v>490</v>
      </c>
      <c r="AO51" s="92">
        <v>485</v>
      </c>
      <c r="AP51" s="92">
        <v>562</v>
      </c>
      <c r="AQ51" s="92">
        <v>480</v>
      </c>
      <c r="AR51" s="92">
        <v>459</v>
      </c>
      <c r="AS51" s="92">
        <v>469</v>
      </c>
      <c r="AT51" s="92">
        <v>475</v>
      </c>
      <c r="AU51" s="92">
        <v>444</v>
      </c>
      <c r="AV51" s="92">
        <v>445</v>
      </c>
      <c r="AW51" s="92">
        <v>423</v>
      </c>
      <c r="AX51" s="92">
        <v>435</v>
      </c>
      <c r="AY51" s="92">
        <v>394</v>
      </c>
      <c r="AZ51" s="92">
        <v>417</v>
      </c>
      <c r="BA51" s="92">
        <v>396</v>
      </c>
      <c r="BB51" s="92">
        <v>436</v>
      </c>
      <c r="BC51" s="92">
        <v>361</v>
      </c>
      <c r="BD51" s="92">
        <v>417</v>
      </c>
      <c r="BE51" s="92">
        <v>369</v>
      </c>
      <c r="BF51" s="92">
        <v>370</v>
      </c>
      <c r="BG51" s="92">
        <v>320</v>
      </c>
      <c r="BH51" s="92">
        <v>320</v>
      </c>
      <c r="BI51" s="92">
        <v>302</v>
      </c>
      <c r="BJ51" s="92">
        <v>308</v>
      </c>
      <c r="BK51" s="92">
        <v>277</v>
      </c>
      <c r="BL51" s="92">
        <v>293</v>
      </c>
      <c r="BM51" s="92">
        <v>273</v>
      </c>
      <c r="BN51" s="92">
        <v>299</v>
      </c>
      <c r="BO51" s="92">
        <v>241</v>
      </c>
      <c r="BP51" s="92">
        <v>182</v>
      </c>
      <c r="BQ51" s="92">
        <v>142</v>
      </c>
      <c r="BR51" s="92">
        <v>186</v>
      </c>
      <c r="BS51" s="92">
        <v>167</v>
      </c>
      <c r="BT51" s="92">
        <v>155</v>
      </c>
      <c r="BU51" s="92">
        <v>92</v>
      </c>
      <c r="BV51" s="92">
        <v>83</v>
      </c>
      <c r="BW51" s="92">
        <v>97</v>
      </c>
      <c r="BX51" s="92">
        <v>76</v>
      </c>
      <c r="BY51" s="92">
        <v>57</v>
      </c>
      <c r="BZ51" s="92">
        <v>54</v>
      </c>
      <c r="CA51" s="92">
        <v>53</v>
      </c>
      <c r="CB51" s="92">
        <v>39</v>
      </c>
      <c r="CC51" s="94" t="s">
        <v>782</v>
      </c>
      <c r="CD51" s="92">
        <v>43</v>
      </c>
      <c r="CE51" s="92"/>
      <c r="CF51" s="92"/>
      <c r="CG51" s="92"/>
      <c r="CH51" s="92"/>
      <c r="CI51" s="92"/>
      <c r="CJ51" s="92"/>
      <c r="CK51" s="92"/>
      <c r="CL51" s="92"/>
      <c r="CM51" s="92"/>
      <c r="CN51" s="92"/>
      <c r="CO51" s="92"/>
      <c r="CP51" s="92"/>
      <c r="CQ51" s="92"/>
      <c r="CR51" s="92"/>
      <c r="CS51" s="92"/>
      <c r="CT51" s="92"/>
      <c r="CU51" s="92"/>
      <c r="CV51" s="92"/>
      <c r="CW51" s="92"/>
      <c r="CX51" s="92"/>
      <c r="CY51" s="92"/>
      <c r="CZ51" s="92"/>
      <c r="DA51" s="46"/>
      <c r="DB51" s="92" t="s">
        <v>440</v>
      </c>
      <c r="DC51" s="92" t="s">
        <v>440</v>
      </c>
      <c r="DD51" s="92" t="s">
        <v>440</v>
      </c>
      <c r="DE51" s="92">
        <f t="shared" si="120"/>
        <v>133</v>
      </c>
      <c r="DF51" s="92">
        <f t="shared" si="121"/>
        <v>1001</v>
      </c>
      <c r="DG51" s="92">
        <f t="shared" si="122"/>
        <v>1955.3000000000002</v>
      </c>
      <c r="DH51" s="92">
        <f t="shared" si="123"/>
        <v>2603.1999999999998</v>
      </c>
      <c r="DI51" s="92">
        <f t="shared" si="124"/>
        <v>2387.7000000000003</v>
      </c>
      <c r="DJ51" s="92">
        <f t="shared" si="125"/>
        <v>2111</v>
      </c>
      <c r="DK51" s="92">
        <f t="shared" si="119"/>
        <v>2014</v>
      </c>
      <c r="DL51" s="92">
        <f t="shared" si="115"/>
        <v>1883</v>
      </c>
      <c r="DM51" s="92">
        <f t="shared" si="116"/>
        <v>1747</v>
      </c>
      <c r="DN51" s="92">
        <f t="shared" si="117"/>
        <v>1643</v>
      </c>
      <c r="DO51" s="92">
        <f t="shared" si="118"/>
        <v>1517</v>
      </c>
      <c r="DP51" s="92">
        <f t="shared" si="111"/>
        <v>1250</v>
      </c>
      <c r="DQ51" s="92">
        <f t="shared" si="112"/>
        <v>1142</v>
      </c>
      <c r="DR51" s="92">
        <f t="shared" si="113"/>
        <v>751</v>
      </c>
      <c r="DS51" s="92">
        <f t="shared" si="114"/>
        <v>497</v>
      </c>
      <c r="DT51" s="92">
        <f t="shared" si="126"/>
        <v>284</v>
      </c>
      <c r="DU51" s="92">
        <f t="shared" si="127"/>
        <v>135</v>
      </c>
      <c r="DV51" s="92"/>
      <c r="DW51" s="92"/>
      <c r="DX51" s="92"/>
      <c r="DY51" s="92"/>
      <c r="DZ51" s="92"/>
      <c r="EA51" s="92"/>
      <c r="EC51" s="85"/>
    </row>
    <row r="52" spans="2:136" s="39" customFormat="1" ht="0.75" customHeight="1">
      <c r="B52" s="44" t="s">
        <v>752</v>
      </c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92"/>
      <c r="BH52" s="92"/>
      <c r="BI52" s="92"/>
      <c r="BJ52" s="92"/>
      <c r="BK52" s="92"/>
      <c r="BL52" s="92"/>
      <c r="BM52" s="92"/>
      <c r="BN52" s="92"/>
      <c r="BO52" s="92">
        <v>49</v>
      </c>
      <c r="BP52" s="92">
        <v>63</v>
      </c>
      <c r="BQ52" s="92">
        <v>59</v>
      </c>
      <c r="BR52" s="92">
        <v>54</v>
      </c>
      <c r="BS52" s="92">
        <v>73</v>
      </c>
      <c r="BT52" s="92">
        <v>101</v>
      </c>
      <c r="BU52" s="92">
        <v>84</v>
      </c>
      <c r="BV52" s="92">
        <v>89</v>
      </c>
      <c r="BW52" s="92">
        <v>94</v>
      </c>
      <c r="BX52" s="92">
        <v>92</v>
      </c>
      <c r="BY52" s="92">
        <v>97</v>
      </c>
      <c r="BZ52" s="92">
        <v>108</v>
      </c>
      <c r="CA52" s="92">
        <v>122</v>
      </c>
      <c r="CB52" s="92">
        <v>115</v>
      </c>
      <c r="CC52" s="94" t="s">
        <v>559</v>
      </c>
      <c r="CD52" s="92">
        <v>105</v>
      </c>
      <c r="CE52" s="92"/>
      <c r="CF52" s="92"/>
      <c r="CG52" s="92"/>
      <c r="CH52" s="92"/>
      <c r="CI52" s="92"/>
      <c r="CJ52" s="92"/>
      <c r="CK52" s="92"/>
      <c r="CL52" s="92"/>
      <c r="CM52" s="92"/>
      <c r="CN52" s="92"/>
      <c r="CO52" s="92"/>
      <c r="CP52" s="92"/>
      <c r="CQ52" s="92"/>
      <c r="CR52" s="92"/>
      <c r="CS52" s="92"/>
      <c r="CT52" s="92"/>
      <c r="CU52" s="92"/>
      <c r="CV52" s="92"/>
      <c r="CW52" s="92"/>
      <c r="CX52" s="92"/>
      <c r="CY52" s="92"/>
      <c r="CZ52" s="92"/>
      <c r="DA52" s="46"/>
      <c r="DB52" s="92"/>
      <c r="DC52" s="92"/>
      <c r="DD52" s="92"/>
      <c r="DE52" s="92"/>
      <c r="DF52" s="92"/>
      <c r="DG52" s="92"/>
      <c r="DH52" s="92"/>
      <c r="DI52" s="92"/>
      <c r="DJ52" s="92"/>
      <c r="DK52" s="92"/>
      <c r="DL52" s="92"/>
      <c r="DM52" s="92"/>
      <c r="DN52" s="92"/>
      <c r="DO52" s="92"/>
      <c r="DP52" s="92"/>
      <c r="DQ52" s="92"/>
      <c r="DR52" s="92">
        <f t="shared" si="113"/>
        <v>225</v>
      </c>
      <c r="DS52" s="92">
        <f t="shared" si="114"/>
        <v>347</v>
      </c>
      <c r="DT52" s="92">
        <f t="shared" si="126"/>
        <v>391</v>
      </c>
      <c r="DU52" s="92">
        <f t="shared" si="127"/>
        <v>342</v>
      </c>
      <c r="DV52" s="92"/>
      <c r="DW52" s="92"/>
      <c r="DX52" s="92"/>
      <c r="DY52" s="92"/>
      <c r="DZ52" s="92"/>
      <c r="EA52" s="92"/>
      <c r="EC52" s="85"/>
    </row>
    <row r="53" spans="2:136" s="39" customFormat="1" ht="0.75" customHeight="1">
      <c r="B53" s="44" t="s">
        <v>568</v>
      </c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4" t="s">
        <v>534</v>
      </c>
      <c r="AE53" s="94" t="s">
        <v>533</v>
      </c>
      <c r="AF53" s="94" t="s">
        <v>554</v>
      </c>
      <c r="AG53" s="94" t="s">
        <v>546</v>
      </c>
      <c r="AH53" s="94" t="s">
        <v>532</v>
      </c>
      <c r="AI53" s="128" t="s">
        <v>520</v>
      </c>
      <c r="AJ53" s="94" t="s">
        <v>511</v>
      </c>
      <c r="AK53" s="94" t="s">
        <v>502</v>
      </c>
      <c r="AL53" s="92">
        <v>165</v>
      </c>
      <c r="AM53" s="92">
        <f>155+164</f>
        <v>319</v>
      </c>
      <c r="AN53" s="92">
        <v>338</v>
      </c>
      <c r="AO53" s="92">
        <v>259</v>
      </c>
      <c r="AP53" s="92">
        <v>303</v>
      </c>
      <c r="AQ53" s="92">
        <v>373</v>
      </c>
      <c r="AR53" s="92">
        <v>323</v>
      </c>
      <c r="AS53" s="92">
        <v>266</v>
      </c>
      <c r="AT53" s="92">
        <v>325</v>
      </c>
      <c r="AU53" s="92">
        <v>375</v>
      </c>
      <c r="AV53" s="92">
        <v>293</v>
      </c>
      <c r="AW53" s="92">
        <v>292</v>
      </c>
      <c r="AX53" s="92">
        <v>308</v>
      </c>
      <c r="AY53" s="92">
        <v>385</v>
      </c>
      <c r="AZ53" s="92">
        <v>325</v>
      </c>
      <c r="BA53" s="92">
        <v>297</v>
      </c>
      <c r="BB53" s="92">
        <v>327</v>
      </c>
      <c r="BC53" s="92">
        <v>312</v>
      </c>
      <c r="BD53" s="92">
        <v>258</v>
      </c>
      <c r="BE53" s="92">
        <v>261</v>
      </c>
      <c r="BF53" s="92">
        <v>268</v>
      </c>
      <c r="BG53" s="92">
        <v>289</v>
      </c>
      <c r="BH53" s="92">
        <v>215</v>
      </c>
      <c r="BI53" s="92">
        <v>121</v>
      </c>
      <c r="BJ53" s="92">
        <v>231</v>
      </c>
      <c r="BK53" s="92">
        <v>229</v>
      </c>
      <c r="BL53" s="92">
        <v>101</v>
      </c>
      <c r="BM53" s="92">
        <v>94</v>
      </c>
      <c r="BN53" s="92">
        <v>112</v>
      </c>
      <c r="BO53" s="92">
        <v>139</v>
      </c>
      <c r="BP53" s="92">
        <v>85</v>
      </c>
      <c r="BQ53" s="92">
        <v>42</v>
      </c>
      <c r="BR53" s="92">
        <v>120</v>
      </c>
      <c r="BS53" s="92">
        <v>122</v>
      </c>
      <c r="BT53" s="92">
        <v>81</v>
      </c>
      <c r="BU53" s="92">
        <v>71</v>
      </c>
      <c r="BV53" s="92">
        <v>102</v>
      </c>
      <c r="BW53" s="92">
        <v>96</v>
      </c>
      <c r="BX53" s="92">
        <v>72</v>
      </c>
      <c r="BY53" s="92">
        <v>58</v>
      </c>
      <c r="BZ53" s="92">
        <v>67</v>
      </c>
      <c r="CA53" s="92">
        <v>71</v>
      </c>
      <c r="CB53" s="92">
        <v>49</v>
      </c>
      <c r="CC53" s="94" t="s">
        <v>624</v>
      </c>
      <c r="CD53" s="92">
        <v>57</v>
      </c>
      <c r="CE53" s="92"/>
      <c r="CF53" s="92"/>
      <c r="CG53" s="92"/>
      <c r="CH53" s="92"/>
      <c r="CI53" s="92"/>
      <c r="CJ53" s="92"/>
      <c r="CK53" s="92"/>
      <c r="CL53" s="92"/>
      <c r="CM53" s="92"/>
      <c r="CN53" s="92"/>
      <c r="CO53" s="92"/>
      <c r="CP53" s="92"/>
      <c r="CQ53" s="92"/>
      <c r="CR53" s="92"/>
      <c r="CS53" s="92"/>
      <c r="CT53" s="92"/>
      <c r="CU53" s="92"/>
      <c r="CV53" s="92"/>
      <c r="CW53" s="92"/>
      <c r="CX53" s="92"/>
      <c r="CY53" s="92"/>
      <c r="CZ53" s="92"/>
      <c r="DA53" s="46"/>
      <c r="DB53" s="92"/>
      <c r="DC53" s="92"/>
      <c r="DD53" s="92"/>
      <c r="DE53" s="92"/>
      <c r="DF53" s="92"/>
      <c r="DG53" s="92"/>
      <c r="DH53" s="92"/>
      <c r="DI53" s="94" t="s">
        <v>562</v>
      </c>
      <c r="DJ53" s="94" t="s">
        <v>563</v>
      </c>
      <c r="DK53" s="92">
        <f>SUM(AM53:AP53)</f>
        <v>1219</v>
      </c>
      <c r="DL53" s="92">
        <f>DK53</f>
        <v>1219</v>
      </c>
      <c r="DM53" s="92">
        <f>SUM(AU53:AX53)</f>
        <v>1268</v>
      </c>
      <c r="DN53" s="92">
        <f>SUM(AY53:BB53)</f>
        <v>1334</v>
      </c>
      <c r="DO53" s="92">
        <f>SUM(BC53:BF53)</f>
        <v>1099</v>
      </c>
      <c r="DP53" s="92">
        <f>SUM(BG53:BJ53)</f>
        <v>856</v>
      </c>
      <c r="DQ53" s="92">
        <f>SUM(BK53:BN53)</f>
        <v>536</v>
      </c>
      <c r="DR53" s="92">
        <f t="shared" si="113"/>
        <v>386</v>
      </c>
      <c r="DS53" s="92">
        <f t="shared" si="114"/>
        <v>376</v>
      </c>
      <c r="DT53" s="92">
        <f t="shared" si="126"/>
        <v>293</v>
      </c>
      <c r="DU53" s="92">
        <f t="shared" si="127"/>
        <v>177</v>
      </c>
      <c r="DV53" s="92"/>
      <c r="DW53" s="92"/>
      <c r="DX53" s="92"/>
      <c r="DY53" s="92"/>
      <c r="DZ53" s="92"/>
      <c r="EA53" s="92"/>
      <c r="EC53" s="28"/>
      <c r="EF53" s="41"/>
    </row>
    <row r="54" spans="2:136" s="39" customFormat="1" ht="0.75" customHeight="1">
      <c r="B54" s="44" t="s">
        <v>774</v>
      </c>
      <c r="C54" s="92">
        <v>430.71800000000002</v>
      </c>
      <c r="D54" s="92">
        <v>430.71800000000002</v>
      </c>
      <c r="E54" s="92">
        <v>508.7876</v>
      </c>
      <c r="F54" s="92">
        <v>454.80281608529947</v>
      </c>
      <c r="G54" s="92">
        <v>422</v>
      </c>
      <c r="H54" s="92">
        <v>525</v>
      </c>
      <c r="I54" s="92">
        <v>549</v>
      </c>
      <c r="J54" s="92">
        <v>681</v>
      </c>
      <c r="K54" s="92">
        <v>633</v>
      </c>
      <c r="L54" s="92">
        <v>541</v>
      </c>
      <c r="M54" s="92">
        <v>622</v>
      </c>
      <c r="N54" s="92">
        <v>690</v>
      </c>
      <c r="O54" s="92">
        <v>629</v>
      </c>
      <c r="P54" s="92">
        <v>725</v>
      </c>
      <c r="Q54" s="92">
        <v>706</v>
      </c>
      <c r="R54" s="92">
        <v>764</v>
      </c>
      <c r="S54" s="92">
        <v>719</v>
      </c>
      <c r="T54" s="92">
        <v>785</v>
      </c>
      <c r="U54" s="92">
        <v>751</v>
      </c>
      <c r="V54" s="92">
        <v>782</v>
      </c>
      <c r="W54" s="92">
        <v>701</v>
      </c>
      <c r="X54" s="92">
        <v>784</v>
      </c>
      <c r="Y54" s="92">
        <v>813</v>
      </c>
      <c r="Z54" s="92">
        <v>865</v>
      </c>
      <c r="AA54" s="92">
        <v>798</v>
      </c>
      <c r="AB54" s="92">
        <v>847</v>
      </c>
      <c r="AC54" s="92">
        <v>814</v>
      </c>
      <c r="AD54" s="92">
        <v>800</v>
      </c>
      <c r="AE54" s="92">
        <v>847</v>
      </c>
      <c r="AF54" s="92">
        <v>941</v>
      </c>
      <c r="AG54" s="92">
        <v>888</v>
      </c>
      <c r="AH54" s="92">
        <f>+AG54+5</f>
        <v>893</v>
      </c>
      <c r="AI54" s="127">
        <v>839</v>
      </c>
      <c r="AJ54" s="92">
        <v>906</v>
      </c>
      <c r="AK54" s="92">
        <v>861</v>
      </c>
      <c r="AL54" s="92">
        <v>955</v>
      </c>
      <c r="AM54" s="92">
        <v>782</v>
      </c>
      <c r="AN54" s="92">
        <v>485</v>
      </c>
      <c r="AO54" s="92">
        <v>423</v>
      </c>
      <c r="AP54" s="92">
        <v>415</v>
      </c>
      <c r="AQ54" s="92">
        <v>426</v>
      </c>
      <c r="AR54" s="92">
        <v>406</v>
      </c>
      <c r="AS54" s="92">
        <v>404</v>
      </c>
      <c r="AT54" s="92">
        <v>427</v>
      </c>
      <c r="AU54" s="92">
        <v>336</v>
      </c>
      <c r="AV54" s="92">
        <v>337</v>
      </c>
      <c r="AW54" s="92">
        <v>295</v>
      </c>
      <c r="AX54" s="92">
        <v>315</v>
      </c>
      <c r="AY54" s="92">
        <v>267</v>
      </c>
      <c r="AZ54" s="92">
        <v>255</v>
      </c>
      <c r="BA54" s="92">
        <v>238</v>
      </c>
      <c r="BB54" s="92">
        <v>246</v>
      </c>
      <c r="BC54" s="92">
        <v>205</v>
      </c>
      <c r="BD54" s="92">
        <v>214</v>
      </c>
      <c r="BE54" s="92">
        <v>195</v>
      </c>
      <c r="BF54" s="92">
        <v>192</v>
      </c>
      <c r="BG54" s="92">
        <v>185</v>
      </c>
      <c r="BH54" s="92">
        <v>189</v>
      </c>
      <c r="BI54" s="92">
        <v>150</v>
      </c>
      <c r="BJ54" s="92">
        <v>143</v>
      </c>
      <c r="BK54" s="92">
        <v>126</v>
      </c>
      <c r="BL54" s="92">
        <v>132</v>
      </c>
      <c r="BM54" s="92">
        <v>131</v>
      </c>
      <c r="BN54" s="92">
        <v>121</v>
      </c>
      <c r="BO54" s="92">
        <v>112</v>
      </c>
      <c r="BP54" s="92">
        <v>119</v>
      </c>
      <c r="BQ54" s="92">
        <v>128</v>
      </c>
      <c r="BR54" s="92">
        <v>125</v>
      </c>
      <c r="BS54" s="92">
        <v>120</v>
      </c>
      <c r="BT54" s="92">
        <v>125</v>
      </c>
      <c r="BU54" s="92">
        <v>103</v>
      </c>
      <c r="BV54" s="92">
        <v>105</v>
      </c>
      <c r="BW54" s="92">
        <v>103</v>
      </c>
      <c r="BX54" s="92">
        <v>109</v>
      </c>
      <c r="BY54" s="92">
        <v>116</v>
      </c>
      <c r="BZ54" s="92">
        <v>113</v>
      </c>
      <c r="CA54" s="92">
        <v>102</v>
      </c>
      <c r="CB54" s="92">
        <v>98</v>
      </c>
      <c r="CC54" s="94" t="s">
        <v>783</v>
      </c>
      <c r="CD54" s="92">
        <v>94</v>
      </c>
      <c r="CE54" s="92"/>
      <c r="CF54" s="92"/>
      <c r="CG54" s="92"/>
      <c r="CH54" s="92"/>
      <c r="CI54" s="92"/>
      <c r="CJ54" s="92"/>
      <c r="CK54" s="92"/>
      <c r="CL54" s="92"/>
      <c r="CM54" s="92"/>
      <c r="CN54" s="92"/>
      <c r="CO54" s="92"/>
      <c r="CP54" s="92"/>
      <c r="CQ54" s="92"/>
      <c r="CR54" s="92"/>
      <c r="CS54" s="92"/>
      <c r="CT54" s="92"/>
      <c r="CU54" s="92"/>
      <c r="CV54" s="92"/>
      <c r="CW54" s="92"/>
      <c r="CX54" s="92"/>
      <c r="CY54" s="92"/>
      <c r="CZ54" s="92"/>
      <c r="DA54" s="46"/>
      <c r="DB54" s="92">
        <v>1825</v>
      </c>
      <c r="DC54" s="92">
        <v>2190</v>
      </c>
      <c r="DD54" s="92">
        <v>2486</v>
      </c>
      <c r="DE54" s="92">
        <f>SUM(O54:R54)</f>
        <v>2824</v>
      </c>
      <c r="DF54" s="92">
        <f>SUM(S54:V54)</f>
        <v>3037</v>
      </c>
      <c r="DG54" s="92">
        <f>SUM(W54:Z54)</f>
        <v>3163</v>
      </c>
      <c r="DH54" s="92">
        <f>SUM(AA54:AD54)</f>
        <v>3259</v>
      </c>
      <c r="DI54" s="92">
        <f>SUM(AE54:AH54)</f>
        <v>3569</v>
      </c>
      <c r="DJ54" s="92">
        <f>SUM(AI54:AL54)</f>
        <v>3561</v>
      </c>
      <c r="DK54" s="92">
        <f>SUM(AM54:AP54)</f>
        <v>2105</v>
      </c>
      <c r="DL54" s="92">
        <f>SUM(AQ54:AT54)</f>
        <v>1663</v>
      </c>
      <c r="DM54" s="92">
        <f>SUM(AU54:AX54)</f>
        <v>1283</v>
      </c>
      <c r="DN54" s="92">
        <f>SUM(AY54:BB54)</f>
        <v>1006</v>
      </c>
      <c r="DO54" s="92">
        <f>SUM(BC54:BF54)</f>
        <v>806</v>
      </c>
      <c r="DP54" s="92">
        <f>SUM(BG54:BJ54)</f>
        <v>667</v>
      </c>
      <c r="DQ54" s="92">
        <f>SUM(BK54:BN54)</f>
        <v>510</v>
      </c>
      <c r="DR54" s="92">
        <f t="shared" si="113"/>
        <v>484</v>
      </c>
      <c r="DS54" s="92">
        <f t="shared" si="114"/>
        <v>453</v>
      </c>
      <c r="DT54" s="92">
        <f t="shared" si="126"/>
        <v>441</v>
      </c>
      <c r="DU54" s="92">
        <f t="shared" si="127"/>
        <v>294</v>
      </c>
      <c r="DV54" s="92"/>
      <c r="DW54" s="92"/>
      <c r="DX54" s="92"/>
      <c r="DY54" s="92"/>
      <c r="DZ54" s="92"/>
      <c r="EA54" s="92"/>
      <c r="EB54" s="95"/>
      <c r="EC54" s="92"/>
      <c r="ED54" s="95"/>
      <c r="EE54" s="95"/>
      <c r="EF54" s="90"/>
    </row>
    <row r="55" spans="2:136" s="8" customFormat="1" ht="0.75" customHeight="1">
      <c r="B55" s="45" t="s">
        <v>632</v>
      </c>
      <c r="C55" s="9"/>
      <c r="D55" s="9"/>
      <c r="E55" s="9"/>
      <c r="F55" s="9"/>
      <c r="G55" s="7"/>
      <c r="H55" s="7"/>
      <c r="I55" s="92"/>
      <c r="J55" s="92"/>
      <c r="K55" s="92"/>
      <c r="L55" s="92"/>
      <c r="M55" s="92"/>
      <c r="N55" s="92"/>
      <c r="O55" s="92">
        <v>63</v>
      </c>
      <c r="P55" s="92">
        <v>65</v>
      </c>
      <c r="Q55" s="92">
        <v>67</v>
      </c>
      <c r="R55" s="92">
        <v>76</v>
      </c>
      <c r="S55" s="92">
        <v>70</v>
      </c>
      <c r="T55" s="92">
        <v>69</v>
      </c>
      <c r="U55" s="92">
        <v>67</v>
      </c>
      <c r="V55" s="92">
        <v>86</v>
      </c>
      <c r="W55" s="92">
        <v>75</v>
      </c>
      <c r="X55" s="92">
        <v>85</v>
      </c>
      <c r="Y55" s="92">
        <v>89</v>
      </c>
      <c r="Z55" s="92">
        <v>103</v>
      </c>
      <c r="AA55" s="92">
        <v>95</v>
      </c>
      <c r="AB55" s="92">
        <v>98</v>
      </c>
      <c r="AC55" s="91">
        <v>99</v>
      </c>
      <c r="AD55" s="92">
        <f>AC55</f>
        <v>99</v>
      </c>
      <c r="AE55" s="92">
        <v>105</v>
      </c>
      <c r="AF55" s="92">
        <v>108</v>
      </c>
      <c r="AG55" s="92">
        <v>108</v>
      </c>
      <c r="AH55" s="92">
        <f>AG55</f>
        <v>108</v>
      </c>
      <c r="AI55" s="127">
        <v>103</v>
      </c>
      <c r="AJ55" s="92">
        <v>106</v>
      </c>
      <c r="AK55" s="92">
        <v>109</v>
      </c>
      <c r="AL55" s="92">
        <v>123</v>
      </c>
      <c r="AM55" s="92">
        <f>35+64</f>
        <v>99</v>
      </c>
      <c r="AN55" s="92">
        <v>113</v>
      </c>
      <c r="AO55" s="92">
        <v>109</v>
      </c>
      <c r="AP55" s="92">
        <v>124</v>
      </c>
      <c r="AQ55" s="92">
        <v>106</v>
      </c>
      <c r="AR55" s="92">
        <v>112</v>
      </c>
      <c r="AS55" s="92">
        <v>112</v>
      </c>
      <c r="AT55" s="92">
        <v>117</v>
      </c>
      <c r="AU55" s="92">
        <v>108</v>
      </c>
      <c r="AV55" s="92">
        <v>100</v>
      </c>
      <c r="AW55" s="92">
        <v>104</v>
      </c>
      <c r="AX55" s="92">
        <v>112</v>
      </c>
      <c r="AY55" s="92">
        <v>68</v>
      </c>
      <c r="AZ55" s="92">
        <v>67</v>
      </c>
      <c r="BA55" s="92">
        <v>71</v>
      </c>
      <c r="BB55" s="92">
        <v>77</v>
      </c>
      <c r="BC55" s="92">
        <v>74</v>
      </c>
      <c r="BD55" s="92">
        <v>58</v>
      </c>
      <c r="BE55" s="92">
        <v>66</v>
      </c>
      <c r="BF55" s="92">
        <v>67</v>
      </c>
      <c r="BG55" s="92"/>
      <c r="BH55" s="92"/>
      <c r="BI55" s="92"/>
      <c r="BJ55" s="92"/>
      <c r="BK55" s="92"/>
      <c r="BL55" s="92"/>
      <c r="BM55" s="92"/>
      <c r="BN55" s="92"/>
      <c r="BO55" s="92"/>
      <c r="BP55" s="92"/>
      <c r="BQ55" s="92"/>
      <c r="BR55" s="92"/>
      <c r="BS55" s="92"/>
      <c r="BT55" s="92"/>
      <c r="BU55" s="92"/>
      <c r="BV55" s="92"/>
      <c r="BW55" s="92"/>
      <c r="BX55" s="92"/>
      <c r="BY55" s="92"/>
      <c r="BZ55" s="92"/>
      <c r="CA55" s="92"/>
      <c r="CB55" s="92"/>
      <c r="CC55" s="92"/>
      <c r="CD55" s="92"/>
      <c r="CE55" s="92"/>
      <c r="CF55" s="92"/>
      <c r="CG55" s="92"/>
      <c r="CH55" s="92"/>
      <c r="CI55" s="92"/>
      <c r="CJ55" s="92"/>
      <c r="CK55" s="92"/>
      <c r="CL55" s="92"/>
      <c r="CM55" s="92"/>
      <c r="CN55" s="92"/>
      <c r="CO55" s="92"/>
      <c r="CP55" s="92"/>
      <c r="CQ55" s="92"/>
      <c r="CR55" s="92"/>
      <c r="CS55" s="92"/>
      <c r="CT55" s="92"/>
      <c r="CU55" s="92"/>
      <c r="CV55" s="92"/>
      <c r="CW55" s="92"/>
      <c r="CX55" s="92"/>
      <c r="CY55" s="92"/>
      <c r="CZ55" s="92"/>
      <c r="DA55" s="47"/>
      <c r="DB55" s="9" t="s">
        <v>440</v>
      </c>
      <c r="DC55" s="92" t="s">
        <v>440</v>
      </c>
      <c r="DD55" s="92">
        <v>239</v>
      </c>
      <c r="DE55" s="92">
        <f>SUM(O55:R55)</f>
        <v>271</v>
      </c>
      <c r="DF55" s="92">
        <f>SUM(S55:V55)</f>
        <v>292</v>
      </c>
      <c r="DG55" s="92">
        <f>SUM(W55:Z55)</f>
        <v>352</v>
      </c>
      <c r="DH55" s="92">
        <f>SUM(AA55:AD55)</f>
        <v>391</v>
      </c>
      <c r="DI55" s="92">
        <f>SUM(AE55:AH55)</f>
        <v>429</v>
      </c>
      <c r="DJ55" s="92">
        <f>SUM(AI55:AL55)</f>
        <v>441</v>
      </c>
      <c r="DK55" s="92">
        <f>SUM(AM55:AP55)</f>
        <v>445</v>
      </c>
      <c r="DL55" s="92">
        <f t="shared" si="73"/>
        <v>447</v>
      </c>
      <c r="DM55" s="92">
        <f t="shared" si="29"/>
        <v>424</v>
      </c>
      <c r="DN55" s="92">
        <f t="shared" ref="DN55:DN56" si="128">SUM(AY55:BB55)</f>
        <v>283</v>
      </c>
      <c r="DO55" s="92">
        <f t="shared" ref="DO55:DO56" si="129">SUM(BC55:BF55)</f>
        <v>265</v>
      </c>
      <c r="DP55" s="92"/>
      <c r="DQ55" s="92"/>
      <c r="DR55" s="92"/>
      <c r="DS55" s="92"/>
      <c r="DT55" s="92"/>
      <c r="DU55" s="92"/>
      <c r="DV55" s="92"/>
      <c r="DW55" s="92"/>
      <c r="DX55" s="92"/>
      <c r="DY55" s="92"/>
      <c r="DZ55" s="92"/>
      <c r="EA55" s="92"/>
      <c r="EC55" s="28"/>
      <c r="EF55" s="97"/>
    </row>
    <row r="56" spans="2:136" s="8" customFormat="1" ht="0.75" customHeight="1">
      <c r="B56" s="45" t="s">
        <v>587</v>
      </c>
      <c r="C56" s="9"/>
      <c r="D56" s="9"/>
      <c r="E56" s="9"/>
      <c r="F56" s="9"/>
      <c r="G56" s="7"/>
      <c r="H56" s="7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128" t="s">
        <v>622</v>
      </c>
      <c r="AJ56" s="92">
        <v>50</v>
      </c>
      <c r="AK56" s="92">
        <v>74</v>
      </c>
      <c r="AL56" s="92">
        <v>38</v>
      </c>
      <c r="AM56" s="92">
        <v>51</v>
      </c>
      <c r="AN56" s="92">
        <v>59</v>
      </c>
      <c r="AO56" s="92">
        <v>50</v>
      </c>
      <c r="AP56" s="92">
        <v>62</v>
      </c>
      <c r="AQ56" s="92">
        <v>60</v>
      </c>
      <c r="AR56" s="92">
        <v>57</v>
      </c>
      <c r="AS56" s="92">
        <v>65</v>
      </c>
      <c r="AT56" s="92">
        <v>59</v>
      </c>
      <c r="AU56" s="92">
        <v>57</v>
      </c>
      <c r="AV56" s="92">
        <v>66</v>
      </c>
      <c r="AW56" s="92">
        <v>52</v>
      </c>
      <c r="AX56" s="92">
        <v>57</v>
      </c>
      <c r="AY56" s="92">
        <v>52</v>
      </c>
      <c r="AZ56" s="92">
        <v>53</v>
      </c>
      <c r="BA56" s="92">
        <v>44</v>
      </c>
      <c r="BB56" s="92">
        <v>56</v>
      </c>
      <c r="BC56" s="92">
        <v>50</v>
      </c>
      <c r="BD56" s="92">
        <v>40</v>
      </c>
      <c r="BE56" s="92">
        <v>47</v>
      </c>
      <c r="BF56" s="92">
        <v>56</v>
      </c>
      <c r="BG56" s="92"/>
      <c r="BH56" s="92"/>
      <c r="BI56" s="92"/>
      <c r="BJ56" s="92"/>
      <c r="BK56" s="92"/>
      <c r="BL56" s="92"/>
      <c r="BM56" s="92"/>
      <c r="BN56" s="92"/>
      <c r="BO56" s="92"/>
      <c r="BP56" s="92"/>
      <c r="BQ56" s="92"/>
      <c r="BR56" s="92"/>
      <c r="BS56" s="92"/>
      <c r="BT56" s="92"/>
      <c r="BU56" s="92"/>
      <c r="BV56" s="92"/>
      <c r="BW56" s="92"/>
      <c r="BX56" s="92"/>
      <c r="BY56" s="92"/>
      <c r="BZ56" s="92"/>
      <c r="CA56" s="92"/>
      <c r="CB56" s="92"/>
      <c r="CC56" s="92"/>
      <c r="CD56" s="92"/>
      <c r="CE56" s="92"/>
      <c r="CF56" s="92"/>
      <c r="CG56" s="92"/>
      <c r="CH56" s="92"/>
      <c r="CI56" s="92"/>
      <c r="CJ56" s="92"/>
      <c r="CK56" s="92"/>
      <c r="CL56" s="92"/>
      <c r="CM56" s="92"/>
      <c r="CN56" s="92"/>
      <c r="CO56" s="92"/>
      <c r="CP56" s="92"/>
      <c r="CQ56" s="92"/>
      <c r="CR56" s="92"/>
      <c r="CS56" s="92"/>
      <c r="CT56" s="92"/>
      <c r="CU56" s="92"/>
      <c r="CV56" s="92"/>
      <c r="CW56" s="92"/>
      <c r="CX56" s="92"/>
      <c r="CY56" s="92"/>
      <c r="CZ56" s="92"/>
      <c r="DA56" s="47"/>
      <c r="DB56" s="9"/>
      <c r="DC56" s="92"/>
      <c r="DD56" s="92"/>
      <c r="DE56" s="92"/>
      <c r="DF56" s="92"/>
      <c r="DG56" s="92"/>
      <c r="DH56" s="92"/>
      <c r="DI56" s="92"/>
      <c r="DJ56" s="92"/>
      <c r="DK56" s="92">
        <f t="shared" ref="DK56:DK69" si="130">SUM(AM56:AP56)</f>
        <v>222</v>
      </c>
      <c r="DL56" s="92">
        <f t="shared" si="73"/>
        <v>241</v>
      </c>
      <c r="DM56" s="92">
        <f t="shared" si="29"/>
        <v>232</v>
      </c>
      <c r="DN56" s="92">
        <f t="shared" si="128"/>
        <v>205</v>
      </c>
      <c r="DO56" s="92">
        <f t="shared" si="129"/>
        <v>193</v>
      </c>
      <c r="DP56" s="92"/>
      <c r="DQ56" s="92"/>
      <c r="DR56" s="92"/>
      <c r="DS56" s="92"/>
      <c r="DT56" s="92"/>
      <c r="DU56" s="92"/>
      <c r="DV56" s="92"/>
      <c r="DW56" s="92"/>
      <c r="DX56" s="92"/>
      <c r="DY56" s="92"/>
      <c r="DZ56" s="92"/>
      <c r="EA56" s="92"/>
      <c r="EC56" s="28"/>
    </row>
    <row r="57" spans="2:136" s="8" customFormat="1" ht="0.75" customHeight="1">
      <c r="B57" s="45" t="s">
        <v>102</v>
      </c>
      <c r="C57" s="9"/>
      <c r="D57" s="9"/>
      <c r="E57" s="9"/>
      <c r="F57" s="9"/>
      <c r="G57" s="7"/>
      <c r="H57" s="7"/>
      <c r="I57" s="92"/>
      <c r="J57" s="92"/>
      <c r="K57" s="92"/>
      <c r="L57" s="92"/>
      <c r="M57" s="92"/>
      <c r="N57" s="92"/>
      <c r="O57" s="92">
        <v>175</v>
      </c>
      <c r="P57" s="92">
        <v>185</v>
      </c>
      <c r="Q57" s="92">
        <v>180</v>
      </c>
      <c r="R57" s="92">
        <v>194</v>
      </c>
      <c r="S57" s="92">
        <v>175</v>
      </c>
      <c r="T57" s="92">
        <v>188</v>
      </c>
      <c r="U57" s="92">
        <v>186</v>
      </c>
      <c r="V57" s="92">
        <v>192</v>
      </c>
      <c r="W57" s="92">
        <v>188</v>
      </c>
      <c r="X57" s="92">
        <v>183</v>
      </c>
      <c r="Y57" s="92">
        <v>127</v>
      </c>
      <c r="Z57" s="92">
        <v>120</v>
      </c>
      <c r="AA57" s="92">
        <v>125</v>
      </c>
      <c r="AB57" s="92">
        <v>113</v>
      </c>
      <c r="AC57" s="91">
        <v>90</v>
      </c>
      <c r="AD57" s="92">
        <f>AC57</f>
        <v>90</v>
      </c>
      <c r="AE57" s="92">
        <v>85</v>
      </c>
      <c r="AF57" s="92">
        <v>86</v>
      </c>
      <c r="AG57" s="92">
        <v>81</v>
      </c>
      <c r="AH57" s="92">
        <f>AG57-2</f>
        <v>79</v>
      </c>
      <c r="AI57" s="127">
        <v>72</v>
      </c>
      <c r="AJ57" s="92">
        <v>79</v>
      </c>
      <c r="AK57" s="92">
        <v>67</v>
      </c>
      <c r="AL57" s="92">
        <v>72</v>
      </c>
      <c r="AM57" s="92">
        <v>58</v>
      </c>
      <c r="AN57" s="92">
        <v>56</v>
      </c>
      <c r="AO57" s="92">
        <v>58</v>
      </c>
      <c r="AP57" s="92">
        <v>44</v>
      </c>
      <c r="AQ57" s="92">
        <v>60</v>
      </c>
      <c r="AR57" s="92">
        <v>53</v>
      </c>
      <c r="AS57" s="92">
        <v>58</v>
      </c>
      <c r="AT57" s="92">
        <v>52</v>
      </c>
      <c r="AU57" s="92">
        <v>51</v>
      </c>
      <c r="AV57" s="92">
        <v>55</v>
      </c>
      <c r="AW57" s="92">
        <v>55</v>
      </c>
      <c r="AX57" s="92">
        <v>56</v>
      </c>
      <c r="AY57" s="92"/>
      <c r="AZ57" s="92"/>
      <c r="BA57" s="92"/>
      <c r="BB57" s="92"/>
      <c r="BC57" s="92"/>
      <c r="BD57" s="92"/>
      <c r="BE57" s="92"/>
      <c r="BF57" s="92"/>
      <c r="BG57" s="92"/>
      <c r="BH57" s="92"/>
      <c r="BI57" s="92"/>
      <c r="BJ57" s="92"/>
      <c r="BK57" s="92"/>
      <c r="BL57" s="92"/>
      <c r="BM57" s="92"/>
      <c r="BN57" s="92"/>
      <c r="BO57" s="92"/>
      <c r="BP57" s="92"/>
      <c r="BQ57" s="92"/>
      <c r="BR57" s="92"/>
      <c r="BS57" s="92"/>
      <c r="BT57" s="92"/>
      <c r="BU57" s="92"/>
      <c r="BV57" s="92"/>
      <c r="BW57" s="92"/>
      <c r="BX57" s="92"/>
      <c r="BY57" s="92"/>
      <c r="BZ57" s="92"/>
      <c r="CA57" s="92"/>
      <c r="CB57" s="92"/>
      <c r="CC57" s="92"/>
      <c r="CD57" s="92"/>
      <c r="CE57" s="92"/>
      <c r="CF57" s="92"/>
      <c r="CG57" s="92"/>
      <c r="CH57" s="92"/>
      <c r="CI57" s="92"/>
      <c r="CJ57" s="92"/>
      <c r="CK57" s="92"/>
      <c r="CL57" s="92"/>
      <c r="CM57" s="92"/>
      <c r="CN57" s="92"/>
      <c r="CO57" s="92"/>
      <c r="CP57" s="92"/>
      <c r="CQ57" s="92"/>
      <c r="CR57" s="92"/>
      <c r="CS57" s="92"/>
      <c r="CT57" s="92"/>
      <c r="CU57" s="92"/>
      <c r="CV57" s="92"/>
      <c r="CW57" s="92"/>
      <c r="CX57" s="92"/>
      <c r="CY57" s="92"/>
      <c r="CZ57" s="92"/>
      <c r="DA57" s="47"/>
      <c r="DB57" s="9" t="s">
        <v>440</v>
      </c>
      <c r="DC57" s="96" t="s">
        <v>440</v>
      </c>
      <c r="DD57" s="92">
        <v>606</v>
      </c>
      <c r="DE57" s="92">
        <f>SUM(O57:R57)</f>
        <v>734</v>
      </c>
      <c r="DF57" s="92">
        <f>SUM(S57:V57)</f>
        <v>741</v>
      </c>
      <c r="DG57" s="92">
        <f>SUM(W57:Z57)</f>
        <v>618</v>
      </c>
      <c r="DH57" s="92">
        <f>SUM(AA57:AD57)</f>
        <v>418</v>
      </c>
      <c r="DI57" s="92">
        <f>SUM(AE57:AH57)</f>
        <v>331</v>
      </c>
      <c r="DJ57" s="92">
        <f>SUM(AI57:AL57)</f>
        <v>290</v>
      </c>
      <c r="DK57" s="92">
        <f t="shared" si="130"/>
        <v>216</v>
      </c>
      <c r="DL57" s="92">
        <f t="shared" si="73"/>
        <v>223</v>
      </c>
      <c r="DM57" s="92">
        <f t="shared" si="29"/>
        <v>217</v>
      </c>
      <c r="DN57" s="92"/>
      <c r="DO57" s="92"/>
      <c r="DP57" s="92"/>
      <c r="DQ57" s="92"/>
      <c r="DR57" s="92"/>
      <c r="DS57" s="92"/>
      <c r="DT57" s="92"/>
      <c r="DU57" s="92"/>
      <c r="DV57" s="92"/>
      <c r="DW57" s="92"/>
      <c r="DX57" s="92"/>
      <c r="DY57" s="92"/>
      <c r="DZ57" s="92"/>
      <c r="EA57" s="92"/>
      <c r="EC57" s="28"/>
    </row>
    <row r="58" spans="2:136" s="8" customFormat="1" ht="0.75" customHeight="1">
      <c r="B58" s="45" t="s">
        <v>612</v>
      </c>
      <c r="C58" s="9"/>
      <c r="D58" s="9"/>
      <c r="E58" s="9"/>
      <c r="F58" s="9"/>
      <c r="G58" s="7"/>
      <c r="H58" s="7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1"/>
      <c r="AD58" s="92"/>
      <c r="AE58" s="92"/>
      <c r="AF58" s="92"/>
      <c r="AG58" s="92"/>
      <c r="AH58" s="92"/>
      <c r="AI58" s="128" t="s">
        <v>630</v>
      </c>
      <c r="AJ58" s="92">
        <v>71</v>
      </c>
      <c r="AK58" s="92">
        <v>70</v>
      </c>
      <c r="AL58" s="92">
        <v>118</v>
      </c>
      <c r="AM58" s="92">
        <v>106</v>
      </c>
      <c r="AN58" s="92">
        <v>59</v>
      </c>
      <c r="AO58" s="92">
        <v>59</v>
      </c>
      <c r="AP58" s="92">
        <v>92</v>
      </c>
      <c r="AQ58" s="92">
        <v>106</v>
      </c>
      <c r="AR58" s="92">
        <v>61</v>
      </c>
      <c r="AS58" s="92">
        <v>59</v>
      </c>
      <c r="AT58" s="92">
        <v>95</v>
      </c>
      <c r="AU58" s="92">
        <v>73</v>
      </c>
      <c r="AV58" s="92">
        <v>44</v>
      </c>
      <c r="AW58" s="92">
        <v>30</v>
      </c>
      <c r="AX58" s="92">
        <v>55</v>
      </c>
      <c r="AY58" s="92"/>
      <c r="AZ58" s="92"/>
      <c r="BA58" s="92"/>
      <c r="BB58" s="92"/>
      <c r="BC58" s="92"/>
      <c r="BD58" s="92"/>
      <c r="BE58" s="92"/>
      <c r="BF58" s="92"/>
      <c r="BG58" s="92"/>
      <c r="BH58" s="92"/>
      <c r="BI58" s="92"/>
      <c r="BJ58" s="92"/>
      <c r="BK58" s="92"/>
      <c r="BL58" s="92"/>
      <c r="BM58" s="92"/>
      <c r="BN58" s="92"/>
      <c r="BO58" s="92"/>
      <c r="BP58" s="92"/>
      <c r="BQ58" s="92"/>
      <c r="BR58" s="92"/>
      <c r="BS58" s="92"/>
      <c r="BT58" s="92"/>
      <c r="BU58" s="92"/>
      <c r="BV58" s="92"/>
      <c r="BW58" s="92"/>
      <c r="BX58" s="92"/>
      <c r="BY58" s="92"/>
      <c r="BZ58" s="92"/>
      <c r="CA58" s="92"/>
      <c r="CB58" s="92"/>
      <c r="CC58" s="92"/>
      <c r="CD58" s="92"/>
      <c r="CE58" s="92"/>
      <c r="CF58" s="92"/>
      <c r="CG58" s="92"/>
      <c r="CH58" s="92"/>
      <c r="CI58" s="92"/>
      <c r="CJ58" s="92"/>
      <c r="CK58" s="92"/>
      <c r="CL58" s="92"/>
      <c r="CM58" s="92"/>
      <c r="CN58" s="92"/>
      <c r="CO58" s="92"/>
      <c r="CP58" s="92"/>
      <c r="CQ58" s="92"/>
      <c r="CR58" s="92"/>
      <c r="CS58" s="92"/>
      <c r="CT58" s="92"/>
      <c r="CU58" s="92"/>
      <c r="CV58" s="92"/>
      <c r="CW58" s="92"/>
      <c r="CX58" s="92"/>
      <c r="CY58" s="92"/>
      <c r="CZ58" s="92"/>
      <c r="DA58" s="47"/>
      <c r="DB58" s="9"/>
      <c r="DC58" s="92"/>
      <c r="DD58" s="92"/>
      <c r="DE58" s="92"/>
      <c r="DF58" s="92"/>
      <c r="DG58" s="92"/>
      <c r="DH58" s="92"/>
      <c r="DI58" s="92"/>
      <c r="DJ58" s="92"/>
      <c r="DK58" s="92">
        <f t="shared" si="130"/>
        <v>316</v>
      </c>
      <c r="DL58" s="92">
        <f t="shared" si="73"/>
        <v>321</v>
      </c>
      <c r="DM58" s="92">
        <f t="shared" si="29"/>
        <v>202</v>
      </c>
      <c r="DN58" s="92"/>
      <c r="DO58" s="92"/>
      <c r="DP58" s="92"/>
      <c r="DQ58" s="92"/>
      <c r="DR58" s="92"/>
      <c r="DS58" s="92"/>
      <c r="DT58" s="92"/>
      <c r="DU58" s="92"/>
      <c r="DV58" s="92"/>
      <c r="DW58" s="92"/>
      <c r="DX58" s="92"/>
      <c r="DY58" s="92"/>
      <c r="DZ58" s="92"/>
      <c r="EA58" s="92"/>
      <c r="EC58" s="28"/>
    </row>
    <row r="59" spans="2:136" s="8" customFormat="1" ht="0.75" customHeight="1">
      <c r="B59" s="45" t="s">
        <v>354</v>
      </c>
      <c r="C59" s="9"/>
      <c r="D59" s="9"/>
      <c r="E59" s="9"/>
      <c r="F59" s="9"/>
      <c r="G59" s="7"/>
      <c r="H59" s="7"/>
      <c r="I59" s="92"/>
      <c r="J59" s="92"/>
      <c r="K59" s="92"/>
      <c r="L59" s="92"/>
      <c r="M59" s="92"/>
      <c r="N59" s="92"/>
      <c r="O59" s="92">
        <v>64</v>
      </c>
      <c r="P59" s="92">
        <v>64</v>
      </c>
      <c r="Q59" s="92">
        <v>65</v>
      </c>
      <c r="R59" s="92">
        <v>62</v>
      </c>
      <c r="S59" s="92">
        <v>79</v>
      </c>
      <c r="T59" s="92">
        <v>89</v>
      </c>
      <c r="U59" s="92">
        <v>91</v>
      </c>
      <c r="V59" s="92">
        <v>90</v>
      </c>
      <c r="W59" s="92">
        <v>82</v>
      </c>
      <c r="X59" s="92">
        <v>74</v>
      </c>
      <c r="Y59" s="92">
        <v>83</v>
      </c>
      <c r="Z59" s="92">
        <v>89</v>
      </c>
      <c r="AA59" s="92">
        <v>82</v>
      </c>
      <c r="AB59" s="92">
        <v>75</v>
      </c>
      <c r="AC59" s="91">
        <v>72</v>
      </c>
      <c r="AD59" s="92">
        <f>AC59</f>
        <v>72</v>
      </c>
      <c r="AE59" s="92">
        <v>75</v>
      </c>
      <c r="AF59" s="92">
        <v>79</v>
      </c>
      <c r="AG59" s="92">
        <v>69</v>
      </c>
      <c r="AH59" s="92">
        <f>AG59-1</f>
        <v>68</v>
      </c>
      <c r="AI59" s="127">
        <v>49</v>
      </c>
      <c r="AJ59" s="92">
        <v>56</v>
      </c>
      <c r="AK59" s="92">
        <v>49</v>
      </c>
      <c r="AL59" s="92">
        <v>52</v>
      </c>
      <c r="AM59" s="92">
        <v>52</v>
      </c>
      <c r="AN59" s="92">
        <v>48</v>
      </c>
      <c r="AO59" s="92">
        <v>49</v>
      </c>
      <c r="AP59" s="92">
        <v>58</v>
      </c>
      <c r="AQ59" s="92">
        <v>45</v>
      </c>
      <c r="AR59" s="92"/>
      <c r="AS59" s="92"/>
      <c r="AT59" s="92"/>
      <c r="AU59" s="92"/>
      <c r="AV59" s="92"/>
      <c r="AW59" s="92"/>
      <c r="AX59" s="92"/>
      <c r="AY59" s="92"/>
      <c r="AZ59" s="92"/>
      <c r="BA59" s="92"/>
      <c r="BB59" s="92"/>
      <c r="BC59" s="92"/>
      <c r="BD59" s="92"/>
      <c r="BE59" s="92"/>
      <c r="BF59" s="92"/>
      <c r="BG59" s="92"/>
      <c r="BH59" s="92"/>
      <c r="BI59" s="92"/>
      <c r="BJ59" s="92"/>
      <c r="BK59" s="92"/>
      <c r="BL59" s="92"/>
      <c r="BM59" s="92"/>
      <c r="BN59" s="92"/>
      <c r="BO59" s="92"/>
      <c r="BP59" s="92"/>
      <c r="BQ59" s="92"/>
      <c r="BR59" s="92"/>
      <c r="BS59" s="92"/>
      <c r="BT59" s="92"/>
      <c r="BU59" s="92"/>
      <c r="BV59" s="92"/>
      <c r="BW59" s="92"/>
      <c r="BX59" s="92"/>
      <c r="BY59" s="92"/>
      <c r="BZ59" s="92"/>
      <c r="CA59" s="92"/>
      <c r="CB59" s="92"/>
      <c r="CC59" s="92"/>
      <c r="CD59" s="92"/>
      <c r="CE59" s="92"/>
      <c r="CF59" s="92"/>
      <c r="CG59" s="92"/>
      <c r="CH59" s="92"/>
      <c r="CI59" s="92"/>
      <c r="CJ59" s="92"/>
      <c r="CK59" s="92"/>
      <c r="CL59" s="92"/>
      <c r="CM59" s="92"/>
      <c r="CN59" s="92"/>
      <c r="CO59" s="92"/>
      <c r="CP59" s="92"/>
      <c r="CQ59" s="92"/>
      <c r="CR59" s="92"/>
      <c r="CS59" s="92"/>
      <c r="CT59" s="92"/>
      <c r="CU59" s="92"/>
      <c r="CV59" s="92"/>
      <c r="CW59" s="92"/>
      <c r="CX59" s="92"/>
      <c r="CY59" s="92"/>
      <c r="CZ59" s="92"/>
      <c r="DA59" s="47"/>
      <c r="DB59" s="9" t="s">
        <v>440</v>
      </c>
      <c r="DC59" s="92" t="s">
        <v>440</v>
      </c>
      <c r="DD59" s="92">
        <v>291</v>
      </c>
      <c r="DE59" s="92">
        <f>SUM(O59:R59)</f>
        <v>255</v>
      </c>
      <c r="DF59" s="92">
        <f>SUM(S59:V59)</f>
        <v>349</v>
      </c>
      <c r="DG59" s="92">
        <f>SUM(W59:Z59)</f>
        <v>328</v>
      </c>
      <c r="DH59" s="92">
        <f>SUM(AA59:AD59)</f>
        <v>301</v>
      </c>
      <c r="DI59" s="92">
        <f>SUM(AE59:AH59)</f>
        <v>291</v>
      </c>
      <c r="DJ59" s="92">
        <f>SUM(AI59:AL59)</f>
        <v>206</v>
      </c>
      <c r="DK59" s="92">
        <f t="shared" si="130"/>
        <v>207</v>
      </c>
      <c r="DL59" s="92">
        <f t="shared" si="73"/>
        <v>45</v>
      </c>
      <c r="DM59" s="92"/>
      <c r="DN59" s="92"/>
      <c r="DO59" s="92"/>
      <c r="DP59" s="92"/>
      <c r="DQ59" s="92"/>
      <c r="DR59" s="92"/>
      <c r="DS59" s="92"/>
      <c r="DT59" s="92"/>
      <c r="DU59" s="92"/>
      <c r="DV59" s="92"/>
      <c r="DW59" s="92"/>
      <c r="DX59" s="92"/>
      <c r="DY59" s="92"/>
      <c r="DZ59" s="92"/>
      <c r="EA59" s="92"/>
      <c r="EC59" s="28"/>
    </row>
    <row r="60" spans="2:136" s="8" customFormat="1" ht="0.75" customHeight="1">
      <c r="B60" s="45" t="s">
        <v>585</v>
      </c>
      <c r="C60" s="9"/>
      <c r="D60" s="9"/>
      <c r="E60" s="9"/>
      <c r="F60" s="9"/>
      <c r="G60" s="7"/>
      <c r="H60" s="7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1"/>
      <c r="AD60" s="92"/>
      <c r="AE60" s="92"/>
      <c r="AF60" s="92"/>
      <c r="AG60" s="92"/>
      <c r="AH60" s="92"/>
      <c r="AI60" s="128" t="s">
        <v>629</v>
      </c>
      <c r="AJ60" s="92">
        <v>67</v>
      </c>
      <c r="AK60" s="92">
        <v>64</v>
      </c>
      <c r="AL60" s="92">
        <v>57</v>
      </c>
      <c r="AM60" s="92">
        <v>56</v>
      </c>
      <c r="AN60" s="92">
        <v>55</v>
      </c>
      <c r="AO60" s="92">
        <v>55</v>
      </c>
      <c r="AP60" s="92">
        <v>54</v>
      </c>
      <c r="AQ60" s="92">
        <v>53</v>
      </c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/>
      <c r="BF60" s="92"/>
      <c r="BG60" s="92"/>
      <c r="BH60" s="92"/>
      <c r="BI60" s="92"/>
      <c r="BJ60" s="92"/>
      <c r="BK60" s="92"/>
      <c r="BL60" s="92"/>
      <c r="BM60" s="92"/>
      <c r="BN60" s="92"/>
      <c r="BO60" s="92"/>
      <c r="BP60" s="92"/>
      <c r="BQ60" s="92"/>
      <c r="BR60" s="92"/>
      <c r="BS60" s="92"/>
      <c r="BT60" s="92"/>
      <c r="BU60" s="92"/>
      <c r="BV60" s="92"/>
      <c r="BW60" s="92"/>
      <c r="BX60" s="92"/>
      <c r="BY60" s="92"/>
      <c r="BZ60" s="92"/>
      <c r="CA60" s="92"/>
      <c r="CB60" s="92"/>
      <c r="CC60" s="92"/>
      <c r="CD60" s="92"/>
      <c r="CE60" s="92"/>
      <c r="CF60" s="92"/>
      <c r="CG60" s="92"/>
      <c r="CH60" s="92"/>
      <c r="CI60" s="92"/>
      <c r="CJ60" s="92"/>
      <c r="CK60" s="92"/>
      <c r="CL60" s="92"/>
      <c r="CM60" s="92"/>
      <c r="CN60" s="92"/>
      <c r="CO60" s="92"/>
      <c r="CP60" s="92"/>
      <c r="CQ60" s="92"/>
      <c r="CR60" s="92"/>
      <c r="CS60" s="92"/>
      <c r="CT60" s="92"/>
      <c r="CU60" s="92"/>
      <c r="CV60" s="92"/>
      <c r="CW60" s="92"/>
      <c r="CX60" s="92"/>
      <c r="CY60" s="92"/>
      <c r="CZ60" s="92"/>
      <c r="DA60" s="47"/>
      <c r="DB60" s="9"/>
      <c r="DC60" s="92"/>
      <c r="DD60" s="92"/>
      <c r="DE60" s="92"/>
      <c r="DF60" s="92"/>
      <c r="DG60" s="92"/>
      <c r="DH60" s="92"/>
      <c r="DI60" s="92"/>
      <c r="DJ60" s="92"/>
      <c r="DK60" s="92">
        <f t="shared" si="130"/>
        <v>220</v>
      </c>
      <c r="DL60" s="92">
        <f t="shared" si="73"/>
        <v>53</v>
      </c>
      <c r="DM60" s="92"/>
      <c r="DN60" s="92"/>
      <c r="DO60" s="92"/>
      <c r="DP60" s="92"/>
      <c r="DQ60" s="92"/>
      <c r="DR60" s="92"/>
      <c r="DS60" s="92"/>
      <c r="DT60" s="92"/>
      <c r="DU60" s="92"/>
      <c r="DV60" s="92"/>
      <c r="DW60" s="92"/>
      <c r="DX60" s="92"/>
      <c r="DY60" s="92"/>
      <c r="DZ60" s="92"/>
      <c r="EA60" s="92"/>
      <c r="EC60" s="28"/>
    </row>
    <row r="61" spans="2:136" s="8" customFormat="1" ht="0.75" customHeight="1">
      <c r="B61" s="45" t="s">
        <v>101</v>
      </c>
      <c r="C61" s="9"/>
      <c r="D61" s="9"/>
      <c r="E61" s="9"/>
      <c r="F61" s="9"/>
      <c r="G61" s="7"/>
      <c r="H61" s="7"/>
      <c r="I61" s="92"/>
      <c r="J61" s="92"/>
      <c r="K61" s="92"/>
      <c r="L61" s="92"/>
      <c r="M61" s="92"/>
      <c r="N61" s="92"/>
      <c r="O61" s="92">
        <v>56</v>
      </c>
      <c r="P61" s="92">
        <v>79</v>
      </c>
      <c r="Q61" s="92">
        <v>84</v>
      </c>
      <c r="R61" s="92">
        <v>91</v>
      </c>
      <c r="S61" s="92">
        <v>78</v>
      </c>
      <c r="T61" s="92">
        <v>84</v>
      </c>
      <c r="U61" s="92">
        <v>92</v>
      </c>
      <c r="V61" s="92">
        <v>94</v>
      </c>
      <c r="W61" s="92">
        <v>93</v>
      </c>
      <c r="X61" s="92">
        <v>97</v>
      </c>
      <c r="Y61" s="92">
        <v>105</v>
      </c>
      <c r="Z61" s="92">
        <v>111</v>
      </c>
      <c r="AA61" s="92">
        <v>107</v>
      </c>
      <c r="AB61" s="92">
        <v>109</v>
      </c>
      <c r="AC61" s="91">
        <v>125</v>
      </c>
      <c r="AD61" s="92">
        <f>AC61</f>
        <v>125</v>
      </c>
      <c r="AE61" s="92">
        <v>122</v>
      </c>
      <c r="AF61" s="92">
        <v>130</v>
      </c>
      <c r="AG61" s="92">
        <v>136</v>
      </c>
      <c r="AH61" s="92">
        <f>AG61</f>
        <v>136</v>
      </c>
      <c r="AI61" s="127">
        <v>133</v>
      </c>
      <c r="AJ61" s="92">
        <v>141</v>
      </c>
      <c r="AK61" s="92">
        <v>144</v>
      </c>
      <c r="AL61" s="92">
        <v>156</v>
      </c>
      <c r="AM61" s="92">
        <v>135</v>
      </c>
      <c r="AN61" s="92">
        <v>133</v>
      </c>
      <c r="AO61" s="92">
        <v>133</v>
      </c>
      <c r="AP61" s="92">
        <v>149</v>
      </c>
      <c r="AQ61" s="92">
        <v>173</v>
      </c>
      <c r="AR61" s="92">
        <v>131</v>
      </c>
      <c r="AS61" s="92">
        <v>156</v>
      </c>
      <c r="AT61" s="92">
        <v>178</v>
      </c>
      <c r="AU61" s="92">
        <v>156</v>
      </c>
      <c r="AV61" s="92">
        <v>154</v>
      </c>
      <c r="AW61" s="92">
        <v>166</v>
      </c>
      <c r="AX61" s="92">
        <v>165</v>
      </c>
      <c r="AY61" s="92"/>
      <c r="AZ61" s="92"/>
      <c r="BA61" s="92"/>
      <c r="BB61" s="92"/>
      <c r="BC61" s="92"/>
      <c r="BD61" s="92"/>
      <c r="BE61" s="92"/>
      <c r="BF61" s="92"/>
      <c r="BG61" s="92"/>
      <c r="BH61" s="92"/>
      <c r="BI61" s="92"/>
      <c r="BJ61" s="92"/>
      <c r="BK61" s="92"/>
      <c r="BL61" s="92"/>
      <c r="BM61" s="92"/>
      <c r="BN61" s="92"/>
      <c r="BO61" s="92"/>
      <c r="BP61" s="92"/>
      <c r="BQ61" s="92"/>
      <c r="BR61" s="92"/>
      <c r="BS61" s="92"/>
      <c r="BT61" s="92"/>
      <c r="BU61" s="92"/>
      <c r="BV61" s="92"/>
      <c r="BW61" s="92"/>
      <c r="BX61" s="92"/>
      <c r="BY61" s="92"/>
      <c r="BZ61" s="92"/>
      <c r="CA61" s="92"/>
      <c r="CB61" s="92"/>
      <c r="CC61" s="92"/>
      <c r="CD61" s="92"/>
      <c r="CE61" s="92"/>
      <c r="CF61" s="92"/>
      <c r="CG61" s="92"/>
      <c r="CH61" s="92"/>
      <c r="CI61" s="92"/>
      <c r="CJ61" s="92"/>
      <c r="CK61" s="92"/>
      <c r="CL61" s="92"/>
      <c r="CM61" s="92"/>
      <c r="CN61" s="92"/>
      <c r="CO61" s="92"/>
      <c r="CP61" s="92"/>
      <c r="CQ61" s="92"/>
      <c r="CR61" s="92"/>
      <c r="CS61" s="92"/>
      <c r="CT61" s="92"/>
      <c r="CU61" s="92"/>
      <c r="CV61" s="92"/>
      <c r="CW61" s="92"/>
      <c r="CX61" s="92"/>
      <c r="CY61" s="92"/>
      <c r="CZ61" s="92"/>
      <c r="DA61" s="47"/>
      <c r="DB61" s="9" t="s">
        <v>440</v>
      </c>
      <c r="DC61" s="92" t="s">
        <v>440</v>
      </c>
      <c r="DD61" s="92">
        <v>324</v>
      </c>
      <c r="DE61" s="92">
        <f>SUM(O61:R61)</f>
        <v>310</v>
      </c>
      <c r="DF61" s="92">
        <f>SUM(S61:V61)</f>
        <v>348</v>
      </c>
      <c r="DG61" s="92">
        <f>SUM(W61:Z61)</f>
        <v>406</v>
      </c>
      <c r="DH61" s="92">
        <f>SUM(AA61:AD61)</f>
        <v>466</v>
      </c>
      <c r="DI61" s="92">
        <f>SUM(AE61:AH61)</f>
        <v>524</v>
      </c>
      <c r="DJ61" s="92">
        <f>SUM(AI61:AL61)</f>
        <v>574</v>
      </c>
      <c r="DK61" s="92">
        <f t="shared" si="130"/>
        <v>550</v>
      </c>
      <c r="DL61" s="92">
        <f t="shared" si="73"/>
        <v>638</v>
      </c>
      <c r="DM61" s="92">
        <f t="shared" si="29"/>
        <v>641</v>
      </c>
      <c r="DN61" s="92"/>
      <c r="DO61" s="92"/>
      <c r="DP61" s="92"/>
      <c r="DQ61" s="92"/>
      <c r="DR61" s="92"/>
      <c r="DS61" s="92"/>
      <c r="DT61" s="92"/>
      <c r="DU61" s="92"/>
      <c r="DV61" s="92"/>
      <c r="DW61" s="92"/>
      <c r="DX61" s="92"/>
      <c r="DY61" s="92"/>
      <c r="DZ61" s="92"/>
      <c r="EA61" s="92"/>
      <c r="EC61" s="28"/>
    </row>
    <row r="62" spans="2:136" s="8" customFormat="1" ht="0.75" customHeight="1">
      <c r="B62" s="45" t="s">
        <v>439</v>
      </c>
      <c r="C62" s="92">
        <v>315.91790000000003</v>
      </c>
      <c r="D62" s="92">
        <v>315.91802000000001</v>
      </c>
      <c r="E62" s="92">
        <v>315.00424999999996</v>
      </c>
      <c r="F62" s="92">
        <v>324.61241835208943</v>
      </c>
      <c r="G62" s="92">
        <v>417</v>
      </c>
      <c r="H62" s="92">
        <v>222</v>
      </c>
      <c r="I62" s="92">
        <v>342</v>
      </c>
      <c r="J62" s="92">
        <v>508</v>
      </c>
      <c r="K62" s="92">
        <v>464</v>
      </c>
      <c r="L62" s="92">
        <v>422</v>
      </c>
      <c r="M62" s="92">
        <v>615.75</v>
      </c>
      <c r="N62" s="92">
        <v>507.74</v>
      </c>
      <c r="O62" s="92">
        <v>623</v>
      </c>
      <c r="P62" s="92">
        <v>643</v>
      </c>
      <c r="Q62" s="92">
        <v>626</v>
      </c>
      <c r="R62" s="92">
        <v>731</v>
      </c>
      <c r="S62" s="92">
        <v>735</v>
      </c>
      <c r="T62" s="92">
        <v>730</v>
      </c>
      <c r="U62" s="92">
        <v>692</v>
      </c>
      <c r="V62" s="92">
        <v>819</v>
      </c>
      <c r="W62" s="92">
        <v>801</v>
      </c>
      <c r="X62" s="92">
        <v>950</v>
      </c>
      <c r="Y62" s="92">
        <v>868</v>
      </c>
      <c r="Z62" s="92">
        <v>960</v>
      </c>
      <c r="AA62" s="92">
        <v>1002</v>
      </c>
      <c r="AB62" s="92">
        <v>1092</v>
      </c>
      <c r="AC62" s="92">
        <v>1018</v>
      </c>
      <c r="AD62" s="92">
        <v>1020</v>
      </c>
      <c r="AE62" s="92">
        <v>1104</v>
      </c>
      <c r="AF62" s="92">
        <v>1082</v>
      </c>
      <c r="AG62" s="92">
        <v>1029</v>
      </c>
      <c r="AH62" s="92">
        <v>1060</v>
      </c>
      <c r="AI62" s="127">
        <v>1057</v>
      </c>
      <c r="AJ62" s="92">
        <v>1257</v>
      </c>
      <c r="AK62" s="92">
        <v>1085</v>
      </c>
      <c r="AL62" s="92">
        <v>1260</v>
      </c>
      <c r="AM62" s="92">
        <f>728+437</f>
        <v>1165</v>
      </c>
      <c r="AN62" s="92">
        <v>1258</v>
      </c>
      <c r="AO62" s="92">
        <v>1215</v>
      </c>
      <c r="AP62" s="92">
        <v>1349</v>
      </c>
      <c r="AQ62" s="92">
        <v>1328</v>
      </c>
      <c r="AR62" s="92">
        <v>1354</v>
      </c>
      <c r="AS62" s="92">
        <v>1336</v>
      </c>
      <c r="AT62" s="92">
        <v>1461</v>
      </c>
      <c r="AU62" s="92">
        <v>1340</v>
      </c>
      <c r="AV62" s="92">
        <v>1431</v>
      </c>
      <c r="AW62" s="92">
        <v>602</v>
      </c>
      <c r="AX62" s="92">
        <v>480</v>
      </c>
      <c r="AY62" s="92">
        <v>337</v>
      </c>
      <c r="AZ62" s="92">
        <v>281</v>
      </c>
      <c r="BA62" s="92">
        <v>280</v>
      </c>
      <c r="BB62" s="92">
        <v>298</v>
      </c>
      <c r="BC62" s="92">
        <v>271</v>
      </c>
      <c r="BD62" s="92">
        <v>284</v>
      </c>
      <c r="BE62" s="92">
        <v>218</v>
      </c>
      <c r="BF62" s="92">
        <v>319</v>
      </c>
      <c r="BG62" s="92">
        <v>245</v>
      </c>
      <c r="BH62" s="92">
        <v>212</v>
      </c>
      <c r="BI62" s="92">
        <v>201</v>
      </c>
      <c r="BJ62" s="92">
        <v>273</v>
      </c>
      <c r="BK62" s="92">
        <v>237</v>
      </c>
      <c r="BL62" s="92">
        <v>229</v>
      </c>
      <c r="BM62" s="92">
        <v>239</v>
      </c>
      <c r="BN62" s="92">
        <v>210</v>
      </c>
      <c r="BO62" s="92">
        <v>186</v>
      </c>
      <c r="BP62" s="92">
        <v>203</v>
      </c>
      <c r="BQ62" s="92">
        <v>161</v>
      </c>
      <c r="BR62" s="92">
        <v>182</v>
      </c>
      <c r="BS62" s="92">
        <v>175</v>
      </c>
      <c r="BT62" s="92">
        <v>185</v>
      </c>
      <c r="BU62" s="92">
        <v>161</v>
      </c>
      <c r="BV62" s="92">
        <v>187</v>
      </c>
      <c r="BW62" s="92">
        <v>191</v>
      </c>
      <c r="BX62" s="92">
        <v>160</v>
      </c>
      <c r="BY62" s="92">
        <v>152</v>
      </c>
      <c r="BZ62" s="92">
        <v>195</v>
      </c>
      <c r="CA62" s="92">
        <v>155</v>
      </c>
      <c r="CB62" s="92">
        <v>100</v>
      </c>
      <c r="CC62" s="94" t="s">
        <v>784</v>
      </c>
      <c r="CD62" s="92">
        <v>124</v>
      </c>
      <c r="CE62" s="92"/>
      <c r="CF62" s="92"/>
      <c r="CG62" s="92"/>
      <c r="CH62" s="92"/>
      <c r="CI62" s="92"/>
      <c r="CJ62" s="92"/>
      <c r="CK62" s="92"/>
      <c r="CL62" s="92"/>
      <c r="CM62" s="92"/>
      <c r="CN62" s="92"/>
      <c r="CO62" s="92"/>
      <c r="CP62" s="92"/>
      <c r="CQ62" s="92"/>
      <c r="CR62" s="92"/>
      <c r="CS62" s="92"/>
      <c r="CT62" s="92"/>
      <c r="CU62" s="92"/>
      <c r="CV62" s="92"/>
      <c r="CW62" s="92"/>
      <c r="CX62" s="92"/>
      <c r="CY62" s="92"/>
      <c r="CZ62" s="92"/>
      <c r="DA62" s="47"/>
      <c r="DB62" s="92">
        <v>1271</v>
      </c>
      <c r="DC62" s="92">
        <v>1505</v>
      </c>
      <c r="DD62" s="92">
        <v>2025</v>
      </c>
      <c r="DE62" s="92">
        <f>SUM(O62:R62)</f>
        <v>2623</v>
      </c>
      <c r="DF62" s="92">
        <f>SUM(S62:V62)</f>
        <v>2976</v>
      </c>
      <c r="DG62" s="92">
        <f>SUM(W62:Z62)</f>
        <v>3579</v>
      </c>
      <c r="DH62" s="92">
        <f>SUM(AA62:AD62)</f>
        <v>4132</v>
      </c>
      <c r="DI62" s="92">
        <f>SUM(AE62:AH62)</f>
        <v>4275</v>
      </c>
      <c r="DJ62" s="92">
        <f>SUM(AI62:AL62)</f>
        <v>4659</v>
      </c>
      <c r="DK62" s="92">
        <f t="shared" si="130"/>
        <v>4987</v>
      </c>
      <c r="DL62" s="92">
        <f>SUM(AQ62:AT62)</f>
        <v>5479</v>
      </c>
      <c r="DM62" s="92">
        <f t="shared" si="29"/>
        <v>3853</v>
      </c>
      <c r="DN62" s="92">
        <f t="shared" ref="DN62" si="131">SUM(AY62:BB62)</f>
        <v>1196</v>
      </c>
      <c r="DO62" s="92">
        <f t="shared" ref="DO62" si="132">SUM(BC62:BF62)</f>
        <v>1092</v>
      </c>
      <c r="DP62" s="92">
        <f t="shared" si="32"/>
        <v>931</v>
      </c>
      <c r="DQ62" s="92">
        <f t="shared" si="33"/>
        <v>915</v>
      </c>
      <c r="DR62" s="92">
        <f t="shared" si="13"/>
        <v>732</v>
      </c>
      <c r="DS62" s="92">
        <f t="shared" si="14"/>
        <v>708</v>
      </c>
      <c r="DT62" s="92">
        <f t="shared" si="87"/>
        <v>698</v>
      </c>
      <c r="DU62" s="92">
        <f t="shared" si="88"/>
        <v>379</v>
      </c>
      <c r="DV62" s="92"/>
      <c r="DW62" s="92"/>
      <c r="DX62" s="92"/>
      <c r="DY62" s="92"/>
      <c r="DZ62" s="92"/>
      <c r="EA62" s="92"/>
      <c r="EC62" s="85"/>
      <c r="EF62" s="81"/>
    </row>
    <row r="63" spans="2:136" s="8" customFormat="1" ht="0.75" customHeight="1">
      <c r="B63" s="45" t="s">
        <v>508</v>
      </c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4" t="s">
        <v>544</v>
      </c>
      <c r="AE63" s="94" t="s">
        <v>545</v>
      </c>
      <c r="AF63" s="94" t="s">
        <v>559</v>
      </c>
      <c r="AG63" s="94" t="s">
        <v>552</v>
      </c>
      <c r="AH63" s="94" t="s">
        <v>543</v>
      </c>
      <c r="AI63" s="128" t="s">
        <v>524</v>
      </c>
      <c r="AJ63" s="94" t="s">
        <v>516</v>
      </c>
      <c r="AK63" s="94" t="s">
        <v>507</v>
      </c>
      <c r="AL63" s="92">
        <v>71</v>
      </c>
      <c r="AM63" s="92">
        <v>124</v>
      </c>
      <c r="AN63" s="92">
        <v>93</v>
      </c>
      <c r="AO63" s="92">
        <v>81</v>
      </c>
      <c r="AP63" s="92">
        <v>122</v>
      </c>
      <c r="AQ63" s="92">
        <v>120</v>
      </c>
      <c r="AR63" s="92">
        <v>65</v>
      </c>
      <c r="AS63" s="92">
        <v>55</v>
      </c>
      <c r="AT63" s="92">
        <v>74</v>
      </c>
      <c r="AU63" s="92">
        <v>87</v>
      </c>
      <c r="AV63" s="92">
        <v>48</v>
      </c>
      <c r="AW63" s="92">
        <v>47</v>
      </c>
      <c r="AX63" s="92">
        <v>63</v>
      </c>
      <c r="AY63" s="92"/>
      <c r="AZ63" s="92"/>
      <c r="BA63" s="92"/>
      <c r="BB63" s="92"/>
      <c r="BC63" s="92"/>
      <c r="BD63" s="92"/>
      <c r="BE63" s="92"/>
      <c r="BF63" s="92"/>
      <c r="BG63" s="92"/>
      <c r="BH63" s="92"/>
      <c r="BI63" s="92"/>
      <c r="BJ63" s="92"/>
      <c r="BK63" s="92"/>
      <c r="BL63" s="92"/>
      <c r="BM63" s="92"/>
      <c r="BN63" s="92"/>
      <c r="BO63" s="92"/>
      <c r="BP63" s="92"/>
      <c r="BQ63" s="92"/>
      <c r="BR63" s="92"/>
      <c r="BS63" s="92"/>
      <c r="BT63" s="92"/>
      <c r="BU63" s="92"/>
      <c r="BV63" s="92"/>
      <c r="BW63" s="92"/>
      <c r="BX63" s="92"/>
      <c r="BY63" s="92"/>
      <c r="BZ63" s="92"/>
      <c r="CA63" s="92"/>
      <c r="CB63" s="92"/>
      <c r="CC63" s="92"/>
      <c r="CD63" s="92"/>
      <c r="CE63" s="92"/>
      <c r="CF63" s="92"/>
      <c r="CG63" s="92"/>
      <c r="CH63" s="92"/>
      <c r="CI63" s="92"/>
      <c r="CJ63" s="92"/>
      <c r="CK63" s="92"/>
      <c r="CL63" s="92"/>
      <c r="CM63" s="92"/>
      <c r="CN63" s="92"/>
      <c r="CO63" s="92"/>
      <c r="CP63" s="92"/>
      <c r="CQ63" s="92"/>
      <c r="CR63" s="92"/>
      <c r="CS63" s="92"/>
      <c r="CT63" s="92"/>
      <c r="CU63" s="92"/>
      <c r="CV63" s="92"/>
      <c r="CW63" s="92"/>
      <c r="CX63" s="92"/>
      <c r="CY63" s="92"/>
      <c r="CZ63" s="92"/>
      <c r="DA63" s="47"/>
      <c r="DB63" s="92"/>
      <c r="DC63" s="92"/>
      <c r="DD63" s="92"/>
      <c r="DE63" s="92"/>
      <c r="DF63" s="92"/>
      <c r="DG63" s="92"/>
      <c r="DH63" s="92"/>
      <c r="DI63" s="92"/>
      <c r="DJ63" s="92"/>
      <c r="DK63" s="92">
        <f t="shared" si="130"/>
        <v>420</v>
      </c>
      <c r="DL63" s="92">
        <f t="shared" si="73"/>
        <v>314</v>
      </c>
      <c r="DM63" s="92">
        <f t="shared" si="29"/>
        <v>245</v>
      </c>
      <c r="DN63" s="92"/>
      <c r="DO63" s="92"/>
      <c r="DP63" s="92"/>
      <c r="DQ63" s="92"/>
      <c r="DR63" s="92"/>
      <c r="DS63" s="92"/>
      <c r="DT63" s="92"/>
      <c r="DU63" s="92"/>
      <c r="DV63" s="92"/>
      <c r="DW63" s="92"/>
      <c r="DX63" s="92"/>
      <c r="DY63" s="92"/>
      <c r="DZ63" s="92"/>
      <c r="EA63" s="92"/>
      <c r="EC63" s="28"/>
    </row>
    <row r="64" spans="2:136" s="8" customFormat="1" ht="0.75" customHeight="1">
      <c r="B64" s="45" t="s">
        <v>164</v>
      </c>
      <c r="C64" s="9"/>
      <c r="D64" s="9"/>
      <c r="E64" s="9"/>
      <c r="F64" s="9"/>
      <c r="G64" s="7"/>
      <c r="H64" s="7"/>
      <c r="I64" s="92"/>
      <c r="J64" s="92"/>
      <c r="K64" s="92"/>
      <c r="L64" s="92"/>
      <c r="M64" s="92"/>
      <c r="N64" s="92"/>
      <c r="O64" s="92">
        <v>173</v>
      </c>
      <c r="P64" s="92">
        <v>195</v>
      </c>
      <c r="Q64" s="92">
        <v>170</v>
      </c>
      <c r="R64" s="92">
        <v>182</v>
      </c>
      <c r="S64" s="92">
        <v>158</v>
      </c>
      <c r="T64" s="92">
        <v>164</v>
      </c>
      <c r="U64" s="92">
        <v>149</v>
      </c>
      <c r="V64" s="92">
        <v>152</v>
      </c>
      <c r="W64" s="92">
        <v>136</v>
      </c>
      <c r="X64" s="92">
        <v>140</v>
      </c>
      <c r="Y64" s="92">
        <v>134</v>
      </c>
      <c r="Z64" s="92">
        <v>136</v>
      </c>
      <c r="AA64" s="92">
        <v>122</v>
      </c>
      <c r="AB64" s="92">
        <v>127</v>
      </c>
      <c r="AC64" s="92">
        <v>119</v>
      </c>
      <c r="AD64" s="92">
        <f>AC64</f>
        <v>119</v>
      </c>
      <c r="AE64" s="92">
        <v>96</v>
      </c>
      <c r="AF64" s="92">
        <v>94</v>
      </c>
      <c r="AG64" s="92">
        <v>82</v>
      </c>
      <c r="AH64" s="92">
        <f>AG64-2</f>
        <v>80</v>
      </c>
      <c r="AI64" s="127">
        <v>77</v>
      </c>
      <c r="AJ64" s="92">
        <v>76</v>
      </c>
      <c r="AK64" s="92">
        <v>73</v>
      </c>
      <c r="AL64" s="92">
        <v>85</v>
      </c>
      <c r="AM64" s="92">
        <v>59</v>
      </c>
      <c r="AN64" s="92">
        <v>63</v>
      </c>
      <c r="AO64" s="92">
        <v>69</v>
      </c>
      <c r="AP64" s="92">
        <v>64</v>
      </c>
      <c r="AQ64" s="92">
        <v>57</v>
      </c>
      <c r="AR64" s="92">
        <v>59</v>
      </c>
      <c r="AS64" s="92">
        <v>57</v>
      </c>
      <c r="AT64" s="92">
        <v>58</v>
      </c>
      <c r="AU64" s="92">
        <v>53</v>
      </c>
      <c r="AV64" s="92">
        <v>49</v>
      </c>
      <c r="AW64" s="92">
        <v>42</v>
      </c>
      <c r="AX64" s="92">
        <v>48</v>
      </c>
      <c r="AY64" s="92"/>
      <c r="AZ64" s="92"/>
      <c r="BA64" s="92"/>
      <c r="BB64" s="92"/>
      <c r="BC64" s="92"/>
      <c r="BD64" s="92"/>
      <c r="BE64" s="92"/>
      <c r="BF64" s="92"/>
      <c r="BG64" s="92"/>
      <c r="BH64" s="92"/>
      <c r="BI64" s="92"/>
      <c r="BJ64" s="92"/>
      <c r="BK64" s="92"/>
      <c r="BL64" s="92"/>
      <c r="BM64" s="92"/>
      <c r="BN64" s="92"/>
      <c r="BO64" s="92"/>
      <c r="BP64" s="92"/>
      <c r="BQ64" s="92"/>
      <c r="BR64" s="92"/>
      <c r="BS64" s="92"/>
      <c r="BT64" s="92"/>
      <c r="BU64" s="92"/>
      <c r="BV64" s="92"/>
      <c r="BW64" s="92"/>
      <c r="BX64" s="92"/>
      <c r="BY64" s="92"/>
      <c r="BZ64" s="92"/>
      <c r="CA64" s="92"/>
      <c r="CB64" s="92"/>
      <c r="CC64" s="92"/>
      <c r="CD64" s="92"/>
      <c r="CE64" s="92"/>
      <c r="CF64" s="92"/>
      <c r="CG64" s="92"/>
      <c r="CH64" s="92"/>
      <c r="CI64" s="92"/>
      <c r="CJ64" s="92"/>
      <c r="CK64" s="92"/>
      <c r="CL64" s="92"/>
      <c r="CM64" s="92"/>
      <c r="CN64" s="92"/>
      <c r="CO64" s="92"/>
      <c r="CP64" s="92"/>
      <c r="CQ64" s="92"/>
      <c r="CR64" s="92"/>
      <c r="CS64" s="92"/>
      <c r="CT64" s="92"/>
      <c r="CU64" s="92"/>
      <c r="CV64" s="92"/>
      <c r="CW64" s="92"/>
      <c r="CX64" s="92"/>
      <c r="CY64" s="92"/>
      <c r="CZ64" s="92"/>
      <c r="DA64" s="47"/>
      <c r="DB64" s="9" t="s">
        <v>440</v>
      </c>
      <c r="DC64" s="92" t="s">
        <v>440</v>
      </c>
      <c r="DD64" s="92">
        <v>765</v>
      </c>
      <c r="DE64" s="92">
        <f>SUM(O64:R64)</f>
        <v>720</v>
      </c>
      <c r="DF64" s="92">
        <f>SUM(S64:V64)</f>
        <v>623</v>
      </c>
      <c r="DG64" s="92">
        <f>SUM(W64:Z64)</f>
        <v>546</v>
      </c>
      <c r="DH64" s="92">
        <f>SUM(AA64:AD64)</f>
        <v>487</v>
      </c>
      <c r="DI64" s="92">
        <f>SUM(AE64:AH64)</f>
        <v>352</v>
      </c>
      <c r="DJ64" s="92">
        <f>SUM(AI64:AL64)</f>
        <v>311</v>
      </c>
      <c r="DK64" s="92">
        <f t="shared" si="130"/>
        <v>255</v>
      </c>
      <c r="DL64" s="92">
        <f t="shared" si="73"/>
        <v>231</v>
      </c>
      <c r="DM64" s="92">
        <f t="shared" si="29"/>
        <v>192</v>
      </c>
      <c r="DN64" s="92"/>
      <c r="DO64" s="92"/>
      <c r="DP64" s="92"/>
      <c r="DQ64" s="92"/>
      <c r="DR64" s="92"/>
      <c r="DS64" s="92"/>
      <c r="DT64" s="92"/>
      <c r="DU64" s="92"/>
      <c r="DV64" s="92"/>
      <c r="DW64" s="92"/>
      <c r="DX64" s="92"/>
      <c r="DY64" s="92"/>
      <c r="DZ64" s="92"/>
      <c r="EA64" s="92"/>
      <c r="EC64" s="28"/>
    </row>
    <row r="65" spans="2:140" s="8" customFormat="1" ht="0.75" customHeight="1">
      <c r="B65" s="45" t="s">
        <v>584</v>
      </c>
      <c r="C65" s="9"/>
      <c r="D65" s="9"/>
      <c r="E65" s="9"/>
      <c r="F65" s="9"/>
      <c r="G65" s="7"/>
      <c r="H65" s="7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128" t="s">
        <v>627</v>
      </c>
      <c r="AJ65" s="92">
        <v>73</v>
      </c>
      <c r="AK65" s="92">
        <v>74</v>
      </c>
      <c r="AL65" s="92">
        <v>46</v>
      </c>
      <c r="AM65" s="92">
        <v>70</v>
      </c>
      <c r="AN65" s="92">
        <v>70</v>
      </c>
      <c r="AO65" s="92">
        <v>63</v>
      </c>
      <c r="AP65" s="92">
        <v>63</v>
      </c>
      <c r="AQ65" s="92">
        <v>64</v>
      </c>
      <c r="AR65" s="92">
        <v>56</v>
      </c>
      <c r="AS65" s="92">
        <v>53</v>
      </c>
      <c r="AT65" s="92">
        <v>57</v>
      </c>
      <c r="AU65" s="92">
        <v>53</v>
      </c>
      <c r="AV65" s="92">
        <v>60</v>
      </c>
      <c r="AW65" s="92">
        <v>48</v>
      </c>
      <c r="AX65" s="92">
        <v>51</v>
      </c>
      <c r="AY65" s="92"/>
      <c r="AZ65" s="92"/>
      <c r="BA65" s="92"/>
      <c r="BB65" s="92"/>
      <c r="BC65" s="92"/>
      <c r="BD65" s="92"/>
      <c r="BE65" s="92"/>
      <c r="BF65" s="92"/>
      <c r="BG65" s="92"/>
      <c r="BH65" s="92"/>
      <c r="BI65" s="92"/>
      <c r="BJ65" s="92"/>
      <c r="BK65" s="92"/>
      <c r="BL65" s="92"/>
      <c r="BM65" s="92"/>
      <c r="BN65" s="92"/>
      <c r="BO65" s="92"/>
      <c r="BP65" s="92"/>
      <c r="BQ65" s="92"/>
      <c r="BR65" s="92"/>
      <c r="BS65" s="92"/>
      <c r="BT65" s="92"/>
      <c r="BU65" s="92"/>
      <c r="BV65" s="92"/>
      <c r="BW65" s="92"/>
      <c r="BX65" s="92"/>
      <c r="BY65" s="92"/>
      <c r="BZ65" s="92"/>
      <c r="CA65" s="92"/>
      <c r="CB65" s="92"/>
      <c r="CC65" s="92"/>
      <c r="CD65" s="92"/>
      <c r="CE65" s="92"/>
      <c r="CF65" s="92"/>
      <c r="CG65" s="92"/>
      <c r="CH65" s="92"/>
      <c r="CI65" s="92"/>
      <c r="CJ65" s="92"/>
      <c r="CK65" s="92"/>
      <c r="CL65" s="92"/>
      <c r="CM65" s="92"/>
      <c r="CN65" s="92"/>
      <c r="CO65" s="92"/>
      <c r="CP65" s="92"/>
      <c r="CQ65" s="92"/>
      <c r="CR65" s="92"/>
      <c r="CS65" s="92"/>
      <c r="CT65" s="92"/>
      <c r="CU65" s="92"/>
      <c r="CV65" s="92"/>
      <c r="CW65" s="92"/>
      <c r="CX65" s="92"/>
      <c r="CY65" s="92"/>
      <c r="CZ65" s="92"/>
      <c r="DA65" s="47"/>
      <c r="DB65" s="9"/>
      <c r="DC65" s="92"/>
      <c r="DD65" s="92"/>
      <c r="DE65" s="92"/>
      <c r="DF65" s="92"/>
      <c r="DG65" s="92"/>
      <c r="DH65" s="92"/>
      <c r="DI65" s="92"/>
      <c r="DJ65" s="92"/>
      <c r="DK65" s="92">
        <f t="shared" si="130"/>
        <v>266</v>
      </c>
      <c r="DL65" s="92">
        <f t="shared" si="73"/>
        <v>230</v>
      </c>
      <c r="DM65" s="92">
        <f t="shared" si="29"/>
        <v>212</v>
      </c>
      <c r="DN65" s="92"/>
      <c r="DO65" s="92"/>
      <c r="DP65" s="92"/>
      <c r="DQ65" s="92"/>
      <c r="DR65" s="92"/>
      <c r="DS65" s="92"/>
      <c r="DT65" s="92"/>
      <c r="DU65" s="92"/>
      <c r="DV65" s="92"/>
      <c r="DW65" s="92"/>
      <c r="DX65" s="92"/>
      <c r="DY65" s="92"/>
      <c r="DZ65" s="92"/>
      <c r="EA65" s="92"/>
      <c r="EC65" s="28"/>
    </row>
    <row r="66" spans="2:140" s="8" customFormat="1" ht="0.75" customHeight="1">
      <c r="B66" s="45" t="s">
        <v>589</v>
      </c>
      <c r="C66" s="9"/>
      <c r="D66" s="9"/>
      <c r="E66" s="9"/>
      <c r="F66" s="9"/>
      <c r="G66" s="7"/>
      <c r="H66" s="7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128" t="s">
        <v>623</v>
      </c>
      <c r="AJ66" s="92">
        <v>68</v>
      </c>
      <c r="AK66" s="92">
        <v>67</v>
      </c>
      <c r="AL66" s="92">
        <v>47</v>
      </c>
      <c r="AM66" s="92">
        <v>74</v>
      </c>
      <c r="AN66" s="92">
        <v>66</v>
      </c>
      <c r="AO66" s="92">
        <v>70</v>
      </c>
      <c r="AP66" s="92">
        <v>75</v>
      </c>
      <c r="AQ66" s="92"/>
      <c r="AR66" s="92"/>
      <c r="AS66" s="92"/>
      <c r="AT66" s="92"/>
      <c r="AU66" s="92"/>
      <c r="AV66" s="92"/>
      <c r="AW66" s="92"/>
      <c r="AX66" s="92"/>
      <c r="AY66" s="92"/>
      <c r="AZ66" s="92"/>
      <c r="BA66" s="92"/>
      <c r="BB66" s="92"/>
      <c r="BC66" s="92"/>
      <c r="BD66" s="92"/>
      <c r="BE66" s="92"/>
      <c r="BF66" s="92"/>
      <c r="BG66" s="92"/>
      <c r="BH66" s="92"/>
      <c r="BI66" s="92"/>
      <c r="BJ66" s="92"/>
      <c r="BK66" s="92"/>
      <c r="BL66" s="92"/>
      <c r="BM66" s="92"/>
      <c r="BN66" s="92"/>
      <c r="BO66" s="92"/>
      <c r="BP66" s="92"/>
      <c r="BQ66" s="92"/>
      <c r="BR66" s="92"/>
      <c r="BS66" s="92"/>
      <c r="BT66" s="92"/>
      <c r="BU66" s="92"/>
      <c r="BV66" s="92"/>
      <c r="BW66" s="92"/>
      <c r="BX66" s="92"/>
      <c r="BY66" s="92"/>
      <c r="BZ66" s="92"/>
      <c r="CA66" s="92"/>
      <c r="CB66" s="92"/>
      <c r="CC66" s="92"/>
      <c r="CD66" s="92"/>
      <c r="CE66" s="92"/>
      <c r="CF66" s="92"/>
      <c r="CG66" s="92"/>
      <c r="CH66" s="92"/>
      <c r="CI66" s="92"/>
      <c r="CJ66" s="92"/>
      <c r="CK66" s="92"/>
      <c r="CL66" s="92"/>
      <c r="CM66" s="92"/>
      <c r="CN66" s="92"/>
      <c r="CO66" s="92"/>
      <c r="CP66" s="92"/>
      <c r="CQ66" s="92"/>
      <c r="CR66" s="92"/>
      <c r="CS66" s="92"/>
      <c r="CT66" s="92"/>
      <c r="CU66" s="92"/>
      <c r="CV66" s="92"/>
      <c r="CW66" s="92"/>
      <c r="CX66" s="92"/>
      <c r="CY66" s="92"/>
      <c r="CZ66" s="92"/>
      <c r="DA66" s="47"/>
      <c r="DB66" s="9"/>
      <c r="DC66" s="92"/>
      <c r="DD66" s="92"/>
      <c r="DE66" s="92"/>
      <c r="DF66" s="92"/>
      <c r="DG66" s="92"/>
      <c r="DH66" s="92"/>
      <c r="DI66" s="92"/>
      <c r="DJ66" s="92"/>
      <c r="DK66" s="92">
        <f t="shared" si="130"/>
        <v>285</v>
      </c>
      <c r="DL66" s="92"/>
      <c r="DM66" s="92"/>
      <c r="DN66" s="92"/>
      <c r="DO66" s="92"/>
      <c r="DP66" s="92"/>
      <c r="DQ66" s="92"/>
      <c r="DR66" s="92"/>
      <c r="DS66" s="92"/>
      <c r="DT66" s="92"/>
      <c r="DU66" s="92"/>
      <c r="DV66" s="92"/>
      <c r="DW66" s="92"/>
      <c r="DX66" s="92"/>
      <c r="DY66" s="92"/>
      <c r="DZ66" s="92"/>
      <c r="EA66" s="92"/>
      <c r="EC66" s="28"/>
    </row>
    <row r="67" spans="2:140" s="8" customFormat="1" ht="0.75" customHeight="1">
      <c r="B67" s="45" t="s">
        <v>588</v>
      </c>
      <c r="C67" s="9"/>
      <c r="D67" s="9"/>
      <c r="E67" s="9"/>
      <c r="F67" s="9"/>
      <c r="G67" s="7"/>
      <c r="H67" s="7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128" t="s">
        <v>622</v>
      </c>
      <c r="AJ67" s="92">
        <v>52</v>
      </c>
      <c r="AK67" s="92">
        <v>53</v>
      </c>
      <c r="AL67" s="92">
        <v>36</v>
      </c>
      <c r="AM67" s="92">
        <v>52</v>
      </c>
      <c r="AN67" s="92">
        <v>51</v>
      </c>
      <c r="AO67" s="92">
        <v>7</v>
      </c>
      <c r="AP67" s="92">
        <v>1</v>
      </c>
      <c r="AQ67" s="92"/>
      <c r="AR67" s="92"/>
      <c r="AS67" s="92"/>
      <c r="AT67" s="92"/>
      <c r="AU67" s="92"/>
      <c r="AV67" s="92"/>
      <c r="AW67" s="92"/>
      <c r="AX67" s="92"/>
      <c r="AY67" s="92"/>
      <c r="AZ67" s="92"/>
      <c r="BA67" s="92"/>
      <c r="BB67" s="92"/>
      <c r="BC67" s="92"/>
      <c r="BD67" s="92"/>
      <c r="BE67" s="92"/>
      <c r="BF67" s="92"/>
      <c r="BG67" s="92"/>
      <c r="BH67" s="92"/>
      <c r="BI67" s="92"/>
      <c r="BJ67" s="92"/>
      <c r="BK67" s="92"/>
      <c r="BL67" s="92"/>
      <c r="BM67" s="92"/>
      <c r="BN67" s="92"/>
      <c r="BO67" s="92"/>
      <c r="BP67" s="92"/>
      <c r="BQ67" s="92"/>
      <c r="BR67" s="92"/>
      <c r="BS67" s="92"/>
      <c r="BT67" s="92"/>
      <c r="BU67" s="92"/>
      <c r="BV67" s="92"/>
      <c r="BW67" s="92"/>
      <c r="BX67" s="92"/>
      <c r="BY67" s="92"/>
      <c r="BZ67" s="92"/>
      <c r="CA67" s="92"/>
      <c r="CB67" s="92"/>
      <c r="CC67" s="92"/>
      <c r="CD67" s="92"/>
      <c r="CE67" s="92"/>
      <c r="CF67" s="92"/>
      <c r="CG67" s="92"/>
      <c r="CH67" s="92"/>
      <c r="CI67" s="92"/>
      <c r="CJ67" s="92"/>
      <c r="CK67" s="92"/>
      <c r="CL67" s="92"/>
      <c r="CM67" s="92"/>
      <c r="CN67" s="92"/>
      <c r="CO67" s="92"/>
      <c r="CP67" s="92"/>
      <c r="CQ67" s="92"/>
      <c r="CR67" s="92"/>
      <c r="CS67" s="92"/>
      <c r="CT67" s="92"/>
      <c r="CU67" s="92"/>
      <c r="CV67" s="92"/>
      <c r="CW67" s="92"/>
      <c r="CX67" s="92"/>
      <c r="CY67" s="92"/>
      <c r="CZ67" s="92"/>
      <c r="DA67" s="47"/>
      <c r="DB67" s="9"/>
      <c r="DC67" s="92"/>
      <c r="DD67" s="92"/>
      <c r="DE67" s="92"/>
      <c r="DF67" s="92"/>
      <c r="DG67" s="92"/>
      <c r="DH67" s="92"/>
      <c r="DI67" s="92"/>
      <c r="DJ67" s="92"/>
      <c r="DK67" s="92">
        <f t="shared" si="130"/>
        <v>111</v>
      </c>
      <c r="DL67" s="92"/>
      <c r="DM67" s="92"/>
      <c r="DN67" s="92"/>
      <c r="DO67" s="92"/>
      <c r="DP67" s="92"/>
      <c r="DQ67" s="92"/>
      <c r="DR67" s="92"/>
      <c r="DS67" s="92"/>
      <c r="DT67" s="92"/>
      <c r="DU67" s="92"/>
      <c r="DV67" s="92"/>
      <c r="DW67" s="92"/>
      <c r="DX67" s="92"/>
      <c r="DY67" s="92"/>
      <c r="DZ67" s="92"/>
      <c r="EA67" s="92"/>
      <c r="EC67" s="28"/>
    </row>
    <row r="68" spans="2:140" s="8" customFormat="1" ht="0.75" customHeight="1">
      <c r="B68" s="45" t="s">
        <v>637</v>
      </c>
      <c r="C68" s="9"/>
      <c r="D68" s="9"/>
      <c r="E68" s="9"/>
      <c r="F68" s="9"/>
      <c r="G68" s="7"/>
      <c r="H68" s="7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128" t="s">
        <v>620</v>
      </c>
      <c r="AJ68" s="92">
        <v>54</v>
      </c>
      <c r="AK68" s="92">
        <v>53</v>
      </c>
      <c r="AL68" s="92">
        <v>58</v>
      </c>
      <c r="AM68" s="92">
        <f>49+2</f>
        <v>51</v>
      </c>
      <c r="AN68" s="92">
        <v>56</v>
      </c>
      <c r="AO68" s="92">
        <v>48</v>
      </c>
      <c r="AP68" s="92">
        <v>53</v>
      </c>
      <c r="AQ68" s="92">
        <v>60</v>
      </c>
      <c r="AR68" s="92">
        <v>47</v>
      </c>
      <c r="AS68" s="92">
        <v>42</v>
      </c>
      <c r="AT68" s="92">
        <v>57</v>
      </c>
      <c r="AU68" s="92">
        <v>48</v>
      </c>
      <c r="AV68" s="92">
        <v>51</v>
      </c>
      <c r="AW68" s="92">
        <v>42</v>
      </c>
      <c r="AX68" s="92">
        <v>44</v>
      </c>
      <c r="AY68" s="92"/>
      <c r="AZ68" s="92"/>
      <c r="BA68" s="92"/>
      <c r="BB68" s="92"/>
      <c r="BC68" s="92"/>
      <c r="BD68" s="92"/>
      <c r="BE68" s="92"/>
      <c r="BF68" s="92"/>
      <c r="BG68" s="92"/>
      <c r="BH68" s="92"/>
      <c r="BI68" s="92"/>
      <c r="BJ68" s="92"/>
      <c r="BK68" s="92"/>
      <c r="BL68" s="92"/>
      <c r="BM68" s="92"/>
      <c r="BN68" s="92"/>
      <c r="BO68" s="92"/>
      <c r="BP68" s="92"/>
      <c r="BQ68" s="92"/>
      <c r="BR68" s="92"/>
      <c r="BS68" s="92"/>
      <c r="BT68" s="92"/>
      <c r="BU68" s="92"/>
      <c r="BV68" s="92"/>
      <c r="BW68" s="92"/>
      <c r="BX68" s="92"/>
      <c r="BY68" s="92"/>
      <c r="BZ68" s="92"/>
      <c r="CA68" s="92"/>
      <c r="CB68" s="92"/>
      <c r="CC68" s="92"/>
      <c r="CD68" s="92"/>
      <c r="CE68" s="92"/>
      <c r="CF68" s="92"/>
      <c r="CG68" s="92"/>
      <c r="CH68" s="92"/>
      <c r="CI68" s="92"/>
      <c r="CJ68" s="92"/>
      <c r="CK68" s="92"/>
      <c r="CL68" s="92"/>
      <c r="CM68" s="92"/>
      <c r="CN68" s="92"/>
      <c r="CO68" s="92"/>
      <c r="CP68" s="92"/>
      <c r="CQ68" s="92"/>
      <c r="CR68" s="92"/>
      <c r="CS68" s="92"/>
      <c r="CT68" s="92"/>
      <c r="CU68" s="92"/>
      <c r="CV68" s="92"/>
      <c r="CW68" s="92"/>
      <c r="CX68" s="92"/>
      <c r="CY68" s="92"/>
      <c r="CZ68" s="92"/>
      <c r="DA68" s="47"/>
      <c r="DB68" s="9"/>
      <c r="DC68" s="92"/>
      <c r="DD68" s="92"/>
      <c r="DE68" s="92"/>
      <c r="DF68" s="92"/>
      <c r="DG68" s="92"/>
      <c r="DH68" s="92"/>
      <c r="DI68" s="92"/>
      <c r="DJ68" s="92"/>
      <c r="DK68" s="92">
        <f t="shared" si="130"/>
        <v>208</v>
      </c>
      <c r="DL68" s="92">
        <f t="shared" si="73"/>
        <v>206</v>
      </c>
      <c r="DM68" s="92">
        <f t="shared" si="29"/>
        <v>185</v>
      </c>
      <c r="DN68" s="92"/>
      <c r="DO68" s="92"/>
      <c r="DP68" s="92"/>
      <c r="DQ68" s="92"/>
      <c r="DR68" s="92"/>
      <c r="DS68" s="92"/>
      <c r="DT68" s="92"/>
      <c r="DU68" s="92"/>
      <c r="DV68" s="92"/>
      <c r="DW68" s="92"/>
      <c r="DX68" s="92"/>
      <c r="DY68" s="92"/>
      <c r="DZ68" s="92"/>
      <c r="EA68" s="92"/>
      <c r="EC68" s="28"/>
      <c r="EF68" s="81"/>
    </row>
    <row r="69" spans="2:140" s="8" customFormat="1" ht="0.75" customHeight="1">
      <c r="B69" s="45" t="s">
        <v>590</v>
      </c>
      <c r="C69" s="9"/>
      <c r="D69" s="9"/>
      <c r="E69" s="9"/>
      <c r="F69" s="9"/>
      <c r="G69" s="7"/>
      <c r="H69" s="7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128" t="s">
        <v>621</v>
      </c>
      <c r="AJ69" s="92">
        <v>67</v>
      </c>
      <c r="AK69" s="92">
        <v>56</v>
      </c>
      <c r="AL69" s="92">
        <v>38</v>
      </c>
      <c r="AM69" s="92">
        <v>54</v>
      </c>
      <c r="AN69" s="92">
        <v>51</v>
      </c>
      <c r="AO69" s="92">
        <v>50</v>
      </c>
      <c r="AP69" s="92">
        <v>54</v>
      </c>
      <c r="AQ69" s="92">
        <v>49</v>
      </c>
      <c r="AR69" s="92"/>
      <c r="AS69" s="92"/>
      <c r="AT69" s="92"/>
      <c r="AU69" s="92"/>
      <c r="AV69" s="92"/>
      <c r="AW69" s="92"/>
      <c r="AX69" s="92"/>
      <c r="AY69" s="92"/>
      <c r="AZ69" s="92"/>
      <c r="BA69" s="92"/>
      <c r="BB69" s="92"/>
      <c r="BC69" s="92"/>
      <c r="BD69" s="92"/>
      <c r="BE69" s="92"/>
      <c r="BF69" s="92"/>
      <c r="BG69" s="92"/>
      <c r="BH69" s="92"/>
      <c r="BI69" s="92"/>
      <c r="BJ69" s="92"/>
      <c r="BK69" s="92"/>
      <c r="BL69" s="92"/>
      <c r="BM69" s="92"/>
      <c r="BN69" s="92"/>
      <c r="BO69" s="92"/>
      <c r="BP69" s="92"/>
      <c r="BQ69" s="92"/>
      <c r="BR69" s="92"/>
      <c r="BS69" s="92"/>
      <c r="BT69" s="92"/>
      <c r="BU69" s="92"/>
      <c r="BV69" s="92"/>
      <c r="BW69" s="92"/>
      <c r="BX69" s="92"/>
      <c r="BY69" s="92"/>
      <c r="BZ69" s="92"/>
      <c r="CA69" s="92"/>
      <c r="CB69" s="92"/>
      <c r="CC69" s="92"/>
      <c r="CD69" s="92"/>
      <c r="CE69" s="92"/>
      <c r="CF69" s="92"/>
      <c r="CG69" s="92"/>
      <c r="CH69" s="92"/>
      <c r="CI69" s="92"/>
      <c r="CJ69" s="92"/>
      <c r="CK69" s="92"/>
      <c r="CL69" s="92"/>
      <c r="CM69" s="92"/>
      <c r="CN69" s="92"/>
      <c r="CO69" s="92"/>
      <c r="CP69" s="92"/>
      <c r="CQ69" s="92"/>
      <c r="CR69" s="92"/>
      <c r="CS69" s="92"/>
      <c r="CT69" s="92"/>
      <c r="CU69" s="92"/>
      <c r="CV69" s="92"/>
      <c r="CW69" s="92"/>
      <c r="CX69" s="92"/>
      <c r="CY69" s="92"/>
      <c r="CZ69" s="92"/>
      <c r="DA69" s="47"/>
      <c r="DB69" s="9"/>
      <c r="DC69" s="92"/>
      <c r="DD69" s="92"/>
      <c r="DE69" s="92"/>
      <c r="DF69" s="92"/>
      <c r="DG69" s="92"/>
      <c r="DH69" s="92"/>
      <c r="DI69" s="92"/>
      <c r="DJ69" s="92"/>
      <c r="DK69" s="92">
        <f t="shared" si="130"/>
        <v>209</v>
      </c>
      <c r="DL69" s="92">
        <f t="shared" si="73"/>
        <v>49</v>
      </c>
      <c r="DM69" s="92"/>
      <c r="DN69" s="92"/>
      <c r="DO69" s="92"/>
      <c r="DP69" s="92"/>
      <c r="DQ69" s="92"/>
      <c r="DR69" s="92"/>
      <c r="DS69" s="92"/>
      <c r="DT69" s="92"/>
      <c r="DU69" s="92"/>
      <c r="DV69" s="92"/>
      <c r="DW69" s="92"/>
      <c r="DX69" s="92"/>
      <c r="DY69" s="92"/>
      <c r="DZ69" s="92"/>
      <c r="EA69" s="92"/>
      <c r="EC69" s="28"/>
    </row>
    <row r="70" spans="2:140" s="8" customFormat="1" ht="0.75" customHeight="1">
      <c r="B70" s="45" t="s">
        <v>609</v>
      </c>
      <c r="C70" s="9"/>
      <c r="D70" s="9"/>
      <c r="E70" s="9"/>
      <c r="F70" s="9"/>
      <c r="G70" s="7"/>
      <c r="H70" s="7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128" t="s">
        <v>625</v>
      </c>
      <c r="AJ70" s="92">
        <v>46</v>
      </c>
      <c r="AK70" s="92">
        <v>49</v>
      </c>
      <c r="AL70" s="92">
        <v>53</v>
      </c>
      <c r="AM70" s="92">
        <v>55</v>
      </c>
      <c r="AN70" s="92">
        <v>49</v>
      </c>
      <c r="AO70" s="92">
        <v>56</v>
      </c>
      <c r="AP70" s="92">
        <v>49</v>
      </c>
      <c r="AQ70" s="92">
        <v>59</v>
      </c>
      <c r="AR70" s="92">
        <v>66</v>
      </c>
      <c r="AS70" s="92">
        <v>74</v>
      </c>
      <c r="AT70" s="92">
        <v>69</v>
      </c>
      <c r="AU70" s="92">
        <v>67</v>
      </c>
      <c r="AV70" s="92">
        <v>72</v>
      </c>
      <c r="AW70" s="92">
        <v>64</v>
      </c>
      <c r="AX70" s="92">
        <v>68</v>
      </c>
      <c r="AY70" s="92"/>
      <c r="AZ70" s="92"/>
      <c r="BA70" s="92"/>
      <c r="BB70" s="92"/>
      <c r="BC70" s="92"/>
      <c r="BD70" s="92"/>
      <c r="BE70" s="92"/>
      <c r="BF70" s="92"/>
      <c r="BG70" s="92"/>
      <c r="BH70" s="92"/>
      <c r="BI70" s="92"/>
      <c r="BJ70" s="92"/>
      <c r="BK70" s="92"/>
      <c r="BL70" s="92"/>
      <c r="BM70" s="92"/>
      <c r="BN70" s="92"/>
      <c r="BO70" s="92"/>
      <c r="BP70" s="92"/>
      <c r="BQ70" s="92"/>
      <c r="BR70" s="92"/>
      <c r="BS70" s="92"/>
      <c r="BT70" s="92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2"/>
      <c r="CF70" s="92"/>
      <c r="CG70" s="92"/>
      <c r="CH70" s="92"/>
      <c r="CI70" s="92"/>
      <c r="CJ70" s="92"/>
      <c r="CK70" s="92"/>
      <c r="CL70" s="92"/>
      <c r="CM70" s="92"/>
      <c r="CN70" s="92"/>
      <c r="CO70" s="92"/>
      <c r="CP70" s="92"/>
      <c r="CQ70" s="92"/>
      <c r="CR70" s="92"/>
      <c r="CS70" s="92"/>
      <c r="CT70" s="92"/>
      <c r="CU70" s="92"/>
      <c r="CV70" s="92"/>
      <c r="CW70" s="92"/>
      <c r="CX70" s="92"/>
      <c r="CY70" s="92"/>
      <c r="CZ70" s="92"/>
      <c r="DA70" s="47"/>
      <c r="DB70" s="9"/>
      <c r="DC70" s="92"/>
      <c r="DD70" s="92"/>
      <c r="DE70" s="92"/>
      <c r="DF70" s="92"/>
      <c r="DG70" s="92"/>
      <c r="DH70" s="92"/>
      <c r="DI70" s="92"/>
      <c r="DJ70" s="92"/>
      <c r="DK70" s="92">
        <f>SUM(AM70:AQ70)</f>
        <v>268</v>
      </c>
      <c r="DL70" s="92">
        <f t="shared" si="73"/>
        <v>268</v>
      </c>
      <c r="DM70" s="92">
        <f t="shared" si="29"/>
        <v>271</v>
      </c>
      <c r="DN70" s="92"/>
      <c r="DO70" s="92"/>
      <c r="DP70" s="92"/>
      <c r="DQ70" s="92"/>
      <c r="DR70" s="92"/>
      <c r="DS70" s="92"/>
      <c r="DT70" s="92"/>
      <c r="DU70" s="92"/>
      <c r="DV70" s="92"/>
      <c r="DW70" s="92"/>
      <c r="DX70" s="92"/>
      <c r="DY70" s="92"/>
      <c r="DZ70" s="92"/>
      <c r="EA70" s="92"/>
      <c r="EC70" s="28"/>
    </row>
    <row r="71" spans="2:140" s="8" customFormat="1" ht="0.75" customHeight="1">
      <c r="B71" s="45" t="s">
        <v>352</v>
      </c>
      <c r="C71" s="9"/>
      <c r="D71" s="9"/>
      <c r="E71" s="9"/>
      <c r="F71" s="9"/>
      <c r="G71" s="7"/>
      <c r="H71" s="7"/>
      <c r="I71" s="92"/>
      <c r="J71" s="92"/>
      <c r="K71" s="92"/>
      <c r="L71" s="92"/>
      <c r="M71" s="92"/>
      <c r="N71" s="92"/>
      <c r="O71" s="92">
        <v>52</v>
      </c>
      <c r="P71" s="92">
        <v>46</v>
      </c>
      <c r="Q71" s="92">
        <v>82</v>
      </c>
      <c r="R71" s="92">
        <v>104</v>
      </c>
      <c r="S71" s="92">
        <v>55</v>
      </c>
      <c r="T71" s="92">
        <v>57</v>
      </c>
      <c r="U71" s="92">
        <v>88</v>
      </c>
      <c r="V71" s="92">
        <v>111</v>
      </c>
      <c r="W71" s="92">
        <v>56</v>
      </c>
      <c r="X71" s="92">
        <v>67</v>
      </c>
      <c r="Y71" s="92">
        <v>97</v>
      </c>
      <c r="Z71" s="92">
        <v>134</v>
      </c>
      <c r="AA71" s="92">
        <v>92</v>
      </c>
      <c r="AB71" s="92">
        <v>96</v>
      </c>
      <c r="AC71" s="91">
        <v>97</v>
      </c>
      <c r="AD71" s="92">
        <f>AC71</f>
        <v>97</v>
      </c>
      <c r="AE71" s="92">
        <v>73</v>
      </c>
      <c r="AF71" s="92">
        <v>69</v>
      </c>
      <c r="AG71" s="92">
        <v>81</v>
      </c>
      <c r="AH71" s="92">
        <f>AG71</f>
        <v>81</v>
      </c>
      <c r="AI71" s="94" t="s">
        <v>925</v>
      </c>
      <c r="AJ71" s="94" t="s">
        <v>926</v>
      </c>
      <c r="AK71" s="94" t="s">
        <v>927</v>
      </c>
      <c r="AL71" s="92"/>
      <c r="AM71" s="92"/>
      <c r="AN71" s="92"/>
      <c r="AO71" s="92"/>
      <c r="AP71" s="92"/>
      <c r="AQ71" s="92"/>
      <c r="AR71" s="92"/>
      <c r="AS71" s="92"/>
      <c r="AT71" s="92"/>
      <c r="AU71" s="92"/>
      <c r="AV71" s="92"/>
      <c r="AW71" s="92"/>
      <c r="AX71" s="92"/>
      <c r="AY71" s="92"/>
      <c r="AZ71" s="92"/>
      <c r="BA71" s="92"/>
      <c r="BB71" s="92"/>
      <c r="BC71" s="92"/>
      <c r="BD71" s="92"/>
      <c r="BE71" s="92"/>
      <c r="BF71" s="92"/>
      <c r="BG71" s="92"/>
      <c r="BH71" s="92"/>
      <c r="BI71" s="92"/>
      <c r="BJ71" s="92"/>
      <c r="BK71" s="92"/>
      <c r="BL71" s="92"/>
      <c r="BM71" s="92"/>
      <c r="BN71" s="92"/>
      <c r="BO71" s="92"/>
      <c r="BP71" s="92"/>
      <c r="BQ71" s="92"/>
      <c r="BR71" s="92"/>
      <c r="BS71" s="92"/>
      <c r="BT71" s="92"/>
      <c r="BU71" s="92"/>
      <c r="BV71" s="92"/>
      <c r="BW71" s="92"/>
      <c r="BX71" s="92"/>
      <c r="BY71" s="92"/>
      <c r="BZ71" s="92"/>
      <c r="CA71" s="92"/>
      <c r="CB71" s="92"/>
      <c r="CC71" s="92"/>
      <c r="CD71" s="92"/>
      <c r="CE71" s="92"/>
      <c r="CF71" s="92"/>
      <c r="CG71" s="92"/>
      <c r="CH71" s="92"/>
      <c r="CI71" s="92"/>
      <c r="CJ71" s="92"/>
      <c r="CK71" s="92"/>
      <c r="CL71" s="92"/>
      <c r="CM71" s="92"/>
      <c r="CN71" s="92"/>
      <c r="CO71" s="92"/>
      <c r="CP71" s="92"/>
      <c r="CQ71" s="92"/>
      <c r="CR71" s="92"/>
      <c r="CS71" s="92"/>
      <c r="CT71" s="92"/>
      <c r="CU71" s="92"/>
      <c r="CV71" s="92"/>
      <c r="CW71" s="92"/>
      <c r="CX71" s="92"/>
      <c r="CY71" s="92"/>
      <c r="CZ71" s="92"/>
      <c r="DA71" s="47"/>
      <c r="DB71" s="9" t="s">
        <v>440</v>
      </c>
      <c r="DC71" s="92" t="s">
        <v>440</v>
      </c>
      <c r="DD71" s="92">
        <v>281</v>
      </c>
      <c r="DE71" s="92">
        <f>SUM(O71:R71)</f>
        <v>284</v>
      </c>
      <c r="DF71" s="92">
        <f>SUM(S71:V71)</f>
        <v>311</v>
      </c>
      <c r="DG71" s="92">
        <f>SUM(W71:Z71)</f>
        <v>354</v>
      </c>
      <c r="DH71" s="92">
        <f>SUM(AA71:AD71)</f>
        <v>382</v>
      </c>
      <c r="DI71" s="92">
        <f>SUM(AE71:AH71)</f>
        <v>304</v>
      </c>
      <c r="DJ71" s="92">
        <f>SUM(AI71:AL71)</f>
        <v>0</v>
      </c>
      <c r="DK71" s="92"/>
      <c r="DL71" s="92"/>
      <c r="DM71" s="92"/>
      <c r="DN71" s="92"/>
      <c r="DO71" s="92"/>
      <c r="DP71" s="92"/>
      <c r="DQ71" s="92"/>
      <c r="DR71" s="92"/>
      <c r="DS71" s="92"/>
      <c r="DT71" s="92"/>
      <c r="DU71" s="92"/>
      <c r="DV71" s="92"/>
      <c r="DW71" s="92"/>
      <c r="DX71" s="92"/>
      <c r="DY71" s="92"/>
      <c r="DZ71" s="92"/>
      <c r="EA71" s="92"/>
      <c r="EC71" s="28"/>
    </row>
    <row r="72" spans="2:140" s="8" customFormat="1" ht="0.75" customHeight="1">
      <c r="B72" s="45" t="s">
        <v>351</v>
      </c>
      <c r="C72" s="9"/>
      <c r="D72" s="9"/>
      <c r="E72" s="9"/>
      <c r="F72" s="9"/>
      <c r="G72" s="7"/>
      <c r="H72" s="7"/>
      <c r="I72" s="92"/>
      <c r="J72" s="92"/>
      <c r="K72" s="92"/>
      <c r="L72" s="92"/>
      <c r="M72" s="92"/>
      <c r="N72" s="92"/>
      <c r="O72" s="92">
        <v>60</v>
      </c>
      <c r="P72" s="92">
        <v>43</v>
      </c>
      <c r="Q72" s="92">
        <v>48</v>
      </c>
      <c r="R72" s="92">
        <v>47</v>
      </c>
      <c r="S72" s="92">
        <v>36</v>
      </c>
      <c r="T72" s="92">
        <v>46</v>
      </c>
      <c r="U72" s="92">
        <v>65</v>
      </c>
      <c r="V72" s="92">
        <v>48</v>
      </c>
      <c r="W72" s="92">
        <v>54</v>
      </c>
      <c r="X72" s="92">
        <v>59</v>
      </c>
      <c r="Y72" s="92">
        <v>69</v>
      </c>
      <c r="Z72" s="92">
        <v>67</v>
      </c>
      <c r="AA72" s="92">
        <v>72</v>
      </c>
      <c r="AB72" s="92">
        <v>80</v>
      </c>
      <c r="AC72" s="91">
        <v>68</v>
      </c>
      <c r="AD72" s="92">
        <f>AC72</f>
        <v>68</v>
      </c>
      <c r="AE72" s="92">
        <v>34</v>
      </c>
      <c r="AF72" s="92">
        <v>38</v>
      </c>
      <c r="AG72" s="92">
        <v>36</v>
      </c>
      <c r="AH72" s="92">
        <f>AG72</f>
        <v>36</v>
      </c>
      <c r="AI72" s="94" t="s">
        <v>928</v>
      </c>
      <c r="AJ72" s="94" t="s">
        <v>929</v>
      </c>
      <c r="AK72" s="94" t="s">
        <v>930</v>
      </c>
      <c r="AL72" s="92"/>
      <c r="AM72" s="92"/>
      <c r="AN72" s="92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2"/>
      <c r="BA72" s="92"/>
      <c r="BB72" s="92"/>
      <c r="BC72" s="92"/>
      <c r="BD72" s="92"/>
      <c r="BE72" s="92"/>
      <c r="BF72" s="92"/>
      <c r="BG72" s="92"/>
      <c r="BH72" s="92"/>
      <c r="BI72" s="92"/>
      <c r="BJ72" s="92"/>
      <c r="BK72" s="92"/>
      <c r="BL72" s="92"/>
      <c r="BM72" s="92"/>
      <c r="BN72" s="92"/>
      <c r="BO72" s="92"/>
      <c r="BP72" s="92"/>
      <c r="BQ72" s="92"/>
      <c r="BR72" s="92"/>
      <c r="BS72" s="92"/>
      <c r="BT72" s="92"/>
      <c r="BU72" s="92"/>
      <c r="BV72" s="92"/>
      <c r="BW72" s="92"/>
      <c r="BX72" s="92"/>
      <c r="BY72" s="92"/>
      <c r="BZ72" s="92"/>
      <c r="CA72" s="92"/>
      <c r="CB72" s="92"/>
      <c r="CC72" s="92"/>
      <c r="CD72" s="92"/>
      <c r="CE72" s="92"/>
      <c r="CF72" s="92"/>
      <c r="CG72" s="92"/>
      <c r="CH72" s="92"/>
      <c r="CI72" s="92"/>
      <c r="CJ72" s="92"/>
      <c r="CK72" s="92"/>
      <c r="CL72" s="92"/>
      <c r="CM72" s="92"/>
      <c r="CN72" s="92"/>
      <c r="CO72" s="92"/>
      <c r="CP72" s="92"/>
      <c r="CQ72" s="92"/>
      <c r="CR72" s="92"/>
      <c r="CS72" s="92"/>
      <c r="CT72" s="92"/>
      <c r="CU72" s="92"/>
      <c r="CV72" s="92"/>
      <c r="CW72" s="92"/>
      <c r="CX72" s="92"/>
      <c r="CY72" s="92"/>
      <c r="CZ72" s="92"/>
      <c r="DA72" s="47"/>
      <c r="DB72" s="9" t="s">
        <v>440</v>
      </c>
      <c r="DC72" s="92" t="s">
        <v>440</v>
      </c>
      <c r="DD72" s="92">
        <v>241</v>
      </c>
      <c r="DE72" s="92">
        <f>SUM(O72:R72)</f>
        <v>198</v>
      </c>
      <c r="DF72" s="92">
        <f>SUM(S72:V72)</f>
        <v>195</v>
      </c>
      <c r="DG72" s="92">
        <f>SUM(W72:Z72)</f>
        <v>249</v>
      </c>
      <c r="DH72" s="92">
        <f>SUM(AA72:AD72)</f>
        <v>288</v>
      </c>
      <c r="DI72" s="92">
        <f>SUM(AE72:AH72)</f>
        <v>144</v>
      </c>
      <c r="DJ72" s="92">
        <f>SUM(AI72:AL72)</f>
        <v>0</v>
      </c>
      <c r="DK72" s="92"/>
      <c r="DL72" s="92"/>
      <c r="DM72" s="92"/>
      <c r="DN72" s="92"/>
      <c r="DO72" s="92"/>
      <c r="DP72" s="92"/>
      <c r="DQ72" s="92"/>
      <c r="DR72" s="92"/>
      <c r="DS72" s="92"/>
      <c r="DT72" s="92"/>
      <c r="DU72" s="92"/>
      <c r="DV72" s="92"/>
      <c r="DW72" s="92"/>
      <c r="DX72" s="92"/>
      <c r="DY72" s="92"/>
      <c r="DZ72" s="92"/>
      <c r="EA72" s="92"/>
      <c r="EC72" s="28"/>
    </row>
    <row r="73" spans="2:140" s="8" customFormat="1" ht="0.75" customHeight="1">
      <c r="B73" s="45" t="s">
        <v>357</v>
      </c>
      <c r="C73" s="9"/>
      <c r="D73" s="9"/>
      <c r="E73" s="9"/>
      <c r="F73" s="9"/>
      <c r="G73" s="7"/>
      <c r="H73" s="7"/>
      <c r="I73" s="92"/>
      <c r="J73" s="92"/>
      <c r="K73" s="92"/>
      <c r="L73" s="92"/>
      <c r="M73" s="92"/>
      <c r="N73" s="92"/>
      <c r="O73" s="92">
        <v>37</v>
      </c>
      <c r="P73" s="92">
        <v>39</v>
      </c>
      <c r="Q73" s="92">
        <v>38</v>
      </c>
      <c r="R73" s="92">
        <v>43</v>
      </c>
      <c r="S73" s="92">
        <v>32</v>
      </c>
      <c r="T73" s="92">
        <v>37</v>
      </c>
      <c r="U73" s="92">
        <v>35</v>
      </c>
      <c r="V73" s="92">
        <v>35</v>
      </c>
      <c r="W73" s="92">
        <v>30</v>
      </c>
      <c r="X73" s="92">
        <v>33</v>
      </c>
      <c r="Y73" s="92">
        <v>31</v>
      </c>
      <c r="Z73" s="92">
        <v>33</v>
      </c>
      <c r="AA73" s="92">
        <v>29</v>
      </c>
      <c r="AB73" s="92">
        <v>31</v>
      </c>
      <c r="AC73" s="91">
        <v>28</v>
      </c>
      <c r="AD73" s="92">
        <f>AC73</f>
        <v>28</v>
      </c>
      <c r="AE73" s="92">
        <v>29</v>
      </c>
      <c r="AF73" s="92">
        <v>32</v>
      </c>
      <c r="AG73" s="92">
        <v>30</v>
      </c>
      <c r="AH73" s="92">
        <f>AG73</f>
        <v>30</v>
      </c>
      <c r="AI73" s="94" t="s">
        <v>785</v>
      </c>
      <c r="AJ73" s="94" t="s">
        <v>931</v>
      </c>
      <c r="AK73" s="94" t="s">
        <v>785</v>
      </c>
      <c r="AL73" s="92"/>
      <c r="AM73" s="92"/>
      <c r="AN73" s="92"/>
      <c r="AO73" s="92"/>
      <c r="AP73" s="92"/>
      <c r="AQ73" s="92"/>
      <c r="AR73" s="92"/>
      <c r="AS73" s="92"/>
      <c r="AT73" s="92"/>
      <c r="AU73" s="92"/>
      <c r="AV73" s="92"/>
      <c r="AW73" s="92"/>
      <c r="AX73" s="92"/>
      <c r="AY73" s="92"/>
      <c r="AZ73" s="92"/>
      <c r="BA73" s="92"/>
      <c r="BB73" s="92"/>
      <c r="BC73" s="92"/>
      <c r="BD73" s="92"/>
      <c r="BE73" s="92"/>
      <c r="BF73" s="92"/>
      <c r="BG73" s="92"/>
      <c r="BH73" s="92"/>
      <c r="BI73" s="92"/>
      <c r="BJ73" s="92"/>
      <c r="BK73" s="92"/>
      <c r="BL73" s="92"/>
      <c r="BM73" s="92"/>
      <c r="BN73" s="92"/>
      <c r="BO73" s="92"/>
      <c r="BP73" s="92"/>
      <c r="BQ73" s="92"/>
      <c r="BR73" s="92"/>
      <c r="BS73" s="92"/>
      <c r="BT73" s="92"/>
      <c r="BU73" s="92"/>
      <c r="BV73" s="92"/>
      <c r="BW73" s="92"/>
      <c r="BX73" s="92"/>
      <c r="BY73" s="92"/>
      <c r="BZ73" s="92"/>
      <c r="CA73" s="92"/>
      <c r="CB73" s="92"/>
      <c r="CC73" s="92"/>
      <c r="CD73" s="92"/>
      <c r="CE73" s="92"/>
      <c r="CF73" s="92"/>
      <c r="CG73" s="92"/>
      <c r="CH73" s="92"/>
      <c r="CI73" s="92"/>
      <c r="CJ73" s="92"/>
      <c r="CK73" s="92"/>
      <c r="CL73" s="92"/>
      <c r="CM73" s="92"/>
      <c r="CN73" s="92"/>
      <c r="CO73" s="92"/>
      <c r="CP73" s="92"/>
      <c r="CQ73" s="92"/>
      <c r="CR73" s="92"/>
      <c r="CS73" s="92"/>
      <c r="CT73" s="92"/>
      <c r="CU73" s="92"/>
      <c r="CV73" s="92"/>
      <c r="CW73" s="92"/>
      <c r="CX73" s="92"/>
      <c r="CY73" s="92"/>
      <c r="CZ73" s="92"/>
      <c r="DA73" s="47"/>
      <c r="DB73" s="9" t="s">
        <v>440</v>
      </c>
      <c r="DC73" s="96" t="s">
        <v>440</v>
      </c>
      <c r="DD73" s="92">
        <v>160</v>
      </c>
      <c r="DE73" s="92">
        <f>SUM(O73:R73)</f>
        <v>157</v>
      </c>
      <c r="DF73" s="92">
        <f>SUM(S73:V73)</f>
        <v>139</v>
      </c>
      <c r="DG73" s="92">
        <f>SUM(W73:Z73)</f>
        <v>127</v>
      </c>
      <c r="DH73" s="92">
        <f>SUM(AA73:AD73)</f>
        <v>116</v>
      </c>
      <c r="DI73" s="92">
        <f>SUM(AE73:AH73)</f>
        <v>121</v>
      </c>
      <c r="DJ73" s="92">
        <f>SUM(AI73:AL73)</f>
        <v>0</v>
      </c>
      <c r="DK73" s="92"/>
      <c r="DL73" s="92"/>
      <c r="DM73" s="92"/>
      <c r="DN73" s="92"/>
      <c r="DO73" s="92"/>
      <c r="DP73" s="92"/>
      <c r="DQ73" s="92"/>
      <c r="DR73" s="92"/>
      <c r="DS73" s="92"/>
      <c r="DT73" s="92"/>
      <c r="DU73" s="92"/>
      <c r="DV73" s="92"/>
      <c r="DW73" s="92"/>
      <c r="DX73" s="92"/>
      <c r="DY73" s="92"/>
      <c r="DZ73" s="92"/>
      <c r="EA73" s="92"/>
      <c r="EC73" s="28"/>
    </row>
    <row r="74" spans="2:140" s="8" customFormat="1" ht="0.75" customHeight="1">
      <c r="B74" s="45" t="s">
        <v>586</v>
      </c>
      <c r="C74" s="9"/>
      <c r="D74" s="9"/>
      <c r="E74" s="9"/>
      <c r="F74" s="9"/>
      <c r="G74" s="7"/>
      <c r="H74" s="7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1"/>
      <c r="AD74" s="92"/>
      <c r="AE74" s="92"/>
      <c r="AF74" s="92"/>
      <c r="AG74" s="92"/>
      <c r="AH74" s="92"/>
      <c r="AI74" s="128" t="s">
        <v>621</v>
      </c>
      <c r="AJ74" s="92">
        <v>56</v>
      </c>
      <c r="AK74" s="92">
        <v>59</v>
      </c>
      <c r="AL74" s="92">
        <v>56</v>
      </c>
      <c r="AM74" s="92">
        <v>57</v>
      </c>
      <c r="AN74" s="92">
        <v>55</v>
      </c>
      <c r="AO74" s="92">
        <v>43</v>
      </c>
      <c r="AP74" s="92">
        <v>55</v>
      </c>
      <c r="AQ74" s="92">
        <v>42</v>
      </c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2"/>
      <c r="BW74" s="92"/>
      <c r="BX74" s="92"/>
      <c r="BY74" s="92"/>
      <c r="BZ74" s="92"/>
      <c r="CA74" s="92"/>
      <c r="CB74" s="92"/>
      <c r="CC74" s="92"/>
      <c r="CD74" s="92"/>
      <c r="CE74" s="92"/>
      <c r="CF74" s="92"/>
      <c r="CG74" s="92"/>
      <c r="CH74" s="92"/>
      <c r="CI74" s="92"/>
      <c r="CJ74" s="92"/>
      <c r="CK74" s="92"/>
      <c r="CL74" s="92"/>
      <c r="CM74" s="92"/>
      <c r="CN74" s="92"/>
      <c r="CO74" s="92"/>
      <c r="CP74" s="92"/>
      <c r="CQ74" s="92"/>
      <c r="CR74" s="92"/>
      <c r="CS74" s="92"/>
      <c r="CT74" s="92"/>
      <c r="CU74" s="92"/>
      <c r="CV74" s="92"/>
      <c r="CW74" s="92"/>
      <c r="CX74" s="92"/>
      <c r="CY74" s="92"/>
      <c r="CZ74" s="92"/>
      <c r="DA74" s="47"/>
      <c r="DB74" s="9"/>
      <c r="DC74" s="96"/>
      <c r="DD74" s="92"/>
      <c r="DE74" s="92"/>
      <c r="DF74" s="92"/>
      <c r="DG74" s="92"/>
      <c r="DH74" s="92"/>
      <c r="DI74" s="92"/>
      <c r="DJ74" s="92"/>
      <c r="DK74" s="92">
        <f>SUM(AM74:AP74)</f>
        <v>210</v>
      </c>
      <c r="DL74" s="92">
        <f t="shared" si="73"/>
        <v>42</v>
      </c>
      <c r="DM74" s="92"/>
      <c r="DN74" s="92"/>
      <c r="DO74" s="92"/>
      <c r="DP74" s="92"/>
      <c r="DQ74" s="92"/>
      <c r="DR74" s="92"/>
      <c r="DS74" s="92"/>
      <c r="DT74" s="92"/>
      <c r="DU74" s="92"/>
      <c r="DV74" s="92"/>
      <c r="DW74" s="92"/>
      <c r="DX74" s="92"/>
      <c r="DY74" s="92"/>
      <c r="DZ74" s="92"/>
      <c r="EA74" s="92"/>
      <c r="EC74" s="28"/>
    </row>
    <row r="75" spans="2:140" s="8" customFormat="1" ht="0.75" customHeight="1">
      <c r="B75" s="45" t="s">
        <v>100</v>
      </c>
      <c r="C75" s="9"/>
      <c r="D75" s="9"/>
      <c r="E75" s="9"/>
      <c r="F75" s="9"/>
      <c r="G75" s="7"/>
      <c r="H75" s="7"/>
      <c r="I75" s="92"/>
      <c r="J75" s="92"/>
      <c r="K75" s="92"/>
      <c r="L75" s="92"/>
      <c r="M75" s="92"/>
      <c r="N75" s="92"/>
      <c r="O75" s="92">
        <v>22</v>
      </c>
      <c r="P75" s="92">
        <v>21</v>
      </c>
      <c r="Q75" s="92">
        <v>19</v>
      </c>
      <c r="R75" s="92">
        <v>22</v>
      </c>
      <c r="S75" s="92">
        <v>23</v>
      </c>
      <c r="T75" s="92">
        <v>23</v>
      </c>
      <c r="U75" s="92">
        <v>21</v>
      </c>
      <c r="V75" s="92">
        <v>21</v>
      </c>
      <c r="W75" s="92">
        <v>22</v>
      </c>
      <c r="X75" s="92">
        <v>23</v>
      </c>
      <c r="Y75" s="92">
        <v>22</v>
      </c>
      <c r="Z75" s="92">
        <v>19</v>
      </c>
      <c r="AA75" s="92">
        <v>24</v>
      </c>
      <c r="AB75" s="92">
        <v>20</v>
      </c>
      <c r="AC75" s="92">
        <v>21</v>
      </c>
      <c r="AD75" s="92">
        <f>AC75</f>
        <v>21</v>
      </c>
      <c r="AE75" s="92" t="s">
        <v>440</v>
      </c>
      <c r="AF75" s="92" t="s">
        <v>440</v>
      </c>
      <c r="AG75" s="92" t="s">
        <v>440</v>
      </c>
      <c r="AH75" s="92" t="s">
        <v>440</v>
      </c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2"/>
      <c r="BW75" s="92"/>
      <c r="BX75" s="92"/>
      <c r="BY75" s="92"/>
      <c r="BZ75" s="92"/>
      <c r="CA75" s="92"/>
      <c r="CB75" s="92"/>
      <c r="CC75" s="92"/>
      <c r="CD75" s="92"/>
      <c r="CE75" s="92"/>
      <c r="CF75" s="92"/>
      <c r="CG75" s="92"/>
      <c r="CH75" s="92"/>
      <c r="CI75" s="92"/>
      <c r="CJ75" s="92"/>
      <c r="CK75" s="92"/>
      <c r="CL75" s="92"/>
      <c r="CM75" s="92"/>
      <c r="CN75" s="92"/>
      <c r="CO75" s="92"/>
      <c r="CP75" s="92"/>
      <c r="CQ75" s="92"/>
      <c r="CR75" s="92"/>
      <c r="CS75" s="92"/>
      <c r="CT75" s="92"/>
      <c r="CU75" s="92"/>
      <c r="CV75" s="92"/>
      <c r="CW75" s="92"/>
      <c r="CX75" s="92"/>
      <c r="CY75" s="92"/>
      <c r="CZ75" s="92"/>
      <c r="DA75" s="47"/>
      <c r="DB75" s="9" t="s">
        <v>440</v>
      </c>
      <c r="DC75" s="92">
        <v>115</v>
      </c>
      <c r="DD75" s="92">
        <v>96</v>
      </c>
      <c r="DE75" s="92">
        <f>SUM(O75:R75)</f>
        <v>84</v>
      </c>
      <c r="DF75" s="92">
        <f>SUM(S75:V75)</f>
        <v>88</v>
      </c>
      <c r="DG75" s="92">
        <f>SUM(W75:Z75)</f>
        <v>86</v>
      </c>
      <c r="DH75" s="92">
        <f>SUM(AA75:AD75)</f>
        <v>86</v>
      </c>
      <c r="DI75" s="92">
        <f>SUM(AE75:AH75)</f>
        <v>0</v>
      </c>
      <c r="DJ75" s="92">
        <f>SUM(AI75:AL75)</f>
        <v>0</v>
      </c>
      <c r="DK75" s="92"/>
      <c r="DL75" s="92"/>
      <c r="DM75" s="92"/>
      <c r="DN75" s="92"/>
      <c r="DO75" s="92"/>
      <c r="DP75" s="92"/>
      <c r="DQ75" s="92"/>
      <c r="DR75" s="92"/>
      <c r="DS75" s="92"/>
      <c r="DT75" s="92"/>
      <c r="DU75" s="92"/>
      <c r="DV75" s="92"/>
      <c r="DW75" s="92"/>
      <c r="DX75" s="92"/>
      <c r="DY75" s="92"/>
      <c r="DZ75" s="92"/>
      <c r="EA75" s="92"/>
      <c r="EC75" s="28"/>
    </row>
    <row r="76" spans="2:140" s="8" customFormat="1" ht="0.75" customHeight="1">
      <c r="B76" s="45" t="s">
        <v>180</v>
      </c>
      <c r="C76" s="9"/>
      <c r="D76" s="9"/>
      <c r="E76" s="9"/>
      <c r="F76" s="9"/>
      <c r="G76" s="7"/>
      <c r="H76" s="7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>
        <v>1</v>
      </c>
      <c r="AA76" s="92">
        <v>2</v>
      </c>
      <c r="AB76" s="92">
        <v>3</v>
      </c>
      <c r="AC76" s="92">
        <v>3</v>
      </c>
      <c r="AD76" s="92">
        <f>AC76</f>
        <v>3</v>
      </c>
      <c r="AE76" s="92">
        <v>4</v>
      </c>
      <c r="AF76" s="92">
        <v>3</v>
      </c>
      <c r="AG76" s="92">
        <v>4</v>
      </c>
      <c r="AH76" s="92">
        <f>AG76</f>
        <v>4</v>
      </c>
      <c r="AI76" s="92">
        <v>5</v>
      </c>
      <c r="AJ76" s="92">
        <v>4</v>
      </c>
      <c r="AK76" s="92">
        <v>5</v>
      </c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2"/>
      <c r="BW76" s="92"/>
      <c r="BX76" s="92"/>
      <c r="BY76" s="92"/>
      <c r="BZ76" s="92"/>
      <c r="CA76" s="92"/>
      <c r="CB76" s="92"/>
      <c r="CC76" s="92"/>
      <c r="CD76" s="92"/>
      <c r="CE76" s="92"/>
      <c r="CF76" s="92"/>
      <c r="CG76" s="92"/>
      <c r="CH76" s="92"/>
      <c r="CI76" s="92"/>
      <c r="CJ76" s="92"/>
      <c r="CK76" s="92"/>
      <c r="CL76" s="92"/>
      <c r="CM76" s="92"/>
      <c r="CN76" s="92"/>
      <c r="CO76" s="92"/>
      <c r="CP76" s="92"/>
      <c r="CQ76" s="92"/>
      <c r="CR76" s="92"/>
      <c r="CS76" s="92"/>
      <c r="CT76" s="92"/>
      <c r="CU76" s="92"/>
      <c r="CV76" s="92"/>
      <c r="CW76" s="92"/>
      <c r="CX76" s="92"/>
      <c r="CY76" s="92"/>
      <c r="CZ76" s="92"/>
      <c r="DA76" s="47"/>
      <c r="DB76" s="9" t="s">
        <v>440</v>
      </c>
      <c r="DC76" s="92" t="s">
        <v>440</v>
      </c>
      <c r="DD76" s="92" t="s">
        <v>440</v>
      </c>
      <c r="DE76" s="92" t="s">
        <v>440</v>
      </c>
      <c r="DF76" s="92">
        <f>SUM(S76:V76)</f>
        <v>0</v>
      </c>
      <c r="DG76" s="92">
        <f>SUM(W76:Z76)</f>
        <v>1</v>
      </c>
      <c r="DH76" s="92">
        <f>SUM(AA76:AD76)</f>
        <v>11</v>
      </c>
      <c r="DI76" s="92">
        <f>SUM(AE76:AH76)</f>
        <v>15</v>
      </c>
      <c r="DJ76" s="92">
        <f>SUM(AI76:AL76)</f>
        <v>14</v>
      </c>
      <c r="DK76" s="92"/>
      <c r="DL76" s="92"/>
      <c r="DM76" s="92"/>
      <c r="DN76" s="92"/>
      <c r="DO76" s="92"/>
      <c r="DP76" s="92"/>
      <c r="DQ76" s="92"/>
      <c r="DR76" s="92"/>
      <c r="DS76" s="92"/>
      <c r="DT76" s="92"/>
      <c r="DU76" s="92"/>
      <c r="DV76" s="92"/>
      <c r="DW76" s="92"/>
      <c r="DX76" s="92"/>
      <c r="DY76" s="92"/>
      <c r="DZ76" s="92"/>
      <c r="EA76" s="92"/>
      <c r="EC76" s="28"/>
    </row>
    <row r="77" spans="2:140" s="8" customFormat="1" ht="12.75" customHeight="1">
      <c r="B77" s="45" t="s">
        <v>485</v>
      </c>
      <c r="C77" s="9"/>
      <c r="D77" s="9"/>
      <c r="E77" s="9"/>
      <c r="F77" s="9"/>
      <c r="G77" s="7"/>
      <c r="H77" s="7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>
        <v>759</v>
      </c>
      <c r="AG77" s="92"/>
      <c r="AH77" s="92"/>
      <c r="AI77" s="128" t="s">
        <v>613</v>
      </c>
      <c r="AJ77" s="94">
        <v>672</v>
      </c>
      <c r="AK77" s="92">
        <v>664</v>
      </c>
      <c r="AL77" s="92">
        <v>759</v>
      </c>
      <c r="AM77" s="92">
        <v>709</v>
      </c>
      <c r="AN77" s="92">
        <v>731</v>
      </c>
      <c r="AO77" s="92">
        <v>687</v>
      </c>
      <c r="AP77" s="92">
        <v>815</v>
      </c>
      <c r="AQ77" s="92">
        <v>758</v>
      </c>
      <c r="AR77" s="92">
        <v>802</v>
      </c>
      <c r="AS77" s="92">
        <v>826</v>
      </c>
      <c r="AT77" s="92">
        <v>868</v>
      </c>
      <c r="AU77" s="92">
        <v>821</v>
      </c>
      <c r="AV77" s="92">
        <v>865</v>
      </c>
      <c r="AW77" s="92">
        <v>815</v>
      </c>
      <c r="AX77" s="92">
        <v>898</v>
      </c>
      <c r="AY77" s="92">
        <v>840</v>
      </c>
      <c r="AZ77" s="92">
        <v>851</v>
      </c>
      <c r="BA77" s="92">
        <v>800</v>
      </c>
      <c r="BB77" s="92">
        <v>871</v>
      </c>
      <c r="BC77" s="92">
        <v>813</v>
      </c>
      <c r="BD77" s="92">
        <v>872</v>
      </c>
      <c r="BE77" s="92">
        <v>885</v>
      </c>
      <c r="BF77" s="92">
        <v>885</v>
      </c>
      <c r="BG77" s="92">
        <v>831</v>
      </c>
      <c r="BH77" s="92">
        <v>842</v>
      </c>
      <c r="BI77" s="92">
        <v>827</v>
      </c>
      <c r="BJ77" s="92">
        <v>832</v>
      </c>
      <c r="BK77" s="92">
        <v>829</v>
      </c>
      <c r="BL77" s="92">
        <v>900</v>
      </c>
      <c r="BM77" s="92">
        <v>865</v>
      </c>
      <c r="BN77" s="92">
        <v>884</v>
      </c>
      <c r="BO77" s="92">
        <v>939</v>
      </c>
      <c r="BP77" s="92">
        <v>955</v>
      </c>
      <c r="BQ77" s="92">
        <v>1000</v>
      </c>
      <c r="BR77" s="92">
        <v>981</v>
      </c>
      <c r="BS77" s="92">
        <v>1065</v>
      </c>
      <c r="BT77" s="92">
        <v>1090</v>
      </c>
      <c r="BU77" s="92">
        <v>1021</v>
      </c>
      <c r="BV77" s="92">
        <v>1036</v>
      </c>
      <c r="BW77" s="92">
        <v>1025</v>
      </c>
      <c r="BX77" s="92">
        <v>1124</v>
      </c>
      <c r="BY77" s="92">
        <v>1122</v>
      </c>
      <c r="BZ77" s="92">
        <v>1122</v>
      </c>
      <c r="CA77" s="92">
        <v>1214</v>
      </c>
      <c r="CB77" s="92">
        <v>1101</v>
      </c>
      <c r="CC77" s="92">
        <v>1220</v>
      </c>
      <c r="CD77" s="92">
        <v>1168</v>
      </c>
      <c r="CE77" s="92">
        <v>1418</v>
      </c>
      <c r="CF77" s="92">
        <v>1472</v>
      </c>
      <c r="CG77" s="92">
        <v>1417</v>
      </c>
      <c r="CH77" s="92">
        <v>1261</v>
      </c>
      <c r="CI77" s="92">
        <v>1482</v>
      </c>
      <c r="CJ77" s="92">
        <v>1467</v>
      </c>
      <c r="CK77" s="92">
        <v>1371</v>
      </c>
      <c r="CL77" s="92">
        <v>1230</v>
      </c>
      <c r="CM77" s="92">
        <v>1491</v>
      </c>
      <c r="CN77" s="92">
        <v>1456</v>
      </c>
      <c r="CO77" s="92">
        <v>1400</v>
      </c>
      <c r="CP77" s="92">
        <v>1278</v>
      </c>
      <c r="CQ77" s="92">
        <v>1511</v>
      </c>
      <c r="CR77" s="92">
        <v>1482</v>
      </c>
      <c r="CS77" s="92">
        <v>1487</v>
      </c>
      <c r="CT77" s="92">
        <f>+CP77*1.05</f>
        <v>1341.9</v>
      </c>
      <c r="CU77" s="92">
        <f t="shared" ref="CU77:CX77" si="133">+CQ77*1.05</f>
        <v>1586.55</v>
      </c>
      <c r="CV77" s="92">
        <f t="shared" si="133"/>
        <v>1556.1000000000001</v>
      </c>
      <c r="CW77" s="92">
        <f t="shared" si="133"/>
        <v>1561.3500000000001</v>
      </c>
      <c r="CX77" s="92">
        <f t="shared" si="133"/>
        <v>1408.9950000000001</v>
      </c>
      <c r="CY77" s="92"/>
      <c r="CZ77" s="92"/>
      <c r="DA77" s="47"/>
      <c r="DB77" s="9"/>
      <c r="DC77" s="92"/>
      <c r="DD77" s="92"/>
      <c r="DE77" s="92"/>
      <c r="DF77" s="92"/>
      <c r="DG77" s="92"/>
      <c r="DH77" s="92"/>
      <c r="DI77" s="92"/>
      <c r="DJ77" s="92"/>
      <c r="DK77" s="92">
        <f>SUM(AM77:AP77)</f>
        <v>2942</v>
      </c>
      <c r="DL77" s="92">
        <f t="shared" si="73"/>
        <v>3254</v>
      </c>
      <c r="DM77" s="92">
        <f t="shared" ref="DM77:DM86" si="134">SUM(AU77:AX77)</f>
        <v>3399</v>
      </c>
      <c r="DN77" s="92">
        <f t="shared" ref="DN77:DN86" si="135">SUM(AY77:BB77)</f>
        <v>3362</v>
      </c>
      <c r="DO77" s="92">
        <f t="shared" ref="DO77:DO86" si="136">SUM(BC77:BF77)</f>
        <v>3455</v>
      </c>
      <c r="DP77" s="92">
        <f t="shared" ref="DP77:DP86" si="137">SUM(BG77:BJ77)</f>
        <v>3332</v>
      </c>
      <c r="DQ77" s="92">
        <f t="shared" ref="DQ77:DQ86" si="138">SUM(BK77:BN77)</f>
        <v>3478</v>
      </c>
      <c r="DR77" s="92">
        <f t="shared" ref="DR77:DR86" si="139">SUM(BO77:BR77)</f>
        <v>3875</v>
      </c>
      <c r="DS77" s="92">
        <f t="shared" ref="DS77:DS86" si="140">SUM(BS77:BV77)</f>
        <v>4212</v>
      </c>
      <c r="DT77" s="92">
        <f t="shared" si="87"/>
        <v>4393</v>
      </c>
      <c r="DU77" s="92">
        <f t="shared" si="88"/>
        <v>4703</v>
      </c>
      <c r="DV77" s="92">
        <f t="shared" si="89"/>
        <v>5568</v>
      </c>
      <c r="DW77" s="92">
        <f t="shared" si="90"/>
        <v>5550</v>
      </c>
      <c r="DX77" s="92">
        <f t="shared" ref="DX77" si="141">SUM(CM77:CP77)</f>
        <v>5625</v>
      </c>
      <c r="DY77" s="92">
        <f t="shared" ref="DY77:EA77" si="142">DX77*1.02</f>
        <v>5737.5</v>
      </c>
      <c r="DZ77" s="92">
        <f t="shared" si="142"/>
        <v>5852.25</v>
      </c>
      <c r="EA77" s="92">
        <f t="shared" si="142"/>
        <v>5969.2950000000001</v>
      </c>
      <c r="EB77" s="92">
        <f t="shared" ref="EB77" si="143">EA77*1.02</f>
        <v>6088.6809000000003</v>
      </c>
      <c r="EC77" s="92">
        <f t="shared" ref="EC77" si="144">EB77*1.02</f>
        <v>6210.4545180000005</v>
      </c>
      <c r="ED77" s="92">
        <f t="shared" ref="ED77" si="145">EC77*1.02</f>
        <v>6334.6636083600006</v>
      </c>
      <c r="EE77" s="92">
        <f t="shared" ref="EE77" si="146">ED77*1.02</f>
        <v>6461.3568805272007</v>
      </c>
      <c r="EF77" s="92">
        <f t="shared" ref="EF77" si="147">EE77*1.02</f>
        <v>6590.5840181377453</v>
      </c>
      <c r="EG77" s="92">
        <f t="shared" ref="EG77" si="148">EF77*1.02</f>
        <v>6722.3956985005007</v>
      </c>
      <c r="EH77" s="92">
        <f t="shared" ref="EH77" si="149">EG77*1.02</f>
        <v>6856.8436124705104</v>
      </c>
      <c r="EI77" s="92">
        <f t="shared" ref="EI77" si="150">EH77*1.02</f>
        <v>6993.9804847199212</v>
      </c>
      <c r="EJ77" s="92">
        <f t="shared" ref="EJ77" si="151">EI77*1.02</f>
        <v>7133.86009441432</v>
      </c>
    </row>
    <row r="78" spans="2:140" s="8" customFormat="1" ht="4.5" customHeight="1">
      <c r="B78" s="45" t="s">
        <v>486</v>
      </c>
      <c r="C78" s="9"/>
      <c r="D78" s="9"/>
      <c r="E78" s="9"/>
      <c r="F78" s="9"/>
      <c r="G78" s="7"/>
      <c r="H78" s="7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128" t="s">
        <v>628</v>
      </c>
      <c r="AJ78" s="92">
        <v>381</v>
      </c>
      <c r="AK78" s="92">
        <v>283</v>
      </c>
      <c r="AL78" s="92">
        <v>232</v>
      </c>
      <c r="AM78" s="92">
        <v>379</v>
      </c>
      <c r="AN78" s="92">
        <v>422</v>
      </c>
      <c r="AO78" s="92">
        <v>291</v>
      </c>
      <c r="AP78" s="92">
        <v>251</v>
      </c>
      <c r="AQ78" s="92">
        <v>517</v>
      </c>
      <c r="AR78" s="92">
        <v>541</v>
      </c>
      <c r="AS78" s="92">
        <v>421</v>
      </c>
      <c r="AT78" s="92">
        <v>361</v>
      </c>
      <c r="AU78" s="92">
        <v>554</v>
      </c>
      <c r="AV78" s="92">
        <v>552</v>
      </c>
      <c r="AW78" s="92">
        <v>451</v>
      </c>
      <c r="AX78" s="92">
        <v>395</v>
      </c>
      <c r="AY78" s="92">
        <v>571</v>
      </c>
      <c r="AZ78" s="92">
        <v>490</v>
      </c>
      <c r="BA78" s="92">
        <v>443</v>
      </c>
      <c r="BB78" s="92">
        <v>390</v>
      </c>
      <c r="BC78" s="92">
        <v>546</v>
      </c>
      <c r="BD78" s="92">
        <v>583</v>
      </c>
      <c r="BE78" s="92">
        <v>401</v>
      </c>
      <c r="BF78" s="92">
        <v>16</v>
      </c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92"/>
      <c r="BW78" s="92"/>
      <c r="BX78" s="92"/>
      <c r="BY78" s="92"/>
      <c r="BZ78" s="92"/>
      <c r="CA78" s="92"/>
      <c r="CB78" s="92"/>
      <c r="CC78" s="92"/>
      <c r="CD78" s="92"/>
      <c r="CE78" s="92"/>
      <c r="CF78" s="92"/>
      <c r="CG78" s="92"/>
      <c r="CH78" s="92"/>
      <c r="CI78" s="92"/>
      <c r="CJ78" s="92"/>
      <c r="CK78" s="92"/>
      <c r="CL78" s="92"/>
      <c r="CM78" s="92"/>
      <c r="CN78" s="92"/>
      <c r="CO78" s="92"/>
      <c r="CP78" s="92"/>
      <c r="CQ78" s="92"/>
      <c r="CR78" s="92"/>
      <c r="CS78" s="92"/>
      <c r="CT78" s="92"/>
      <c r="CU78" s="92"/>
      <c r="CV78" s="92"/>
      <c r="CW78" s="92"/>
      <c r="CX78" s="92"/>
      <c r="CY78" s="92"/>
      <c r="CZ78" s="92"/>
      <c r="DA78" s="47"/>
      <c r="DB78" s="9"/>
      <c r="DC78" s="92"/>
      <c r="DD78" s="92"/>
      <c r="DE78" s="92"/>
      <c r="DF78" s="92"/>
      <c r="DG78" s="92"/>
      <c r="DH78" s="92"/>
      <c r="DI78" s="92"/>
      <c r="DJ78" s="92"/>
      <c r="DK78" s="92">
        <f>SUM(AM78:AP78)</f>
        <v>1343</v>
      </c>
      <c r="DL78" s="92">
        <f t="shared" si="73"/>
        <v>1840</v>
      </c>
      <c r="DM78" s="92">
        <f t="shared" si="134"/>
        <v>1952</v>
      </c>
      <c r="DN78" s="92">
        <f t="shared" si="135"/>
        <v>1894</v>
      </c>
      <c r="DO78" s="92">
        <f t="shared" si="136"/>
        <v>1546</v>
      </c>
      <c r="DP78" s="92"/>
      <c r="DQ78" s="92"/>
      <c r="DR78" s="92"/>
      <c r="DS78" s="92"/>
      <c r="DT78" s="92"/>
      <c r="DU78" s="92"/>
      <c r="DV78" s="92"/>
      <c r="DW78" s="92"/>
      <c r="DX78" s="92"/>
      <c r="DY78" s="92"/>
      <c r="DZ78" s="92"/>
      <c r="EA78" s="92"/>
      <c r="EC78" s="28"/>
    </row>
    <row r="79" spans="2:140" s="8" customFormat="1" ht="3.75" customHeight="1">
      <c r="B79" s="45" t="s">
        <v>98</v>
      </c>
      <c r="C79" s="9"/>
      <c r="D79" s="9"/>
      <c r="E79" s="9"/>
      <c r="F79" s="9"/>
      <c r="G79" s="7"/>
      <c r="H79" s="7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92"/>
      <c r="Z79" s="31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2"/>
      <c r="BW79" s="92"/>
      <c r="BX79" s="92"/>
      <c r="BY79" s="92"/>
      <c r="BZ79" s="92"/>
      <c r="CA79" s="92"/>
      <c r="CB79" s="92"/>
      <c r="CC79" s="92"/>
      <c r="CD79" s="92"/>
      <c r="CE79" s="92"/>
      <c r="CF79" s="92"/>
      <c r="CG79" s="92"/>
      <c r="CH79" s="92"/>
      <c r="CI79" s="92"/>
      <c r="CJ79" s="92"/>
      <c r="CK79" s="92"/>
      <c r="CL79" s="92"/>
      <c r="CM79" s="92"/>
      <c r="CN79" s="92"/>
      <c r="CO79" s="92"/>
      <c r="CP79" s="92"/>
      <c r="CQ79" s="92"/>
      <c r="CR79" s="92"/>
      <c r="CS79" s="92"/>
      <c r="CT79" s="92"/>
      <c r="CU79" s="92"/>
      <c r="CV79" s="92"/>
      <c r="CW79" s="92"/>
      <c r="CX79" s="92"/>
      <c r="CY79" s="92"/>
      <c r="CZ79" s="92"/>
      <c r="DA79" s="47"/>
      <c r="DB79" s="23"/>
      <c r="DC79" s="92">
        <v>480</v>
      </c>
      <c r="DD79" s="92">
        <v>115</v>
      </c>
      <c r="DE79" s="92">
        <v>47</v>
      </c>
      <c r="DF79" s="92"/>
      <c r="DG79" s="92"/>
      <c r="DH79" s="92"/>
      <c r="DI79" s="92"/>
      <c r="DJ79" s="92"/>
      <c r="DK79" s="92"/>
      <c r="DL79" s="92"/>
      <c r="DM79" s="92"/>
      <c r="DN79" s="92"/>
      <c r="DO79" s="92"/>
      <c r="DP79" s="92"/>
      <c r="DQ79" s="92"/>
      <c r="DR79" s="92"/>
      <c r="DS79" s="92"/>
      <c r="DT79" s="92"/>
      <c r="DU79" s="92"/>
      <c r="DV79" s="92"/>
      <c r="DW79" s="92"/>
      <c r="DX79" s="82"/>
      <c r="DY79" s="82"/>
      <c r="DZ79" s="82"/>
      <c r="EA79" s="82"/>
      <c r="EC79" s="28"/>
    </row>
    <row r="80" spans="2:140" s="8" customFormat="1" ht="3.75" customHeight="1">
      <c r="B80" s="45" t="s">
        <v>611</v>
      </c>
      <c r="C80" s="9"/>
      <c r="D80" s="9"/>
      <c r="E80" s="9"/>
      <c r="F80" s="9"/>
      <c r="G80" s="7"/>
      <c r="H80" s="7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92"/>
      <c r="Z80" s="31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  <c r="BW80" s="92"/>
      <c r="BX80" s="92"/>
      <c r="BY80" s="92"/>
      <c r="BZ80" s="92"/>
      <c r="CA80" s="92"/>
      <c r="CB80" s="92"/>
      <c r="CC80" s="92"/>
      <c r="CD80" s="92"/>
      <c r="CE80" s="92"/>
      <c r="CF80" s="92"/>
      <c r="CG80" s="92"/>
      <c r="CH80" s="92"/>
      <c r="CI80" s="92"/>
      <c r="CJ80" s="92"/>
      <c r="CK80" s="92"/>
      <c r="CL80" s="92"/>
      <c r="CM80" s="92"/>
      <c r="CN80" s="92"/>
      <c r="CO80" s="92"/>
      <c r="CP80" s="92"/>
      <c r="CQ80" s="92"/>
      <c r="CR80" s="92"/>
      <c r="CS80" s="92"/>
      <c r="CT80" s="92"/>
      <c r="CU80" s="92"/>
      <c r="CV80" s="92"/>
      <c r="CW80" s="92"/>
      <c r="CX80" s="92"/>
      <c r="CY80" s="92"/>
      <c r="CZ80" s="92"/>
      <c r="DA80" s="47"/>
      <c r="DB80" s="23"/>
      <c r="DC80" s="92"/>
      <c r="DD80" s="92"/>
      <c r="DE80" s="92"/>
      <c r="DF80" s="92"/>
      <c r="DG80" s="92"/>
      <c r="DH80" s="92"/>
      <c r="DI80" s="92"/>
      <c r="DJ80" s="92"/>
      <c r="DK80" s="92"/>
      <c r="DL80" s="92"/>
      <c r="DM80" s="92"/>
      <c r="DN80" s="92"/>
      <c r="DO80" s="92"/>
      <c r="DP80" s="92"/>
      <c r="DQ80" s="92"/>
      <c r="DR80" s="92"/>
      <c r="DS80" s="92"/>
      <c r="DT80" s="92"/>
      <c r="DU80" s="92"/>
      <c r="DV80" s="92"/>
      <c r="DW80" s="92"/>
      <c r="DX80" s="82"/>
      <c r="DY80" s="82"/>
      <c r="DZ80" s="82"/>
      <c r="EA80" s="82"/>
      <c r="EC80" s="28"/>
    </row>
    <row r="81" spans="2:140" s="8" customFormat="1" ht="3.75" customHeight="1">
      <c r="B81" s="45" t="s">
        <v>104</v>
      </c>
      <c r="C81" s="9"/>
      <c r="D81" s="9"/>
      <c r="E81" s="9"/>
      <c r="F81" s="9"/>
      <c r="G81" s="7"/>
      <c r="H81" s="7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92"/>
      <c r="Z81" s="31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2"/>
      <c r="BW81" s="92"/>
      <c r="BX81" s="92"/>
      <c r="BY81" s="92"/>
      <c r="BZ81" s="92"/>
      <c r="CA81" s="92"/>
      <c r="CB81" s="92"/>
      <c r="CC81" s="92"/>
      <c r="CD81" s="92"/>
      <c r="CE81" s="92"/>
      <c r="CF81" s="92"/>
      <c r="CG81" s="92"/>
      <c r="CH81" s="92"/>
      <c r="CI81" s="92"/>
      <c r="CJ81" s="92"/>
      <c r="CK81" s="92"/>
      <c r="CL81" s="92"/>
      <c r="CM81" s="92"/>
      <c r="CN81" s="92"/>
      <c r="CO81" s="92"/>
      <c r="CP81" s="92"/>
      <c r="CQ81" s="92"/>
      <c r="CR81" s="92"/>
      <c r="CS81" s="92"/>
      <c r="CT81" s="92"/>
      <c r="CU81" s="92"/>
      <c r="CV81" s="92"/>
      <c r="CW81" s="92"/>
      <c r="CX81" s="92"/>
      <c r="CY81" s="92"/>
      <c r="CZ81" s="92"/>
      <c r="DA81" s="47"/>
      <c r="DB81" s="23"/>
      <c r="DC81" s="92">
        <v>55</v>
      </c>
      <c r="DD81" s="92">
        <v>37</v>
      </c>
      <c r="DE81" s="92"/>
      <c r="DF81" s="92"/>
      <c r="DG81" s="92"/>
      <c r="DH81" s="92"/>
      <c r="DI81" s="92"/>
      <c r="DJ81" s="92"/>
      <c r="DK81" s="92"/>
      <c r="DL81" s="92"/>
      <c r="DM81" s="92"/>
      <c r="DN81" s="92"/>
      <c r="DO81" s="92"/>
      <c r="DP81" s="92"/>
      <c r="DQ81" s="92"/>
      <c r="DR81" s="92"/>
      <c r="DS81" s="92"/>
      <c r="DT81" s="92"/>
      <c r="DU81" s="92"/>
      <c r="DV81" s="92"/>
      <c r="DW81" s="92"/>
      <c r="DX81" s="24"/>
      <c r="DY81" s="24"/>
      <c r="DZ81" s="24"/>
      <c r="EA81" s="24"/>
      <c r="EC81" s="28"/>
    </row>
    <row r="82" spans="2:140" s="8" customFormat="1" ht="3.75" customHeight="1">
      <c r="B82" s="45" t="s">
        <v>99</v>
      </c>
      <c r="C82" s="9"/>
      <c r="D82" s="9"/>
      <c r="E82" s="9"/>
      <c r="F82" s="9"/>
      <c r="G82" s="7"/>
      <c r="H82" s="7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92"/>
      <c r="Z82" s="31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2"/>
      <c r="BW82" s="92"/>
      <c r="BX82" s="92"/>
      <c r="BY82" s="92"/>
      <c r="BZ82" s="92"/>
      <c r="CA82" s="92"/>
      <c r="CB82" s="92"/>
      <c r="CC82" s="92"/>
      <c r="CD82" s="92"/>
      <c r="CE82" s="92"/>
      <c r="CF82" s="92"/>
      <c r="CG82" s="92"/>
      <c r="CH82" s="92"/>
      <c r="CI82" s="92"/>
      <c r="CJ82" s="92"/>
      <c r="CK82" s="92"/>
      <c r="CL82" s="92"/>
      <c r="CM82" s="92"/>
      <c r="CN82" s="92"/>
      <c r="CO82" s="92"/>
      <c r="CP82" s="92"/>
      <c r="CQ82" s="92"/>
      <c r="CR82" s="92"/>
      <c r="CS82" s="92"/>
      <c r="CT82" s="92"/>
      <c r="CU82" s="92"/>
      <c r="CV82" s="92"/>
      <c r="CW82" s="92"/>
      <c r="CX82" s="92"/>
      <c r="CY82" s="92"/>
      <c r="CZ82" s="92"/>
      <c r="DA82" s="47"/>
      <c r="DB82" s="23"/>
      <c r="DC82" s="92">
        <v>110</v>
      </c>
      <c r="DD82" s="92">
        <v>56</v>
      </c>
      <c r="DE82" s="92"/>
      <c r="DF82" s="92"/>
      <c r="DG82" s="92"/>
      <c r="DH82" s="92"/>
      <c r="DI82" s="92"/>
      <c r="DJ82" s="92"/>
      <c r="DK82" s="92"/>
      <c r="DL82" s="92"/>
      <c r="DM82" s="92"/>
      <c r="DN82" s="92"/>
      <c r="DO82" s="92"/>
      <c r="DP82" s="92"/>
      <c r="DQ82" s="92"/>
      <c r="DR82" s="92"/>
      <c r="DS82" s="92"/>
      <c r="DT82" s="92"/>
      <c r="DU82" s="92"/>
      <c r="DV82" s="92"/>
      <c r="DW82" s="92"/>
      <c r="DX82" s="24"/>
      <c r="DY82" s="24"/>
      <c r="DZ82" s="24"/>
      <c r="EA82" s="24"/>
      <c r="EC82" s="28"/>
    </row>
    <row r="83" spans="2:140" s="8" customFormat="1" ht="3.75" customHeight="1">
      <c r="B83" s="45" t="s">
        <v>97</v>
      </c>
      <c r="C83" s="92">
        <v>554.31479999999999</v>
      </c>
      <c r="D83" s="92">
        <v>554.31549999999993</v>
      </c>
      <c r="E83" s="92">
        <v>731.20980000000009</v>
      </c>
      <c r="F83" s="92">
        <v>510.72115509097432</v>
      </c>
      <c r="G83" s="92">
        <v>598</v>
      </c>
      <c r="H83" s="92">
        <v>788</v>
      </c>
      <c r="I83" s="92">
        <v>756</v>
      </c>
      <c r="J83" s="92">
        <v>386</v>
      </c>
      <c r="K83" s="92">
        <v>521</v>
      </c>
      <c r="L83" s="92">
        <v>814</v>
      </c>
      <c r="M83" s="92">
        <v>529.25</v>
      </c>
      <c r="N83" s="92">
        <v>754.25</v>
      </c>
      <c r="O83" s="92">
        <v>661</v>
      </c>
      <c r="P83" s="92">
        <v>653</v>
      </c>
      <c r="Q83" s="92">
        <v>175</v>
      </c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2"/>
      <c r="AV83" s="92"/>
      <c r="AW83" s="92"/>
      <c r="AX83" s="92"/>
      <c r="AY83" s="92"/>
      <c r="AZ83" s="92"/>
      <c r="BA83" s="92"/>
      <c r="BB83" s="92"/>
      <c r="BC83" s="92"/>
      <c r="BD83" s="92"/>
      <c r="BE83" s="92"/>
      <c r="BF83" s="92"/>
      <c r="BG83" s="92"/>
      <c r="BH83" s="92"/>
      <c r="BI83" s="92"/>
      <c r="BJ83" s="92"/>
      <c r="BK83" s="92"/>
      <c r="BL83" s="92"/>
      <c r="BM83" s="92"/>
      <c r="BN83" s="92"/>
      <c r="BO83" s="92"/>
      <c r="BP83" s="92"/>
      <c r="BQ83" s="92"/>
      <c r="BR83" s="92"/>
      <c r="BS83" s="92"/>
      <c r="BT83" s="92"/>
      <c r="BU83" s="92"/>
      <c r="BV83" s="92"/>
      <c r="BW83" s="92"/>
      <c r="BX83" s="92"/>
      <c r="BY83" s="92"/>
      <c r="BZ83" s="92"/>
      <c r="CA83" s="92"/>
      <c r="CB83" s="92"/>
      <c r="CC83" s="92"/>
      <c r="CD83" s="92"/>
      <c r="CE83" s="92"/>
      <c r="CF83" s="92"/>
      <c r="CG83" s="92"/>
      <c r="CH83" s="92"/>
      <c r="CI83" s="92"/>
      <c r="CJ83" s="92"/>
      <c r="CK83" s="92"/>
      <c r="CL83" s="92"/>
      <c r="CM83" s="92"/>
      <c r="CN83" s="92"/>
      <c r="CO83" s="92"/>
      <c r="CP83" s="92"/>
      <c r="CQ83" s="92"/>
      <c r="CR83" s="92"/>
      <c r="CS83" s="92"/>
      <c r="CT83" s="92"/>
      <c r="CU83" s="92"/>
      <c r="CV83" s="92"/>
      <c r="CW83" s="92"/>
      <c r="CX83" s="92"/>
      <c r="CY83" s="92"/>
      <c r="CZ83" s="92"/>
      <c r="DA83" s="47"/>
      <c r="DB83" s="92">
        <v>2350.5626944231763</v>
      </c>
      <c r="DC83" s="92">
        <v>2530</v>
      </c>
      <c r="DD83" s="92">
        <v>2569</v>
      </c>
      <c r="DE83" s="92">
        <f>SUM(O83:R83)</f>
        <v>1489</v>
      </c>
      <c r="DF83" s="92"/>
      <c r="DG83" s="92"/>
      <c r="DH83" s="92"/>
      <c r="DI83" s="92"/>
      <c r="DJ83" s="92"/>
      <c r="DK83" s="92"/>
      <c r="DL83" s="92"/>
      <c r="DM83" s="92"/>
      <c r="DN83" s="92"/>
      <c r="DO83" s="92"/>
      <c r="DP83" s="92"/>
      <c r="DQ83" s="92"/>
      <c r="DR83" s="92"/>
      <c r="DS83" s="92"/>
      <c r="DT83" s="92"/>
      <c r="DU83" s="92"/>
      <c r="DV83" s="92"/>
      <c r="DW83" s="92"/>
      <c r="DX83" s="24"/>
      <c r="DY83" s="24"/>
      <c r="DZ83" s="24"/>
      <c r="EA83" s="24"/>
      <c r="EC83" s="28"/>
    </row>
    <row r="84" spans="2:140" s="8" customFormat="1" ht="3.75" customHeight="1">
      <c r="B84" s="45" t="s">
        <v>165</v>
      </c>
      <c r="C84" s="24"/>
      <c r="D84" s="24"/>
      <c r="E84" s="24"/>
      <c r="F84" s="24"/>
      <c r="G84" s="24"/>
      <c r="H84" s="24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2"/>
      <c r="Z84" s="9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2"/>
      <c r="AV84" s="92"/>
      <c r="AW84" s="92"/>
      <c r="AX84" s="92"/>
      <c r="AY84" s="92"/>
      <c r="AZ84" s="92"/>
      <c r="BA84" s="92"/>
      <c r="BB84" s="92"/>
      <c r="BC84" s="92"/>
      <c r="BD84" s="92"/>
      <c r="BE84" s="92"/>
      <c r="BF84" s="92"/>
      <c r="BG84" s="92"/>
      <c r="BH84" s="92"/>
      <c r="BI84" s="92"/>
      <c r="BJ84" s="92"/>
      <c r="BK84" s="92"/>
      <c r="BL84" s="92"/>
      <c r="BM84" s="92"/>
      <c r="BN84" s="92"/>
      <c r="BO84" s="92"/>
      <c r="BP84" s="92"/>
      <c r="BQ84" s="92"/>
      <c r="BR84" s="92"/>
      <c r="BS84" s="92"/>
      <c r="BT84" s="92"/>
      <c r="BU84" s="92"/>
      <c r="BV84" s="92"/>
      <c r="BW84" s="92"/>
      <c r="BX84" s="92"/>
      <c r="BY84" s="92"/>
      <c r="BZ84" s="92"/>
      <c r="CA84" s="92"/>
      <c r="CB84" s="92"/>
      <c r="CC84" s="92"/>
      <c r="CD84" s="92"/>
      <c r="CE84" s="92"/>
      <c r="CF84" s="92"/>
      <c r="CG84" s="92"/>
      <c r="CH84" s="92"/>
      <c r="CI84" s="92"/>
      <c r="CJ84" s="92"/>
      <c r="CK84" s="92"/>
      <c r="CL84" s="92"/>
      <c r="CM84" s="92"/>
      <c r="CN84" s="92"/>
      <c r="CO84" s="92"/>
      <c r="CP84" s="92"/>
      <c r="CQ84" s="92"/>
      <c r="CR84" s="92"/>
      <c r="CS84" s="92"/>
      <c r="CT84" s="92"/>
      <c r="CU84" s="92"/>
      <c r="CV84" s="92"/>
      <c r="CW84" s="92"/>
      <c r="CX84" s="92"/>
      <c r="CY84" s="92"/>
      <c r="CZ84" s="92"/>
      <c r="DA84" s="47"/>
      <c r="DB84" s="25"/>
      <c r="DC84" s="92"/>
      <c r="DD84" s="92"/>
      <c r="DE84" s="92"/>
      <c r="DF84" s="92"/>
      <c r="DG84" s="92"/>
      <c r="DH84" s="92"/>
      <c r="DI84" s="92"/>
      <c r="DJ84" s="92"/>
      <c r="DK84" s="92"/>
      <c r="DL84" s="92"/>
      <c r="DM84" s="92"/>
      <c r="DN84" s="92"/>
      <c r="DO84" s="92"/>
      <c r="DP84" s="92"/>
      <c r="DQ84" s="92"/>
      <c r="DR84" s="92"/>
      <c r="DS84" s="92"/>
      <c r="DT84" s="92"/>
      <c r="DU84" s="92"/>
      <c r="DV84" s="92"/>
      <c r="DW84" s="92"/>
      <c r="DX84" s="92"/>
      <c r="DY84" s="92"/>
      <c r="DZ84" s="92"/>
      <c r="EA84" s="92"/>
      <c r="EC84" s="28"/>
    </row>
    <row r="85" spans="2:140" s="8" customFormat="1" ht="12.75" customHeight="1">
      <c r="B85" s="45" t="s">
        <v>487</v>
      </c>
      <c r="C85" s="24"/>
      <c r="D85" s="24"/>
      <c r="E85" s="24"/>
      <c r="F85" s="24"/>
      <c r="G85" s="24"/>
      <c r="H85" s="24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2"/>
      <c r="Z85" s="9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  <c r="CJ85" s="92"/>
      <c r="CK85" s="92"/>
      <c r="CL85" s="92"/>
      <c r="CM85" s="92"/>
      <c r="CN85" s="92"/>
      <c r="CO85" s="92"/>
      <c r="CP85" s="92"/>
      <c r="CQ85" s="92"/>
      <c r="CR85" s="92"/>
      <c r="CS85" s="92"/>
      <c r="CT85" s="92"/>
      <c r="CU85" s="92"/>
      <c r="CV85" s="92"/>
      <c r="CW85" s="92"/>
      <c r="CX85" s="92"/>
      <c r="CY85" s="92"/>
      <c r="CZ85" s="92"/>
      <c r="DA85" s="47"/>
      <c r="DB85" s="25"/>
      <c r="DC85" s="92"/>
      <c r="DD85" s="92"/>
      <c r="DE85" s="92"/>
      <c r="DF85" s="92"/>
      <c r="DG85" s="92"/>
      <c r="DH85" s="92"/>
      <c r="DI85" s="92"/>
      <c r="DJ85" s="92"/>
      <c r="DK85" s="92"/>
      <c r="DL85" s="92"/>
      <c r="DM85" s="92"/>
      <c r="DN85" s="92"/>
      <c r="DO85" s="92"/>
      <c r="DP85" s="92"/>
      <c r="DQ85" s="92"/>
      <c r="DR85" s="92"/>
      <c r="DS85" s="92"/>
      <c r="DT85" s="92"/>
      <c r="DU85" s="92"/>
      <c r="DV85" s="92"/>
      <c r="DW85" s="92"/>
      <c r="DX85" s="92"/>
      <c r="DY85" s="92"/>
      <c r="DZ85" s="92"/>
      <c r="EA85" s="92"/>
      <c r="EC85" s="28"/>
    </row>
    <row r="86" spans="2:140" s="8" customFormat="1" ht="12.75" customHeight="1">
      <c r="B86" s="45" t="s">
        <v>79</v>
      </c>
      <c r="C86" s="24"/>
      <c r="D86" s="24"/>
      <c r="E86" s="24"/>
      <c r="F86" s="24"/>
      <c r="G86" s="24"/>
      <c r="H86" s="24"/>
      <c r="I86" s="92"/>
      <c r="J86" s="92"/>
      <c r="K86" s="92"/>
      <c r="L86" s="92"/>
      <c r="M86" s="92"/>
      <c r="N86" s="92"/>
      <c r="O86" s="92">
        <f>5631-SUM(O14:O47,O9:O83)</f>
        <v>-2217</v>
      </c>
      <c r="P86" s="92">
        <f>6022-SUM(P14:P47,P9:P83)</f>
        <v>-2365</v>
      </c>
      <c r="Q86" s="92">
        <f>5538-SUM(Q14:Q47,Q9:Q83)</f>
        <v>-2202</v>
      </c>
      <c r="R86" s="92">
        <f>5748-SUM(R14:R47,R9:R82)</f>
        <v>-2512</v>
      </c>
      <c r="S86" s="92">
        <f>5362-SUM(S14:S47,S9:S82)</f>
        <v>-2259</v>
      </c>
      <c r="T86" s="92">
        <f>5468-SUM(T14:T47,T9:T82)</f>
        <v>-2552</v>
      </c>
      <c r="U86" s="92">
        <f>5416-SUM(U14:U47,U9:U82)</f>
        <v>-2410</v>
      </c>
      <c r="V86" s="92">
        <f>5766-SUM(V14:V47,V9:V82)</f>
        <v>-2465</v>
      </c>
      <c r="W86" s="92">
        <f>5410-SUM(W14:W47,W9:W82)</f>
        <v>-2521.1999999999998</v>
      </c>
      <c r="X86" s="92">
        <f>5772-SUM(X14:X47,X9:X82)</f>
        <v>-2713.3999999999996</v>
      </c>
      <c r="Y86" s="92">
        <f>5410-SUM((Y9:Y76,Y14:Y54))</f>
        <v>-3932</v>
      </c>
      <c r="Z86" s="92">
        <f>6044-SUM((Z10:Z76,Z14:Z54))</f>
        <v>-3726</v>
      </c>
      <c r="AA86" s="92">
        <f>5769-SUM((AA10:AA76,AA14:AA54))</f>
        <v>-3875.5999999999985</v>
      </c>
      <c r="AB86" s="92">
        <f>6111-SUM((AB10:AB76,AB14:AB54))</f>
        <v>-4092.7999999999993</v>
      </c>
      <c r="AC86" s="92">
        <f>6074-SUM((AC10:AC76,AC14:AC54))</f>
        <v>-4262</v>
      </c>
      <c r="AD86" s="92"/>
      <c r="AE86" s="92">
        <f>5822-SUM((AE10:AE76,AE14:AE54))</f>
        <v>-4062.8000000000011</v>
      </c>
      <c r="AF86" s="92">
        <f>6052-SUM((AF10:AF76,AF14:AF54))</f>
        <v>-4036</v>
      </c>
      <c r="AG86" s="92">
        <f>5944-SUM((AG10:AG76,AG14:AG54))</f>
        <v>-3689</v>
      </c>
      <c r="AH86" s="92">
        <f>6032-SUM((AH10:AH76,AH14:AH54))</f>
        <v>-2307.6000000000004</v>
      </c>
      <c r="AI86" s="127">
        <f>443+945</f>
        <v>1388</v>
      </c>
      <c r="AJ86" s="92"/>
      <c r="AK86" s="92"/>
      <c r="AL86" s="92">
        <f>781+379-1</f>
        <v>1159</v>
      </c>
      <c r="AM86" s="92">
        <f>975+542</f>
        <v>1517</v>
      </c>
      <c r="AN86" s="92">
        <f>417+986</f>
        <v>1403</v>
      </c>
      <c r="AO86" s="92">
        <f>1049+487</f>
        <v>1536</v>
      </c>
      <c r="AP86" s="92">
        <f>1160+447</f>
        <v>1607</v>
      </c>
      <c r="AQ86" s="92">
        <f>486+892-AQ74-AQ69-AQ60-AQ59</f>
        <v>1189</v>
      </c>
      <c r="AR86" s="92">
        <f>448+1064</f>
        <v>1512</v>
      </c>
      <c r="AS86" s="92">
        <f>1015+421</f>
        <v>1436</v>
      </c>
      <c r="AT86" s="92">
        <f>1064+310</f>
        <v>1374</v>
      </c>
      <c r="AU86" s="92">
        <f>274+1013</f>
        <v>1287</v>
      </c>
      <c r="AV86" s="92">
        <f>985+333</f>
        <v>1318</v>
      </c>
      <c r="AW86" s="92">
        <f>1023+347</f>
        <v>1370</v>
      </c>
      <c r="AX86" s="92">
        <f>1113+360</f>
        <v>1473</v>
      </c>
      <c r="AY86" s="92">
        <f>1361+369</f>
        <v>1730</v>
      </c>
      <c r="AZ86" s="92">
        <f>1430+359</f>
        <v>1789</v>
      </c>
      <c r="BA86" s="92">
        <f>1350+314</f>
        <v>1664</v>
      </c>
      <c r="BB86" s="92">
        <f>1435+298</f>
        <v>1733</v>
      </c>
      <c r="BC86" s="92">
        <f>1175+454</f>
        <v>1629</v>
      </c>
      <c r="BD86" s="92">
        <f>1209+392</f>
        <v>1601</v>
      </c>
      <c r="BE86" s="92">
        <f>1225+137</f>
        <v>1362</v>
      </c>
      <c r="BF86" s="92">
        <f>1174+211</f>
        <v>1385</v>
      </c>
      <c r="BG86" s="92">
        <f>1235+328</f>
        <v>1563</v>
      </c>
      <c r="BH86" s="92">
        <f>1274+379</f>
        <v>1653</v>
      </c>
      <c r="BI86" s="92">
        <f>1298+321</f>
        <v>1619</v>
      </c>
      <c r="BJ86" s="92">
        <f>1300+356</f>
        <v>1656</v>
      </c>
      <c r="BK86" s="92">
        <f>1093+379</f>
        <v>1472</v>
      </c>
      <c r="BL86" s="92">
        <f>1151+244</f>
        <v>1395</v>
      </c>
      <c r="BM86" s="92">
        <f>1224+228</f>
        <v>1452</v>
      </c>
      <c r="BN86" s="92">
        <f>1234+327</f>
        <v>1561</v>
      </c>
      <c r="BO86" s="92">
        <f>995+310</f>
        <v>1305</v>
      </c>
      <c r="BP86" s="92">
        <f>1064+216</f>
        <v>1280</v>
      </c>
      <c r="BQ86" s="92">
        <f>952+169</f>
        <v>1121</v>
      </c>
      <c r="BR86" s="92">
        <f>1048+162</f>
        <v>1210</v>
      </c>
      <c r="BS86" s="92">
        <f>989+53</f>
        <v>1042</v>
      </c>
      <c r="BT86" s="92">
        <f>1053+93</f>
        <v>1146</v>
      </c>
      <c r="BU86" s="92">
        <f>980+115</f>
        <v>1095</v>
      </c>
      <c r="BV86" s="92">
        <f>1062+132</f>
        <v>1194</v>
      </c>
      <c r="BW86" s="92">
        <f>1082+128</f>
        <v>1210</v>
      </c>
      <c r="BX86" s="92">
        <f>1203+176</f>
        <v>1379</v>
      </c>
      <c r="BY86" s="92">
        <f>1149+180</f>
        <v>1329</v>
      </c>
      <c r="BZ86" s="92">
        <f>1183+213</f>
        <v>1396</v>
      </c>
      <c r="CA86" s="92">
        <f>1194+188</f>
        <v>1382</v>
      </c>
      <c r="CB86" s="92">
        <f>1103+92</f>
        <v>1195</v>
      </c>
      <c r="CC86" s="92">
        <f>-5+526</f>
        <v>521</v>
      </c>
      <c r="CD86" s="92">
        <f>1228-21</f>
        <v>1207</v>
      </c>
      <c r="CE86" s="92">
        <f>554-29</f>
        <v>525</v>
      </c>
      <c r="CF86" s="92">
        <f>512-50</f>
        <v>462</v>
      </c>
      <c r="CG86" s="92">
        <f>518+241</f>
        <v>759</v>
      </c>
      <c r="CH86" s="92">
        <f>533+221</f>
        <v>754</v>
      </c>
      <c r="CI86" s="92">
        <f>520+312-CI7-CI16</f>
        <v>809</v>
      </c>
      <c r="CJ86" s="92">
        <f>370+479-CJ7-CJ16</f>
        <v>810</v>
      </c>
      <c r="CK86" s="92">
        <f>625+564-CK7-CK16</f>
        <v>1135</v>
      </c>
      <c r="CL86" s="92">
        <f>420+685-CL7-CL16</f>
        <v>927</v>
      </c>
      <c r="CM86" s="92">
        <f>275+584-CM29-CM30</f>
        <v>781</v>
      </c>
      <c r="CN86" s="92">
        <f>122+560</f>
        <v>682</v>
      </c>
      <c r="CO86" s="92">
        <f>299+568</f>
        <v>867</v>
      </c>
      <c r="CP86" s="92">
        <f>211+576</f>
        <v>787</v>
      </c>
      <c r="CQ86" s="92">
        <f>258+576</f>
        <v>834</v>
      </c>
      <c r="CR86" s="92">
        <f>573+222</f>
        <v>795</v>
      </c>
      <c r="CS86" s="92">
        <f>227+644</f>
        <v>871</v>
      </c>
      <c r="CT86" s="92">
        <f>+CP86*0.95</f>
        <v>747.65</v>
      </c>
      <c r="CU86" s="92">
        <f t="shared" ref="CU86:CX86" si="152">+CQ86*0.95</f>
        <v>792.3</v>
      </c>
      <c r="CV86" s="92">
        <f t="shared" si="152"/>
        <v>755.25</v>
      </c>
      <c r="CW86" s="92">
        <f t="shared" si="152"/>
        <v>827.44999999999993</v>
      </c>
      <c r="CX86" s="92">
        <f t="shared" si="152"/>
        <v>710.26749999999993</v>
      </c>
      <c r="CY86" s="92"/>
      <c r="CZ86" s="92"/>
      <c r="DA86" s="47"/>
      <c r="DB86" s="25"/>
      <c r="DC86" s="92"/>
      <c r="DD86" s="92"/>
      <c r="DE86" s="92">
        <f>SUM(O86:R86)</f>
        <v>-9296</v>
      </c>
      <c r="DF86" s="92">
        <f>SUM(S86:V86)</f>
        <v>-9686</v>
      </c>
      <c r="DG86" s="92">
        <f>SUM(W86:Z86)</f>
        <v>-12892.599999999999</v>
      </c>
      <c r="DH86" s="92">
        <f>SUM(AA86:AD86)</f>
        <v>-12230.399999999998</v>
      </c>
      <c r="DI86" s="92">
        <f>SUM(AE86:AH86)</f>
        <v>-14095.400000000001</v>
      </c>
      <c r="DJ86" s="92">
        <f>SUM(AI86:AL86)</f>
        <v>2547</v>
      </c>
      <c r="DK86" s="92">
        <f>SUM(AM86:AP86)</f>
        <v>6063</v>
      </c>
      <c r="DL86" s="92">
        <f t="shared" si="73"/>
        <v>5511</v>
      </c>
      <c r="DM86" s="92">
        <f t="shared" si="134"/>
        <v>5448</v>
      </c>
      <c r="DN86" s="92">
        <f t="shared" si="135"/>
        <v>6916</v>
      </c>
      <c r="DO86" s="92">
        <f t="shared" si="136"/>
        <v>5977</v>
      </c>
      <c r="DP86" s="92">
        <f t="shared" si="137"/>
        <v>6491</v>
      </c>
      <c r="DQ86" s="92">
        <f t="shared" si="138"/>
        <v>5880</v>
      </c>
      <c r="DR86" s="92">
        <f t="shared" si="139"/>
        <v>4916</v>
      </c>
      <c r="DS86" s="92">
        <f t="shared" si="140"/>
        <v>4477</v>
      </c>
      <c r="DT86" s="92">
        <f t="shared" si="87"/>
        <v>5314</v>
      </c>
      <c r="DU86" s="92">
        <f t="shared" si="88"/>
        <v>4305</v>
      </c>
      <c r="DV86" s="92">
        <f t="shared" si="89"/>
        <v>2500</v>
      </c>
      <c r="DW86" s="92">
        <f>SUM(CI86:CL86)</f>
        <v>3681</v>
      </c>
      <c r="DX86" s="92">
        <f>SUM(CM86:CP86)</f>
        <v>3117</v>
      </c>
      <c r="DY86" s="92">
        <f t="shared" ref="DY86:EA86" si="153">DX86*0.9</f>
        <v>2805.3</v>
      </c>
      <c r="DZ86" s="92">
        <f t="shared" si="153"/>
        <v>2524.7700000000004</v>
      </c>
      <c r="EA86" s="92">
        <f t="shared" si="153"/>
        <v>2272.2930000000006</v>
      </c>
      <c r="EB86" s="92">
        <f t="shared" ref="EB86" si="154">EA86*0.9</f>
        <v>2045.0637000000006</v>
      </c>
      <c r="EC86" s="92">
        <f t="shared" ref="EC86" si="155">EB86*0.9</f>
        <v>1840.5573300000005</v>
      </c>
      <c r="ED86" s="92">
        <f t="shared" ref="ED86" si="156">EC86*0.9</f>
        <v>1656.5015970000006</v>
      </c>
      <c r="EE86" s="92">
        <f t="shared" ref="EE86" si="157">ED86*0.9</f>
        <v>1490.8514373000005</v>
      </c>
      <c r="EF86" s="92">
        <f t="shared" ref="EF86" si="158">EE86*0.9</f>
        <v>1341.7662935700005</v>
      </c>
      <c r="EG86" s="92">
        <f t="shared" ref="EG86" si="159">EF86*0.9</f>
        <v>1207.5896642130006</v>
      </c>
      <c r="EH86" s="92">
        <f t="shared" ref="EH86" si="160">EG86*0.9</f>
        <v>1086.8306977917005</v>
      </c>
      <c r="EI86" s="92">
        <f t="shared" ref="EI86" si="161">EH86*0.9</f>
        <v>978.14762801253039</v>
      </c>
      <c r="EJ86" s="92">
        <f t="shared" ref="EJ86" si="162">EI86*0.9</f>
        <v>880.33286521127741</v>
      </c>
    </row>
    <row r="87" spans="2:140" s="39" customFormat="1" ht="12.75" customHeight="1">
      <c r="B87" s="34" t="s">
        <v>699</v>
      </c>
      <c r="C87" s="26">
        <v>4895.8</v>
      </c>
      <c r="D87" s="26">
        <v>5287.8</v>
      </c>
      <c r="E87" s="26">
        <v>5443.7</v>
      </c>
      <c r="F87" s="26">
        <v>5571.6</v>
      </c>
      <c r="G87" s="26"/>
      <c r="H87" s="26"/>
      <c r="I87" s="26"/>
      <c r="J87" s="26"/>
      <c r="K87" s="26"/>
      <c r="L87" s="26"/>
      <c r="M87" s="26"/>
      <c r="N87" s="26"/>
      <c r="O87" s="26">
        <f t="shared" ref="O87:AH87" si="163">SUM(O14:O84)+O86</f>
        <v>3060</v>
      </c>
      <c r="P87" s="26">
        <f t="shared" si="163"/>
        <v>3276</v>
      </c>
      <c r="Q87" s="26">
        <f t="shared" si="163"/>
        <v>2902</v>
      </c>
      <c r="R87" s="26">
        <f t="shared" si="163"/>
        <v>2929</v>
      </c>
      <c r="S87" s="26">
        <f t="shared" si="163"/>
        <v>2839</v>
      </c>
      <c r="T87" s="26">
        <f t="shared" si="163"/>
        <v>2796</v>
      </c>
      <c r="U87" s="26">
        <f t="shared" si="163"/>
        <v>2867</v>
      </c>
      <c r="V87" s="26">
        <f t="shared" si="163"/>
        <v>3199</v>
      </c>
      <c r="W87" s="26">
        <f t="shared" si="163"/>
        <v>2905.0000000000009</v>
      </c>
      <c r="X87" s="26">
        <f t="shared" si="163"/>
        <v>3201</v>
      </c>
      <c r="Y87" s="26">
        <f t="shared" si="163"/>
        <v>1392.5</v>
      </c>
      <c r="Z87" s="26">
        <f t="shared" si="163"/>
        <v>1909</v>
      </c>
      <c r="AA87" s="26">
        <f t="shared" si="163"/>
        <v>1656.2000000000016</v>
      </c>
      <c r="AB87" s="26">
        <f t="shared" si="163"/>
        <v>1675.1000000000004</v>
      </c>
      <c r="AC87" s="26">
        <f t="shared" si="163"/>
        <v>1460</v>
      </c>
      <c r="AD87" s="26">
        <f t="shared" si="163"/>
        <v>5640</v>
      </c>
      <c r="AE87" s="26">
        <f t="shared" si="163"/>
        <v>1465.0999999999985</v>
      </c>
      <c r="AF87" s="26">
        <f t="shared" si="163"/>
        <v>2265.5</v>
      </c>
      <c r="AG87" s="26">
        <f t="shared" si="163"/>
        <v>1500.5</v>
      </c>
      <c r="AH87" s="26">
        <f t="shared" si="163"/>
        <v>2488.1999999999998</v>
      </c>
      <c r="AI87" s="26">
        <f t="shared" ref="AI87:BN87" si="164">SUM(AI3:AI86)</f>
        <v>7155</v>
      </c>
      <c r="AJ87" s="26">
        <f t="shared" si="164"/>
        <v>8095</v>
      </c>
      <c r="AK87" s="26">
        <f t="shared" si="164"/>
        <v>8175</v>
      </c>
      <c r="AL87" s="26">
        <f t="shared" si="164"/>
        <v>11147</v>
      </c>
      <c r="AM87" s="26">
        <f t="shared" si="164"/>
        <v>11423</v>
      </c>
      <c r="AN87" s="39">
        <f t="shared" si="164"/>
        <v>11348</v>
      </c>
      <c r="AO87" s="39">
        <f t="shared" si="164"/>
        <v>11125</v>
      </c>
      <c r="AP87" s="39">
        <f t="shared" si="164"/>
        <v>12094</v>
      </c>
      <c r="AQ87" s="39">
        <f t="shared" si="164"/>
        <v>11581</v>
      </c>
      <c r="AR87" s="39">
        <f t="shared" si="164"/>
        <v>12153</v>
      </c>
      <c r="AS87" s="39">
        <f t="shared" si="164"/>
        <v>12022</v>
      </c>
      <c r="AT87" s="39">
        <f t="shared" si="164"/>
        <v>12298</v>
      </c>
      <c r="AU87" s="39">
        <f t="shared" si="164"/>
        <v>11731</v>
      </c>
      <c r="AV87" s="39">
        <f t="shared" si="164"/>
        <v>12310</v>
      </c>
      <c r="AW87" s="39">
        <f t="shared" si="164"/>
        <v>11488</v>
      </c>
      <c r="AX87" s="39">
        <f t="shared" si="164"/>
        <v>11741</v>
      </c>
      <c r="AY87" s="39">
        <f t="shared" si="164"/>
        <v>10671</v>
      </c>
      <c r="AZ87" s="39">
        <f t="shared" si="164"/>
        <v>11010</v>
      </c>
      <c r="BA87" s="39">
        <f t="shared" si="164"/>
        <v>11032</v>
      </c>
      <c r="BB87" s="39">
        <f t="shared" si="164"/>
        <v>11319</v>
      </c>
      <c r="BC87" s="39">
        <f t="shared" si="164"/>
        <v>10264</v>
      </c>
      <c r="BD87" s="39">
        <f t="shared" si="164"/>
        <v>10934</v>
      </c>
      <c r="BE87" s="39">
        <f t="shared" si="164"/>
        <v>10557</v>
      </c>
      <c r="BF87" s="39">
        <f t="shared" si="164"/>
        <v>10482</v>
      </c>
      <c r="BG87" s="39">
        <f t="shared" si="164"/>
        <v>9425</v>
      </c>
      <c r="BH87" s="39">
        <f t="shared" si="164"/>
        <v>9785</v>
      </c>
      <c r="BI87" s="39">
        <f t="shared" si="164"/>
        <v>10073</v>
      </c>
      <c r="BJ87" s="39">
        <f t="shared" si="164"/>
        <v>10215</v>
      </c>
      <c r="BK87" s="39">
        <f t="shared" si="164"/>
        <v>9312</v>
      </c>
      <c r="BL87" s="39">
        <f t="shared" si="164"/>
        <v>9844</v>
      </c>
      <c r="BM87" s="39">
        <f t="shared" si="164"/>
        <v>10536</v>
      </c>
      <c r="BN87" s="39">
        <f t="shared" si="164"/>
        <v>10115</v>
      </c>
      <c r="BO87" s="39">
        <f t="shared" ref="BO87:CX87" si="165">SUM(BO3:BO86)</f>
        <v>9434</v>
      </c>
      <c r="BP87" s="39">
        <f t="shared" si="165"/>
        <v>9930</v>
      </c>
      <c r="BQ87" s="39">
        <f t="shared" si="165"/>
        <v>10325</v>
      </c>
      <c r="BR87" s="39">
        <f t="shared" si="165"/>
        <v>10433</v>
      </c>
      <c r="BS87" s="39">
        <f t="shared" si="165"/>
        <v>10037</v>
      </c>
      <c r="BT87" s="39">
        <f t="shared" si="165"/>
        <v>10465</v>
      </c>
      <c r="BU87" s="39">
        <f t="shared" si="165"/>
        <v>10794</v>
      </c>
      <c r="BV87" s="39">
        <f t="shared" si="165"/>
        <v>10998</v>
      </c>
      <c r="BW87" s="39">
        <f t="shared" si="165"/>
        <v>10816</v>
      </c>
      <c r="BX87" s="39">
        <f t="shared" si="165"/>
        <v>11760</v>
      </c>
      <c r="BY87" s="39">
        <f t="shared" si="165"/>
        <v>12397</v>
      </c>
      <c r="BZ87" s="39">
        <f t="shared" si="165"/>
        <v>11868</v>
      </c>
      <c r="CA87" s="39">
        <f t="shared" si="165"/>
        <v>12057</v>
      </c>
      <c r="CB87" s="39">
        <f t="shared" si="165"/>
        <v>10872</v>
      </c>
      <c r="CC87" s="39">
        <f t="shared" si="165"/>
        <v>10929</v>
      </c>
      <c r="CD87" s="39">
        <f t="shared" si="165"/>
        <v>12514</v>
      </c>
      <c r="CE87" s="39">
        <f t="shared" si="165"/>
        <v>10627</v>
      </c>
      <c r="CF87" s="39">
        <f t="shared" si="165"/>
        <v>11402</v>
      </c>
      <c r="CG87" s="39">
        <f t="shared" si="165"/>
        <v>13154</v>
      </c>
      <c r="CH87" s="39">
        <f t="shared" si="165"/>
        <v>13521</v>
      </c>
      <c r="CI87" s="39">
        <f t="shared" si="165"/>
        <v>15901</v>
      </c>
      <c r="CJ87" s="39">
        <f t="shared" si="165"/>
        <v>14593</v>
      </c>
      <c r="CK87" s="39">
        <f t="shared" si="165"/>
        <v>14959</v>
      </c>
      <c r="CL87" s="39">
        <f t="shared" si="165"/>
        <v>13830</v>
      </c>
      <c r="CM87" s="39">
        <f>SUM(CM3:CM86)</f>
        <v>14487</v>
      </c>
      <c r="CN87" s="39">
        <f>SUM(CN3:CN86)</f>
        <v>15035</v>
      </c>
      <c r="CO87" s="39">
        <f t="shared" si="165"/>
        <v>15962</v>
      </c>
      <c r="CP87" s="39">
        <f t="shared" si="165"/>
        <v>14630</v>
      </c>
      <c r="CQ87" s="39">
        <f t="shared" si="165"/>
        <v>15775</v>
      </c>
      <c r="CR87" s="39">
        <f t="shared" si="165"/>
        <v>16112</v>
      </c>
      <c r="CS87" s="39">
        <f t="shared" si="165"/>
        <v>16657</v>
      </c>
      <c r="CT87" s="39">
        <f t="shared" si="165"/>
        <v>15416.330000000002</v>
      </c>
      <c r="CU87" s="39">
        <f t="shared" si="165"/>
        <v>16551.289999999997</v>
      </c>
      <c r="CV87" s="39">
        <f t="shared" si="165"/>
        <v>17063.224999999999</v>
      </c>
      <c r="CW87" s="39">
        <f t="shared" si="165"/>
        <v>17364.197500000002</v>
      </c>
      <c r="CX87" s="39">
        <f t="shared" si="165"/>
        <v>16274.234650000002</v>
      </c>
      <c r="DA87" s="46"/>
      <c r="DB87" s="26">
        <f>SUM(C87:F87)+0.1</f>
        <v>21199</v>
      </c>
      <c r="DC87" s="26">
        <f>SUM(G87:J87)</f>
        <v>0</v>
      </c>
      <c r="DD87" s="26">
        <f>SUM(K87:N87)</f>
        <v>0</v>
      </c>
      <c r="DE87" s="26">
        <f>SUM(DE14:DE84)+DE86</f>
        <v>12214</v>
      </c>
      <c r="DF87" s="26">
        <f>SUM(DF14:DF84)+DF86</f>
        <v>11701</v>
      </c>
      <c r="DG87" s="26">
        <f>SUM(DG14:DG84)+DG86</f>
        <v>9407.5</v>
      </c>
      <c r="DH87" s="26">
        <f>SUM(DH14:DH84)+DH86</f>
        <v>10431.300000000003</v>
      </c>
      <c r="DI87" s="26">
        <f>SUM(DI14:DI84)+DI86</f>
        <v>6960.2999999999993</v>
      </c>
      <c r="DJ87" s="26">
        <f>SUM(DJ3:DJ85)+DJ86</f>
        <v>28009</v>
      </c>
      <c r="DK87" s="26">
        <f t="shared" ref="DK87:EJ87" si="166">SUM(DK3:DK86)</f>
        <v>46049</v>
      </c>
      <c r="DL87" s="26">
        <f t="shared" si="166"/>
        <v>47986</v>
      </c>
      <c r="DM87" s="26">
        <f t="shared" si="166"/>
        <v>47270</v>
      </c>
      <c r="DN87" s="26">
        <f t="shared" si="166"/>
        <v>44032</v>
      </c>
      <c r="DO87" s="26">
        <f t="shared" si="166"/>
        <v>42237</v>
      </c>
      <c r="DP87" s="26">
        <f t="shared" si="166"/>
        <v>39498</v>
      </c>
      <c r="DQ87" s="26">
        <f t="shared" si="166"/>
        <v>39807</v>
      </c>
      <c r="DR87" s="26">
        <f t="shared" si="166"/>
        <v>40122</v>
      </c>
      <c r="DS87" s="26">
        <f t="shared" si="166"/>
        <v>42294</v>
      </c>
      <c r="DT87" s="26">
        <f t="shared" si="166"/>
        <v>46841</v>
      </c>
      <c r="DU87" s="26">
        <f t="shared" si="166"/>
        <v>46372</v>
      </c>
      <c r="DV87" s="26">
        <f t="shared" si="166"/>
        <v>48704</v>
      </c>
      <c r="DW87" s="26">
        <f t="shared" si="166"/>
        <v>59283</v>
      </c>
      <c r="DX87" s="26">
        <f t="shared" si="166"/>
        <v>60164</v>
      </c>
      <c r="DY87" s="26">
        <f t="shared" si="166"/>
        <v>63010.21</v>
      </c>
      <c r="DZ87" s="26">
        <f t="shared" si="166"/>
        <v>63738.654200000004</v>
      </c>
      <c r="EA87" s="26">
        <f t="shared" si="166"/>
        <v>63095.131289999998</v>
      </c>
      <c r="EB87" s="26">
        <f t="shared" si="166"/>
        <v>62998.878443920017</v>
      </c>
      <c r="EC87" s="26">
        <f t="shared" si="166"/>
        <v>55230.923659944609</v>
      </c>
      <c r="ED87" s="26">
        <f t="shared" si="166"/>
        <v>46506.969352314911</v>
      </c>
      <c r="EE87" s="26">
        <f t="shared" si="166"/>
        <v>38543.190477259552</v>
      </c>
      <c r="EF87" s="26">
        <f t="shared" si="166"/>
        <v>35007.489361368935</v>
      </c>
      <c r="EG87" s="26">
        <f t="shared" si="166"/>
        <v>32600.150240125138</v>
      </c>
      <c r="EH87" s="26">
        <f t="shared" si="166"/>
        <v>30406.13281987956</v>
      </c>
      <c r="EI87" s="26">
        <f t="shared" si="166"/>
        <v>28809.950574699968</v>
      </c>
      <c r="EJ87" s="26">
        <f t="shared" si="166"/>
        <v>27971.145185395544</v>
      </c>
    </row>
    <row r="88" spans="2:140" s="90" customFormat="1" ht="12.75" customHeight="1">
      <c r="B88" s="98" t="s">
        <v>778</v>
      </c>
      <c r="C88" s="91">
        <v>862.8</v>
      </c>
      <c r="D88" s="91">
        <v>886</v>
      </c>
      <c r="E88" s="91">
        <v>917.3</v>
      </c>
      <c r="F88" s="91">
        <v>958.7</v>
      </c>
      <c r="G88" s="92">
        <v>864.2</v>
      </c>
      <c r="H88" s="92">
        <f>942.1</f>
        <v>942.1</v>
      </c>
      <c r="I88" s="92">
        <f>973.2</f>
        <v>973.2</v>
      </c>
      <c r="J88" s="92">
        <f>1125.7</f>
        <v>1125.7</v>
      </c>
      <c r="K88" s="92">
        <f>1046.8</f>
        <v>1046.8</v>
      </c>
      <c r="L88" s="92">
        <f>988.5</f>
        <v>988.5</v>
      </c>
      <c r="M88" s="92">
        <v>1083.4000000000001</v>
      </c>
      <c r="N88" s="92">
        <v>1228.3</v>
      </c>
      <c r="O88" s="92">
        <f>1115.8+32</f>
        <v>1147.8</v>
      </c>
      <c r="P88" s="92">
        <f>1131.3+32.9</f>
        <v>1164.2</v>
      </c>
      <c r="Q88" s="92">
        <v>1364.2</v>
      </c>
      <c r="R88" s="92">
        <v>1283.5999999999999</v>
      </c>
      <c r="S88" s="92">
        <v>1271.4000000000001</v>
      </c>
      <c r="T88" s="92">
        <v>1160.5999999999999</v>
      </c>
      <c r="U88" s="92">
        <v>1238.8</v>
      </c>
      <c r="V88" s="92">
        <f>1478.8-177</f>
        <v>1301.8</v>
      </c>
      <c r="W88" s="92">
        <f>1342.7-205</f>
        <v>1137.7</v>
      </c>
      <c r="X88" s="92">
        <f>1445.2-167.5</f>
        <v>1277.7</v>
      </c>
      <c r="Y88" s="92">
        <v>1544.1</v>
      </c>
      <c r="Z88" s="92">
        <f>1669.1-164.3</f>
        <v>1504.8</v>
      </c>
      <c r="AA88" s="92">
        <v>1525.8</v>
      </c>
      <c r="AB88" s="92">
        <v>1552.3</v>
      </c>
      <c r="AC88" s="92">
        <v>1517.7</v>
      </c>
      <c r="AD88" s="92"/>
      <c r="AE88" s="92">
        <f>1238.1-14.9</f>
        <v>1223.1999999999998</v>
      </c>
      <c r="AF88" s="92">
        <v>1396.5</v>
      </c>
      <c r="AG88" s="92">
        <v>1477.9</v>
      </c>
      <c r="AH88" s="92">
        <v>1470</v>
      </c>
      <c r="AI88" s="92">
        <f>1333.8-22</f>
        <v>1311.8</v>
      </c>
      <c r="AJ88" s="92">
        <f>1353.9-47</f>
        <v>1306.9000000000001</v>
      </c>
      <c r="AK88" s="92">
        <v>1430.3</v>
      </c>
      <c r="AL88" s="92">
        <v>2595.8000000000002</v>
      </c>
      <c r="AM88" s="92">
        <v>2811.7</v>
      </c>
      <c r="AN88" s="92">
        <v>2662.5</v>
      </c>
      <c r="AO88" s="92">
        <v>2796.2</v>
      </c>
      <c r="AP88" s="92">
        <v>3129</v>
      </c>
      <c r="AQ88" s="92">
        <v>2690</v>
      </c>
      <c r="AR88" s="92"/>
      <c r="AS88" s="92"/>
      <c r="AT88" s="92"/>
      <c r="AU88" s="92"/>
      <c r="AV88" s="92"/>
      <c r="AW88" s="92"/>
      <c r="AX88" s="92"/>
      <c r="AY88" s="92"/>
      <c r="AZ88" s="92"/>
      <c r="BA88" s="92"/>
      <c r="BB88" s="92"/>
      <c r="BC88" s="92"/>
      <c r="BD88" s="92"/>
      <c r="BE88" s="92"/>
      <c r="BF88" s="92"/>
      <c r="BG88" s="92"/>
      <c r="BH88" s="92"/>
      <c r="BI88" s="92"/>
      <c r="BJ88" s="92"/>
      <c r="BK88" s="92"/>
      <c r="BL88" s="92"/>
      <c r="BM88" s="92"/>
      <c r="BN88" s="92"/>
      <c r="BO88" s="92"/>
      <c r="BP88" s="92"/>
      <c r="BQ88" s="92"/>
      <c r="BR88" s="92"/>
      <c r="BS88" s="92"/>
      <c r="BT88" s="92"/>
      <c r="BU88" s="92"/>
      <c r="BV88" s="92"/>
      <c r="BW88" s="92"/>
      <c r="BX88" s="92"/>
      <c r="BY88" s="92"/>
      <c r="BZ88" s="92"/>
      <c r="CA88" s="92"/>
      <c r="CB88" s="92"/>
      <c r="CC88" s="92">
        <v>2572</v>
      </c>
      <c r="CD88" s="92">
        <v>2739</v>
      </c>
      <c r="CE88" s="92">
        <v>2487</v>
      </c>
      <c r="CF88" s="92">
        <v>2684</v>
      </c>
      <c r="CG88" s="92">
        <v>3056</v>
      </c>
      <c r="CH88" s="92">
        <v>3411</v>
      </c>
      <c r="CI88" s="92">
        <v>4654</v>
      </c>
      <c r="CJ88" s="92">
        <v>3698</v>
      </c>
      <c r="CK88" s="92">
        <v>3434</v>
      </c>
      <c r="CL88" s="92">
        <v>3361</v>
      </c>
      <c r="CM88" s="92">
        <v>3352</v>
      </c>
      <c r="CN88" s="92">
        <v>3525</v>
      </c>
      <c r="CO88" s="92">
        <v>3679</v>
      </c>
      <c r="CP88" s="92">
        <v>3340</v>
      </c>
      <c r="CQ88" s="92">
        <v>2961</v>
      </c>
      <c r="CR88" s="92">
        <v>3073</v>
      </c>
      <c r="CS88" s="92">
        <v>3249</v>
      </c>
      <c r="CT88" s="92"/>
      <c r="CU88" s="92"/>
      <c r="CV88" s="92"/>
      <c r="CW88" s="92"/>
      <c r="CX88" s="92"/>
      <c r="CY88" s="92"/>
      <c r="CZ88" s="92"/>
      <c r="DA88" s="93"/>
      <c r="DB88" s="92">
        <f>SUM(C88:F88)</f>
        <v>3624.8</v>
      </c>
      <c r="DC88" s="91">
        <f>SUM(G88:J88)+1.9</f>
        <v>3907.1</v>
      </c>
      <c r="DD88" s="92">
        <f>SUM(K88:N88)</f>
        <v>4347</v>
      </c>
      <c r="DE88" s="92">
        <f>SUM(O88:R88)</f>
        <v>4959.7999999999993</v>
      </c>
      <c r="DF88" s="92">
        <f>SUM(S88:V88)</f>
        <v>4972.6000000000004</v>
      </c>
      <c r="DG88" s="92">
        <f>SUM(W88:Z88)</f>
        <v>5464.3</v>
      </c>
      <c r="DH88" s="92">
        <f>SUM(AA88:AD88)</f>
        <v>4595.8</v>
      </c>
      <c r="DI88" s="92">
        <f>SUM(AE88:AH88)</f>
        <v>5567.6</v>
      </c>
      <c r="DJ88" s="92"/>
      <c r="DK88" s="92"/>
      <c r="DL88" s="92">
        <f t="shared" ref="DL88:EA88" si="167">DL87-DL89</f>
        <v>12044.485999999997</v>
      </c>
      <c r="DM88" s="92">
        <f t="shared" si="167"/>
        <v>47270</v>
      </c>
      <c r="DN88" s="92">
        <f t="shared" si="167"/>
        <v>44032</v>
      </c>
      <c r="DO88" s="92">
        <f t="shared" si="167"/>
        <v>42237</v>
      </c>
      <c r="DP88" s="92">
        <f t="shared" si="167"/>
        <v>39498</v>
      </c>
      <c r="DQ88" s="92">
        <f t="shared" si="167"/>
        <v>39807</v>
      </c>
      <c r="DR88" s="92">
        <f t="shared" si="167"/>
        <v>40122</v>
      </c>
      <c r="DS88" s="92">
        <f t="shared" si="167"/>
        <v>42294</v>
      </c>
      <c r="DT88" s="92">
        <f t="shared" si="167"/>
        <v>46841</v>
      </c>
      <c r="DU88" s="92">
        <f t="shared" si="167"/>
        <v>46372</v>
      </c>
      <c r="DV88" s="92">
        <f t="shared" ref="DV88" si="168">SUM(CE88:CH88)</f>
        <v>11638</v>
      </c>
      <c r="DW88" s="92">
        <f>SUM(CI88:CL88)</f>
        <v>15147</v>
      </c>
      <c r="DX88" s="92">
        <f>SUM(CM88:CP88)</f>
        <v>13896</v>
      </c>
      <c r="DY88" s="90">
        <f t="shared" si="167"/>
        <v>12602.041999999994</v>
      </c>
      <c r="DZ88" s="90">
        <f t="shared" si="167"/>
        <v>12747.730839999997</v>
      </c>
      <c r="EA88" s="90">
        <f t="shared" si="167"/>
        <v>12619.026257999998</v>
      </c>
      <c r="EB88" s="90">
        <f>EB87-EB89</f>
        <v>12599.775688784001</v>
      </c>
      <c r="EC88" s="90">
        <f t="shared" ref="EC88:EJ88" si="169">EC87-EC89</f>
        <v>11046.18473198892</v>
      </c>
      <c r="ED88" s="90">
        <f t="shared" si="169"/>
        <v>9301.3938704629836</v>
      </c>
      <c r="EE88" s="90">
        <f t="shared" si="169"/>
        <v>7708.6380954519082</v>
      </c>
      <c r="EF88" s="90">
        <f t="shared" si="169"/>
        <v>7001.4978722737869</v>
      </c>
      <c r="EG88" s="90">
        <f t="shared" si="169"/>
        <v>6520.0300480250262</v>
      </c>
      <c r="EH88" s="90">
        <f t="shared" si="169"/>
        <v>6081.2265639759098</v>
      </c>
      <c r="EI88" s="90">
        <f t="shared" si="169"/>
        <v>5761.9901149399921</v>
      </c>
      <c r="EJ88" s="90">
        <f t="shared" si="169"/>
        <v>5594.2290370791088</v>
      </c>
    </row>
    <row r="89" spans="2:140" s="90" customFormat="1" ht="12.75" customHeight="1">
      <c r="B89" s="98" t="s">
        <v>377</v>
      </c>
      <c r="C89" s="91"/>
      <c r="D89" s="91"/>
      <c r="E89" s="91"/>
      <c r="F89" s="91"/>
      <c r="G89" s="92"/>
      <c r="H89" s="92"/>
      <c r="I89" s="92"/>
      <c r="J89" s="92"/>
      <c r="K89" s="92"/>
      <c r="L89" s="92"/>
      <c r="M89" s="92"/>
      <c r="N89" s="92"/>
      <c r="O89" s="92" t="e">
        <f>#REF!-O88</f>
        <v>#REF!</v>
      </c>
      <c r="P89" s="92" t="e">
        <f>#REF!-P88</f>
        <v>#REF!</v>
      </c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>
        <f>+AL87-AL88</f>
        <v>8551.2000000000007</v>
      </c>
      <c r="AM89" s="92">
        <f>AM87-AM88</f>
        <v>8611.2999999999993</v>
      </c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2"/>
      <c r="BW89" s="92"/>
      <c r="BX89" s="92"/>
      <c r="BY89" s="92"/>
      <c r="BZ89" s="92"/>
      <c r="CA89" s="92"/>
      <c r="CB89" s="92"/>
      <c r="CC89" s="92">
        <f t="shared" ref="CC89:CJ89" si="170">+CC87-CC88</f>
        <v>8357</v>
      </c>
      <c r="CD89" s="92">
        <f t="shared" si="170"/>
        <v>9775</v>
      </c>
      <c r="CE89" s="92">
        <f t="shared" si="170"/>
        <v>8140</v>
      </c>
      <c r="CF89" s="92">
        <f t="shared" si="170"/>
        <v>8718</v>
      </c>
      <c r="CG89" s="92">
        <f t="shared" si="170"/>
        <v>10098</v>
      </c>
      <c r="CH89" s="92">
        <f t="shared" si="170"/>
        <v>10110</v>
      </c>
      <c r="CI89" s="92">
        <f t="shared" si="170"/>
        <v>11247</v>
      </c>
      <c r="CJ89" s="92">
        <f t="shared" si="170"/>
        <v>10895</v>
      </c>
      <c r="CK89" s="92">
        <f>+CK87-CK88</f>
        <v>11525</v>
      </c>
      <c r="CL89" s="92">
        <f>+CL87-CL88</f>
        <v>10469</v>
      </c>
      <c r="CM89" s="92">
        <f>CM87-CM88</f>
        <v>11135</v>
      </c>
      <c r="CN89" s="92">
        <f t="shared" ref="CN89:CS89" si="171">+CN87-CN88</f>
        <v>11510</v>
      </c>
      <c r="CO89" s="92">
        <f t="shared" si="171"/>
        <v>12283</v>
      </c>
      <c r="CP89" s="92">
        <f t="shared" si="171"/>
        <v>11290</v>
      </c>
      <c r="CQ89" s="92">
        <f t="shared" si="171"/>
        <v>12814</v>
      </c>
      <c r="CR89" s="92">
        <f t="shared" si="171"/>
        <v>13039</v>
      </c>
      <c r="CS89" s="92">
        <f t="shared" si="171"/>
        <v>13408</v>
      </c>
      <c r="CT89" s="92"/>
      <c r="CU89" s="92"/>
      <c r="CV89" s="92"/>
      <c r="CW89" s="92"/>
      <c r="CX89" s="92"/>
      <c r="CY89" s="92"/>
      <c r="CZ89" s="92"/>
      <c r="DA89" s="93"/>
      <c r="DB89" s="92">
        <f>+DB87-DB88</f>
        <v>17574.2</v>
      </c>
      <c r="DC89" s="92"/>
      <c r="DD89" s="92"/>
      <c r="DE89" s="92"/>
      <c r="DF89" s="92"/>
      <c r="DG89" s="92"/>
      <c r="DH89" s="92"/>
      <c r="DI89" s="92"/>
      <c r="DJ89" s="92"/>
      <c r="DK89" s="92"/>
      <c r="DL89" s="92">
        <f t="shared" ref="DL89:DU89" si="172">DL87*DL107</f>
        <v>35941.514000000003</v>
      </c>
      <c r="DM89" s="92">
        <f t="shared" si="172"/>
        <v>0</v>
      </c>
      <c r="DN89" s="92">
        <f t="shared" si="172"/>
        <v>0</v>
      </c>
      <c r="DO89" s="92">
        <f t="shared" si="172"/>
        <v>0</v>
      </c>
      <c r="DP89" s="92">
        <f t="shared" si="172"/>
        <v>0</v>
      </c>
      <c r="DQ89" s="92">
        <f t="shared" si="172"/>
        <v>0</v>
      </c>
      <c r="DR89" s="92">
        <f t="shared" si="172"/>
        <v>0</v>
      </c>
      <c r="DS89" s="92">
        <f t="shared" si="172"/>
        <v>0</v>
      </c>
      <c r="DT89" s="92">
        <f t="shared" si="172"/>
        <v>0</v>
      </c>
      <c r="DU89" s="92">
        <f t="shared" si="172"/>
        <v>0</v>
      </c>
      <c r="DV89" s="92">
        <f>DV87-DV88</f>
        <v>37066</v>
      </c>
      <c r="DW89" s="92">
        <f>DW87-DW88</f>
        <v>44136</v>
      </c>
      <c r="DX89" s="92">
        <f>DX87-DX88</f>
        <v>46268</v>
      </c>
      <c r="DY89" s="90">
        <f t="shared" ref="DY89:EA89" si="173">DY87*0.8</f>
        <v>50408.168000000005</v>
      </c>
      <c r="DZ89" s="90">
        <f t="shared" si="173"/>
        <v>50990.923360000008</v>
      </c>
      <c r="EA89" s="90">
        <f t="shared" si="173"/>
        <v>50476.105031999999</v>
      </c>
      <c r="EB89" s="90">
        <f>EB87*0.8</f>
        <v>50399.102755136017</v>
      </c>
      <c r="EC89" s="90">
        <f t="shared" ref="EC89:EJ89" si="174">EC87*0.8</f>
        <v>44184.738927955688</v>
      </c>
      <c r="ED89" s="90">
        <f t="shared" si="174"/>
        <v>37205.575481851927</v>
      </c>
      <c r="EE89" s="90">
        <f t="shared" si="174"/>
        <v>30834.552381807644</v>
      </c>
      <c r="EF89" s="90">
        <f t="shared" si="174"/>
        <v>28005.991489095148</v>
      </c>
      <c r="EG89" s="90">
        <f t="shared" si="174"/>
        <v>26080.120192100112</v>
      </c>
      <c r="EH89" s="90">
        <f t="shared" si="174"/>
        <v>24324.90625590365</v>
      </c>
      <c r="EI89" s="90">
        <f t="shared" si="174"/>
        <v>23047.960459759975</v>
      </c>
      <c r="EJ89" s="90">
        <f t="shared" si="174"/>
        <v>22376.916148316435</v>
      </c>
    </row>
    <row r="90" spans="2:140" s="90" customFormat="1" ht="12.75" customHeight="1">
      <c r="B90" s="98" t="s">
        <v>378</v>
      </c>
      <c r="C90" s="91">
        <v>1362.53</v>
      </c>
      <c r="D90" s="91">
        <v>1478.33</v>
      </c>
      <c r="E90" s="91">
        <v>1438.64</v>
      </c>
      <c r="F90" s="91">
        <v>1421.1</v>
      </c>
      <c r="G90" s="91">
        <v>1343.3</v>
      </c>
      <c r="H90" s="91">
        <v>1362.9</v>
      </c>
      <c r="I90" s="91">
        <f>1317.6+90</f>
        <v>1407.6</v>
      </c>
      <c r="J90" s="91">
        <v>1538.4</v>
      </c>
      <c r="K90" s="91">
        <v>1547.3</v>
      </c>
      <c r="L90" s="91">
        <v>1589.9</v>
      </c>
      <c r="M90" s="91">
        <v>1463.6</v>
      </c>
      <c r="N90" s="91">
        <v>1794.1</v>
      </c>
      <c r="O90" s="91">
        <f>1611.4-34</f>
        <v>1577.4</v>
      </c>
      <c r="P90" s="91">
        <f>1616.2-21</f>
        <v>1595.2</v>
      </c>
      <c r="Q90" s="91">
        <v>1752.9</v>
      </c>
      <c r="R90" s="91">
        <f>2365.8-604</f>
        <v>1761.8000000000002</v>
      </c>
      <c r="S90" s="91">
        <v>1613.3</v>
      </c>
      <c r="T90" s="91">
        <v>1755.3</v>
      </c>
      <c r="U90" s="91">
        <f>1741.2-80</f>
        <v>1661.2</v>
      </c>
      <c r="V90" s="91">
        <f>2139-295</f>
        <v>1844</v>
      </c>
      <c r="W90" s="91">
        <v>1715</v>
      </c>
      <c r="X90" s="91">
        <v>1734</v>
      </c>
      <c r="Y90" s="91">
        <v>2370.6</v>
      </c>
      <c r="Z90" s="91">
        <f>2345.8-75-48</f>
        <v>2222.8000000000002</v>
      </c>
      <c r="AA90" s="92">
        <v>1802</v>
      </c>
      <c r="AB90" s="91">
        <v>2083.6999999999998</v>
      </c>
      <c r="AC90" s="91">
        <v>1951.4</v>
      </c>
      <c r="AD90" s="91"/>
      <c r="AE90" s="91">
        <f>1854.4-40</f>
        <v>1814.4</v>
      </c>
      <c r="AF90" s="91">
        <v>1930.2</v>
      </c>
      <c r="AG90" s="91">
        <v>1730.3</v>
      </c>
      <c r="AH90" s="91">
        <v>1862.1</v>
      </c>
      <c r="AI90" s="91">
        <f>1632.9-7</f>
        <v>1625.9</v>
      </c>
      <c r="AJ90" s="91">
        <f>1729.5-44-25</f>
        <v>1660.5</v>
      </c>
      <c r="AK90" s="91">
        <v>1725.5</v>
      </c>
      <c r="AL90" s="91">
        <v>3190.2</v>
      </c>
      <c r="AM90" s="91">
        <v>3166.7</v>
      </c>
      <c r="AN90" s="91">
        <v>3127.9</v>
      </c>
      <c r="AO90" s="91">
        <v>3023.7</v>
      </c>
      <c r="AP90" s="91">
        <v>3406</v>
      </c>
      <c r="AQ90" s="91">
        <v>3083</v>
      </c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1"/>
      <c r="BT90" s="91"/>
      <c r="BU90" s="91"/>
      <c r="BV90" s="91"/>
      <c r="BW90" s="91"/>
      <c r="BX90" s="91"/>
      <c r="BY90" s="91"/>
      <c r="BZ90" s="91"/>
      <c r="CA90" s="91"/>
      <c r="CB90" s="91"/>
      <c r="CC90" s="91">
        <v>2020</v>
      </c>
      <c r="CD90" s="91">
        <v>2567</v>
      </c>
      <c r="CE90" s="91">
        <v>2174</v>
      </c>
      <c r="CF90" s="91">
        <v>2254</v>
      </c>
      <c r="CG90" s="91">
        <v>2270</v>
      </c>
      <c r="CH90" s="91">
        <v>2594</v>
      </c>
      <c r="CI90" s="91">
        <v>2252</v>
      </c>
      <c r="CJ90" s="91">
        <v>2420</v>
      </c>
      <c r="CK90" s="91">
        <v>2472</v>
      </c>
      <c r="CL90" s="91">
        <v>2628</v>
      </c>
      <c r="CM90" s="91">
        <v>2458</v>
      </c>
      <c r="CN90" s="91">
        <v>2625</v>
      </c>
      <c r="CO90" s="91">
        <v>2462</v>
      </c>
      <c r="CP90" s="91">
        <v>2751</v>
      </c>
      <c r="CQ90" s="91">
        <v>2457</v>
      </c>
      <c r="CR90" s="91">
        <v>2684</v>
      </c>
      <c r="CS90" s="91">
        <v>2657</v>
      </c>
      <c r="CT90" s="91"/>
      <c r="CU90" s="91"/>
      <c r="CV90" s="91"/>
      <c r="CW90" s="91"/>
      <c r="CX90" s="91"/>
      <c r="CY90" s="91"/>
      <c r="CZ90" s="91"/>
      <c r="DA90" s="93"/>
      <c r="DB90" s="91">
        <f>SUM(C90:F90)</f>
        <v>5700.6</v>
      </c>
      <c r="DC90" s="91">
        <f>SUM(G90:J90)</f>
        <v>5652.1999999999989</v>
      </c>
      <c r="DD90" s="91">
        <f>SUM(K90:N90)</f>
        <v>6394.9</v>
      </c>
      <c r="DE90" s="91">
        <f>SUM(O90:R90)</f>
        <v>6687.3</v>
      </c>
      <c r="DF90" s="91">
        <f>SUM(S90:V90)</f>
        <v>6873.8</v>
      </c>
      <c r="DG90" s="91">
        <f>SUM(W90:Z90)</f>
        <v>8042.4000000000005</v>
      </c>
      <c r="DH90" s="91">
        <f>SUM(AA90:AD90)</f>
        <v>5837.1</v>
      </c>
      <c r="DI90" s="91">
        <f>SUM(AE90:AH90)</f>
        <v>7337</v>
      </c>
      <c r="DJ90" s="91">
        <f>SUM(AI90:AL90)</f>
        <v>8202.0999999999985</v>
      </c>
      <c r="DK90" s="92">
        <f>SUM(AM90:AP90)</f>
        <v>12724.3</v>
      </c>
      <c r="DL90" s="91">
        <f t="shared" ref="DL90:DT90" si="175">DL87*DL108</f>
        <v>13292.122000000001</v>
      </c>
      <c r="DM90" s="91">
        <f t="shared" si="175"/>
        <v>12999.250000000002</v>
      </c>
      <c r="DN90" s="91">
        <f t="shared" si="175"/>
        <v>11976.704000000002</v>
      </c>
      <c r="DO90" s="91">
        <f t="shared" si="175"/>
        <v>11403.990000000002</v>
      </c>
      <c r="DP90" s="91">
        <f t="shared" si="175"/>
        <v>10664.460000000001</v>
      </c>
      <c r="DQ90" s="91">
        <f t="shared" si="175"/>
        <v>10747.890000000001</v>
      </c>
      <c r="DR90" s="91">
        <f t="shared" si="175"/>
        <v>10832.94</v>
      </c>
      <c r="DS90" s="91">
        <f t="shared" si="175"/>
        <v>11419.380000000001</v>
      </c>
      <c r="DT90" s="91">
        <f t="shared" si="175"/>
        <v>12647.070000000002</v>
      </c>
      <c r="DU90" s="91">
        <f t="shared" ref="DU90:EA90" si="176">+DT90</f>
        <v>12647.070000000002</v>
      </c>
      <c r="DV90" s="92">
        <f t="shared" ref="DV90:DV91" si="177">SUM(CE90:CH90)</f>
        <v>9292</v>
      </c>
      <c r="DW90" s="92">
        <f>SUM(CI90:CL90)</f>
        <v>9772</v>
      </c>
      <c r="DX90" s="92">
        <f>SUM(CM90:CP90)</f>
        <v>10296</v>
      </c>
      <c r="DY90" s="91">
        <f t="shared" si="176"/>
        <v>10296</v>
      </c>
      <c r="DZ90" s="91">
        <f t="shared" si="176"/>
        <v>10296</v>
      </c>
      <c r="EA90" s="91">
        <f t="shared" si="176"/>
        <v>10296</v>
      </c>
      <c r="EB90" s="90">
        <f>EB87*0.25</f>
        <v>15749.719610980004</v>
      </c>
      <c r="EC90" s="90">
        <f t="shared" ref="EC90:EJ90" si="178">EC87*0.25</f>
        <v>13807.730914986152</v>
      </c>
      <c r="ED90" s="90">
        <f t="shared" si="178"/>
        <v>11626.742338078728</v>
      </c>
      <c r="EE90" s="90">
        <f t="shared" si="178"/>
        <v>9635.7976193148879</v>
      </c>
      <c r="EF90" s="90">
        <f t="shared" si="178"/>
        <v>8751.8723403422337</v>
      </c>
      <c r="EG90" s="90">
        <f t="shared" si="178"/>
        <v>8150.0375600312846</v>
      </c>
      <c r="EH90" s="90">
        <f t="shared" si="178"/>
        <v>7601.53320496989</v>
      </c>
      <c r="EI90" s="90">
        <f t="shared" si="178"/>
        <v>7202.4876436749919</v>
      </c>
      <c r="EJ90" s="90">
        <f t="shared" si="178"/>
        <v>6992.786296348886</v>
      </c>
    </row>
    <row r="91" spans="2:140" s="81" customFormat="1" ht="12.75" customHeight="1">
      <c r="B91" s="98" t="s">
        <v>379</v>
      </c>
      <c r="C91" s="91">
        <v>547.4</v>
      </c>
      <c r="D91" s="91">
        <v>602.4</v>
      </c>
      <c r="E91" s="91">
        <v>590.29999999999995</v>
      </c>
      <c r="F91" s="91">
        <v>716.4</v>
      </c>
      <c r="G91" s="91">
        <v>530.29999999999995</v>
      </c>
      <c r="H91" s="91">
        <v>631.20000000000005</v>
      </c>
      <c r="I91" s="91">
        <v>676.9</v>
      </c>
      <c r="J91" s="91">
        <v>838.8</v>
      </c>
      <c r="K91" s="91">
        <v>720.3</v>
      </c>
      <c r="L91" s="91">
        <v>786.4</v>
      </c>
      <c r="M91" s="91">
        <v>776.5</v>
      </c>
      <c r="N91" s="91">
        <v>894.9</v>
      </c>
      <c r="O91" s="91">
        <f>996.3-125</f>
        <v>871.3</v>
      </c>
      <c r="P91" s="91">
        <f>986-120</f>
        <v>866</v>
      </c>
      <c r="Q91" s="91">
        <f>919.3-35</f>
        <v>884.3</v>
      </c>
      <c r="R91" s="91">
        <v>1108.5999999999999</v>
      </c>
      <c r="S91" s="91">
        <v>846.6</v>
      </c>
      <c r="T91" s="91">
        <v>946.8</v>
      </c>
      <c r="U91" s="91">
        <v>942.6</v>
      </c>
      <c r="V91" s="91">
        <f>1112-19</f>
        <v>1093</v>
      </c>
      <c r="W91" s="91">
        <f>942-55</f>
        <v>887</v>
      </c>
      <c r="X91" s="91">
        <f>1173-296.3</f>
        <v>876.7</v>
      </c>
      <c r="Y91" s="91">
        <v>945.4</v>
      </c>
      <c r="Z91" s="91">
        <f>1722.9-466.2</f>
        <v>1256.7</v>
      </c>
      <c r="AA91" s="92">
        <v>1030</v>
      </c>
      <c r="AB91" s="91">
        <v>1030.5</v>
      </c>
      <c r="AC91" s="91">
        <f>1440.5-325.1</f>
        <v>1115.4000000000001</v>
      </c>
      <c r="AD91" s="91"/>
      <c r="AE91" s="91">
        <v>1078.3</v>
      </c>
      <c r="AF91" s="91">
        <v>1169.3</v>
      </c>
      <c r="AG91" s="91">
        <v>1171.0999999999999</v>
      </c>
      <c r="AH91" s="91">
        <v>1386.6</v>
      </c>
      <c r="AI91" s="91">
        <f>1224.2-88</f>
        <v>1136.2</v>
      </c>
      <c r="AJ91" s="91">
        <f>1395.3-108</f>
        <v>1287.3</v>
      </c>
      <c r="AK91" s="91">
        <v>1254</v>
      </c>
      <c r="AL91" s="91">
        <v>1984</v>
      </c>
      <c r="AM91" s="91">
        <v>1993.8</v>
      </c>
      <c r="AN91" s="91">
        <v>2007.2</v>
      </c>
      <c r="AO91" s="91">
        <v>1944.1</v>
      </c>
      <c r="AP91" s="91">
        <v>2177</v>
      </c>
      <c r="AQ91" s="91">
        <v>1811</v>
      </c>
      <c r="AR91" s="91">
        <f>AN91</f>
        <v>2007.2</v>
      </c>
      <c r="AS91" s="91">
        <f>AO91</f>
        <v>1944.1</v>
      </c>
      <c r="AT91" s="91">
        <f>AP91</f>
        <v>2177</v>
      </c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1"/>
      <c r="BT91" s="91"/>
      <c r="BU91" s="91"/>
      <c r="BV91" s="91"/>
      <c r="BW91" s="91"/>
      <c r="BX91" s="91"/>
      <c r="BY91" s="91"/>
      <c r="BZ91" s="91"/>
      <c r="CA91" s="91"/>
      <c r="CB91" s="91"/>
      <c r="CC91" s="91">
        <v>2229</v>
      </c>
      <c r="CD91" s="91">
        <v>2595</v>
      </c>
      <c r="CE91" s="91">
        <v>2387</v>
      </c>
      <c r="CF91" s="91">
        <v>4299</v>
      </c>
      <c r="CG91" s="91">
        <v>2476</v>
      </c>
      <c r="CH91" s="91">
        <v>2681</v>
      </c>
      <c r="CI91" s="91">
        <v>2547</v>
      </c>
      <c r="CJ91" s="91">
        <v>2764</v>
      </c>
      <c r="CK91" s="91">
        <v>3496</v>
      </c>
      <c r="CL91" s="91">
        <v>3035</v>
      </c>
      <c r="CM91" s="91">
        <v>4266</v>
      </c>
      <c r="CN91" s="91">
        <f>13311-10200</f>
        <v>3111</v>
      </c>
      <c r="CO91" s="91">
        <v>3297</v>
      </c>
      <c r="CP91" s="91">
        <f>8838-5500</f>
        <v>3338</v>
      </c>
      <c r="CQ91" s="91">
        <v>3974</v>
      </c>
      <c r="CR91" s="91">
        <v>3480</v>
      </c>
      <c r="CS91" s="91">
        <v>5838</v>
      </c>
      <c r="CT91" s="91"/>
      <c r="CU91" s="91"/>
      <c r="CV91" s="91"/>
      <c r="CW91" s="91"/>
      <c r="CX91" s="91"/>
      <c r="CY91" s="91"/>
      <c r="CZ91" s="91"/>
      <c r="DA91" s="73"/>
      <c r="DB91" s="91">
        <f>SUM(C91:F91)-0.1</f>
        <v>2456.4</v>
      </c>
      <c r="DC91" s="91">
        <f>SUM(G91:J91)</f>
        <v>2677.2</v>
      </c>
      <c r="DD91" s="91">
        <f>SUM(K91:N91)</f>
        <v>3178.1</v>
      </c>
      <c r="DE91" s="91">
        <f>SUM(O91:R91)</f>
        <v>3730.2</v>
      </c>
      <c r="DF91" s="91">
        <f>SUM(S91:V91)</f>
        <v>3829</v>
      </c>
      <c r="DG91" s="91">
        <f>SUM(W91:Z91)</f>
        <v>3965.8</v>
      </c>
      <c r="DH91" s="91">
        <f>SUM(AA91:AD91)</f>
        <v>3175.9</v>
      </c>
      <c r="DI91" s="91">
        <f>SUM(AE91:AH91)</f>
        <v>4805.2999999999993</v>
      </c>
      <c r="DJ91" s="91">
        <f>SUM(AI91:AL91)</f>
        <v>5661.5</v>
      </c>
      <c r="DK91" s="91">
        <f>SUM(AM91:AP91)</f>
        <v>8122.1</v>
      </c>
      <c r="DL91" s="91">
        <f>SUM(AQ91:AT91)</f>
        <v>7939.2999999999993</v>
      </c>
      <c r="DM91" s="91"/>
      <c r="DN91" s="91"/>
      <c r="DO91" s="91"/>
      <c r="DP91" s="91"/>
      <c r="DQ91" s="91"/>
      <c r="DR91" s="91"/>
      <c r="DS91" s="91"/>
      <c r="DT91" s="91"/>
      <c r="DU91" s="91"/>
      <c r="DV91" s="92">
        <f t="shared" si="177"/>
        <v>11843</v>
      </c>
      <c r="DW91" s="92">
        <f>SUM(CI91:CL91)</f>
        <v>11842</v>
      </c>
      <c r="DX91" s="92">
        <f>SUM(CM91:CP91)</f>
        <v>14012</v>
      </c>
      <c r="DY91" s="91"/>
      <c r="DZ91" s="91"/>
      <c r="EA91" s="91"/>
      <c r="EC91" s="85"/>
    </row>
    <row r="92" spans="2:140" s="90" customFormat="1" ht="12.75" customHeight="1">
      <c r="B92" s="98" t="s">
        <v>62</v>
      </c>
      <c r="C92" s="91">
        <f t="shared" ref="C92:N92" si="179">SUM(C88:C91)</f>
        <v>2772.73</v>
      </c>
      <c r="D92" s="91">
        <f t="shared" si="179"/>
        <v>2966.73</v>
      </c>
      <c r="E92" s="91">
        <f t="shared" si="179"/>
        <v>2946.24</v>
      </c>
      <c r="F92" s="91">
        <f t="shared" si="179"/>
        <v>3096.2000000000003</v>
      </c>
      <c r="G92" s="91">
        <f t="shared" si="179"/>
        <v>2737.8</v>
      </c>
      <c r="H92" s="91">
        <f t="shared" si="179"/>
        <v>2936.2</v>
      </c>
      <c r="I92" s="91">
        <f t="shared" si="179"/>
        <v>3057.7000000000003</v>
      </c>
      <c r="J92" s="91">
        <f t="shared" si="179"/>
        <v>3502.9000000000005</v>
      </c>
      <c r="K92" s="92">
        <f t="shared" si="179"/>
        <v>3314.3999999999996</v>
      </c>
      <c r="L92" s="92">
        <f t="shared" si="179"/>
        <v>3364.8</v>
      </c>
      <c r="M92" s="92">
        <f t="shared" si="179"/>
        <v>3323.5</v>
      </c>
      <c r="N92" s="92">
        <f t="shared" si="179"/>
        <v>3917.2999999999997</v>
      </c>
      <c r="O92" s="92">
        <f t="shared" ref="O92:AH92" si="180">O91+O90</f>
        <v>2448.6999999999998</v>
      </c>
      <c r="P92" s="92">
        <f t="shared" si="180"/>
        <v>2461.1999999999998</v>
      </c>
      <c r="Q92" s="92">
        <f t="shared" si="180"/>
        <v>2637.2</v>
      </c>
      <c r="R92" s="92">
        <f t="shared" si="180"/>
        <v>2870.4</v>
      </c>
      <c r="S92" s="92">
        <f t="shared" si="180"/>
        <v>2459.9</v>
      </c>
      <c r="T92" s="92">
        <f t="shared" si="180"/>
        <v>2702.1</v>
      </c>
      <c r="U92" s="92">
        <f t="shared" si="180"/>
        <v>2603.8000000000002</v>
      </c>
      <c r="V92" s="92">
        <f t="shared" si="180"/>
        <v>2937</v>
      </c>
      <c r="W92" s="92">
        <f t="shared" si="180"/>
        <v>2602</v>
      </c>
      <c r="X92" s="92">
        <f t="shared" si="180"/>
        <v>2610.6999999999998</v>
      </c>
      <c r="Y92" s="92">
        <f t="shared" si="180"/>
        <v>3316</v>
      </c>
      <c r="Z92" s="92">
        <f t="shared" si="180"/>
        <v>3479.5</v>
      </c>
      <c r="AA92" s="92">
        <f t="shared" si="180"/>
        <v>2832</v>
      </c>
      <c r="AB92" s="92">
        <f t="shared" si="180"/>
        <v>3114.2</v>
      </c>
      <c r="AC92" s="92">
        <f t="shared" si="180"/>
        <v>3066.8</v>
      </c>
      <c r="AD92" s="92"/>
      <c r="AE92" s="92">
        <f>AE91+AE90</f>
        <v>2892.7</v>
      </c>
      <c r="AF92" s="92">
        <f t="shared" si="180"/>
        <v>3099.5</v>
      </c>
      <c r="AG92" s="92">
        <f>AG91+AG90</f>
        <v>2901.3999999999996</v>
      </c>
      <c r="AH92" s="92">
        <f t="shared" si="180"/>
        <v>3248.7</v>
      </c>
      <c r="AI92" s="92">
        <f t="shared" ref="AI92:AN92" si="181">AI91+AI90</f>
        <v>2762.1000000000004</v>
      </c>
      <c r="AJ92" s="92">
        <f t="shared" si="181"/>
        <v>2947.8</v>
      </c>
      <c r="AK92" s="92">
        <f t="shared" si="181"/>
        <v>2979.5</v>
      </c>
      <c r="AL92" s="92">
        <f>AL91+AL90</f>
        <v>5174.2</v>
      </c>
      <c r="AM92" s="92">
        <f t="shared" si="181"/>
        <v>5160.5</v>
      </c>
      <c r="AN92" s="92">
        <f t="shared" si="181"/>
        <v>5135.1000000000004</v>
      </c>
      <c r="AO92" s="92">
        <f>AO91+AO90</f>
        <v>4967.7999999999993</v>
      </c>
      <c r="AP92" s="92">
        <f>AP91+AP90</f>
        <v>5583</v>
      </c>
      <c r="AQ92" s="92">
        <f>AQ91+AQ90</f>
        <v>4894</v>
      </c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2"/>
      <c r="BW92" s="92"/>
      <c r="BX92" s="92"/>
      <c r="BY92" s="92"/>
      <c r="BZ92" s="92"/>
      <c r="CA92" s="92"/>
      <c r="CB92" s="92"/>
      <c r="CC92" s="92">
        <f>+CC90+CC91</f>
        <v>4249</v>
      </c>
      <c r="CD92" s="92">
        <f>+CD90+CD91</f>
        <v>5162</v>
      </c>
      <c r="CE92" s="92">
        <f>+CE90+CE91</f>
        <v>4561</v>
      </c>
      <c r="CF92" s="92">
        <f>+CF90+CF91</f>
        <v>6553</v>
      </c>
      <c r="CG92" s="92">
        <f t="shared" ref="CG92" si="182">+CG90+CG91</f>
        <v>4746</v>
      </c>
      <c r="CH92" s="92">
        <f>+CH90+CH91</f>
        <v>5275</v>
      </c>
      <c r="CI92" s="92">
        <f>+CI90+CI91</f>
        <v>4799</v>
      </c>
      <c r="CJ92" s="92">
        <f>+CJ90+CJ91</f>
        <v>5184</v>
      </c>
      <c r="CK92" s="92">
        <f t="shared" ref="CK92:CQ92" si="183">+CK90+CK91</f>
        <v>5968</v>
      </c>
      <c r="CL92" s="92">
        <f t="shared" si="183"/>
        <v>5663</v>
      </c>
      <c r="CM92" s="92">
        <f>+CM90+CM91</f>
        <v>6724</v>
      </c>
      <c r="CN92" s="92">
        <f t="shared" si="183"/>
        <v>5736</v>
      </c>
      <c r="CO92" s="92">
        <f t="shared" si="183"/>
        <v>5759</v>
      </c>
      <c r="CP92" s="92">
        <f t="shared" si="183"/>
        <v>6089</v>
      </c>
      <c r="CQ92" s="92">
        <f t="shared" si="183"/>
        <v>6431</v>
      </c>
      <c r="CR92" s="92">
        <f t="shared" ref="CR92:CT92" si="184">+CR90+CR91</f>
        <v>6164</v>
      </c>
      <c r="CS92" s="92">
        <f t="shared" si="184"/>
        <v>8495</v>
      </c>
      <c r="CT92" s="92">
        <f t="shared" si="184"/>
        <v>0</v>
      </c>
      <c r="CU92" s="92"/>
      <c r="CV92" s="92"/>
      <c r="CW92" s="92"/>
      <c r="CX92" s="92"/>
      <c r="CY92" s="92"/>
      <c r="CZ92" s="92"/>
      <c r="DA92" s="93"/>
      <c r="DB92" s="92">
        <f t="shared" ref="DB92:DJ92" si="185">DB91+DB90</f>
        <v>8157</v>
      </c>
      <c r="DC92" s="92">
        <f t="shared" si="185"/>
        <v>8329.3999999999978</v>
      </c>
      <c r="DD92" s="92">
        <f t="shared" si="185"/>
        <v>9573</v>
      </c>
      <c r="DE92" s="92">
        <f t="shared" si="185"/>
        <v>10417.5</v>
      </c>
      <c r="DF92" s="92">
        <f t="shared" si="185"/>
        <v>10702.8</v>
      </c>
      <c r="DG92" s="92">
        <f t="shared" si="185"/>
        <v>12008.2</v>
      </c>
      <c r="DH92" s="92">
        <f t="shared" si="185"/>
        <v>9013</v>
      </c>
      <c r="DI92" s="92">
        <f t="shared" si="185"/>
        <v>12142.3</v>
      </c>
      <c r="DJ92" s="92">
        <f t="shared" si="185"/>
        <v>13863.599999999999</v>
      </c>
      <c r="DK92" s="92">
        <f>DK91+DK90</f>
        <v>20846.400000000001</v>
      </c>
      <c r="DL92" s="92">
        <f>DL91+DL90</f>
        <v>21231.421999999999</v>
      </c>
      <c r="DM92" s="92">
        <f t="shared" ref="DM92:DT92" si="186">DM91+DM90</f>
        <v>12999.250000000002</v>
      </c>
      <c r="DN92" s="92">
        <f t="shared" si="186"/>
        <v>11976.704000000002</v>
      </c>
      <c r="DO92" s="92">
        <f t="shared" si="186"/>
        <v>11403.990000000002</v>
      </c>
      <c r="DP92" s="92">
        <f t="shared" si="186"/>
        <v>10664.460000000001</v>
      </c>
      <c r="DQ92" s="92">
        <f t="shared" si="186"/>
        <v>10747.890000000001</v>
      </c>
      <c r="DR92" s="92">
        <f t="shared" si="186"/>
        <v>10832.94</v>
      </c>
      <c r="DS92" s="92">
        <f t="shared" si="186"/>
        <v>11419.380000000001</v>
      </c>
      <c r="DT92" s="92">
        <f t="shared" si="186"/>
        <v>12647.070000000002</v>
      </c>
      <c r="DU92" s="92">
        <f t="shared" ref="DU92:EA92" si="187">DU91+DU90</f>
        <v>12647.070000000002</v>
      </c>
      <c r="DV92" s="92">
        <f t="shared" si="187"/>
        <v>21135</v>
      </c>
      <c r="DW92" s="92">
        <f>DW91+DW90</f>
        <v>21614</v>
      </c>
      <c r="DX92" s="92">
        <f>DX91+DX90</f>
        <v>24308</v>
      </c>
      <c r="DY92" s="92">
        <f t="shared" si="187"/>
        <v>10296</v>
      </c>
      <c r="DZ92" s="92">
        <f t="shared" si="187"/>
        <v>10296</v>
      </c>
      <c r="EA92" s="92">
        <f t="shared" si="187"/>
        <v>10296</v>
      </c>
      <c r="EB92" s="92">
        <f t="shared" ref="EB92:EJ92" si="188">EB91+EB90</f>
        <v>15749.719610980004</v>
      </c>
      <c r="EC92" s="92">
        <f t="shared" si="188"/>
        <v>13807.730914986152</v>
      </c>
      <c r="ED92" s="92">
        <f t="shared" si="188"/>
        <v>11626.742338078728</v>
      </c>
      <c r="EE92" s="92">
        <f t="shared" si="188"/>
        <v>9635.7976193148879</v>
      </c>
      <c r="EF92" s="92">
        <f t="shared" si="188"/>
        <v>8751.8723403422337</v>
      </c>
      <c r="EG92" s="92">
        <f t="shared" si="188"/>
        <v>8150.0375600312846</v>
      </c>
      <c r="EH92" s="92">
        <f t="shared" si="188"/>
        <v>7601.53320496989</v>
      </c>
      <c r="EI92" s="92">
        <f t="shared" si="188"/>
        <v>7202.4876436749919</v>
      </c>
      <c r="EJ92" s="92">
        <f t="shared" si="188"/>
        <v>6992.786296348886</v>
      </c>
    </row>
    <row r="93" spans="2:140" s="90" customFormat="1" ht="12.75" customHeight="1">
      <c r="B93" s="98" t="s">
        <v>63</v>
      </c>
      <c r="C93" s="91">
        <f t="shared" ref="C93:N93" si="189">C87-C92</f>
        <v>2123.0700000000002</v>
      </c>
      <c r="D93" s="91">
        <f t="shared" si="189"/>
        <v>2321.0700000000002</v>
      </c>
      <c r="E93" s="91">
        <f t="shared" si="189"/>
        <v>2497.46</v>
      </c>
      <c r="F93" s="91">
        <f t="shared" si="189"/>
        <v>2475.4</v>
      </c>
      <c r="G93" s="91">
        <f t="shared" si="189"/>
        <v>-2737.8</v>
      </c>
      <c r="H93" s="91">
        <f t="shared" si="189"/>
        <v>-2936.2</v>
      </c>
      <c r="I93" s="91">
        <f t="shared" si="189"/>
        <v>-3057.7000000000003</v>
      </c>
      <c r="J93" s="91">
        <f t="shared" si="189"/>
        <v>-3502.9000000000005</v>
      </c>
      <c r="K93" s="91">
        <f t="shared" si="189"/>
        <v>-3314.3999999999996</v>
      </c>
      <c r="L93" s="91">
        <f t="shared" si="189"/>
        <v>-3364.8</v>
      </c>
      <c r="M93" s="91">
        <f t="shared" si="189"/>
        <v>-3323.5</v>
      </c>
      <c r="N93" s="91">
        <f t="shared" si="189"/>
        <v>-3917.2999999999997</v>
      </c>
      <c r="O93" s="91" t="e">
        <f t="shared" ref="O93:AH93" si="190">O89-O92</f>
        <v>#REF!</v>
      </c>
      <c r="P93" s="91" t="e">
        <f t="shared" si="190"/>
        <v>#REF!</v>
      </c>
      <c r="Q93" s="91">
        <f t="shared" si="190"/>
        <v>-2637.2</v>
      </c>
      <c r="R93" s="91">
        <f t="shared" si="190"/>
        <v>-2870.4</v>
      </c>
      <c r="S93" s="91">
        <f t="shared" si="190"/>
        <v>-2459.9</v>
      </c>
      <c r="T93" s="91">
        <f t="shared" si="190"/>
        <v>-2702.1</v>
      </c>
      <c r="U93" s="91">
        <f t="shared" si="190"/>
        <v>-2603.8000000000002</v>
      </c>
      <c r="V93" s="91">
        <f t="shared" si="190"/>
        <v>-2937</v>
      </c>
      <c r="W93" s="91">
        <f t="shared" si="190"/>
        <v>-2602</v>
      </c>
      <c r="X93" s="91">
        <f t="shared" si="190"/>
        <v>-2610.6999999999998</v>
      </c>
      <c r="Y93" s="91">
        <f t="shared" si="190"/>
        <v>-3316</v>
      </c>
      <c r="Z93" s="91">
        <f t="shared" si="190"/>
        <v>-3479.5</v>
      </c>
      <c r="AA93" s="91">
        <f t="shared" si="190"/>
        <v>-2832</v>
      </c>
      <c r="AB93" s="91">
        <f t="shared" si="190"/>
        <v>-3114.2</v>
      </c>
      <c r="AC93" s="92">
        <f t="shared" si="190"/>
        <v>-3066.8</v>
      </c>
      <c r="AD93" s="92"/>
      <c r="AE93" s="92">
        <f>AE89-AE92</f>
        <v>-2892.7</v>
      </c>
      <c r="AF93" s="92">
        <f t="shared" si="190"/>
        <v>-3099.5</v>
      </c>
      <c r="AG93" s="92">
        <f>AG89-AG92</f>
        <v>-2901.3999999999996</v>
      </c>
      <c r="AH93" s="92">
        <f t="shared" si="190"/>
        <v>-3248.7</v>
      </c>
      <c r="AI93" s="92">
        <f t="shared" ref="AI93:AN93" si="191">AI89-AI92</f>
        <v>-2762.1000000000004</v>
      </c>
      <c r="AJ93" s="92">
        <f t="shared" si="191"/>
        <v>-2947.8</v>
      </c>
      <c r="AK93" s="92">
        <f t="shared" si="191"/>
        <v>-2979.5</v>
      </c>
      <c r="AL93" s="92">
        <f t="shared" si="191"/>
        <v>3377.0000000000009</v>
      </c>
      <c r="AM93" s="92">
        <f t="shared" si="191"/>
        <v>3450.7999999999993</v>
      </c>
      <c r="AN93" s="92">
        <f t="shared" si="191"/>
        <v>-5135.1000000000004</v>
      </c>
      <c r="AO93" s="92">
        <f>AO89-AO92</f>
        <v>-4967.7999999999993</v>
      </c>
      <c r="AP93" s="92">
        <f>AP89-AP92</f>
        <v>-5583</v>
      </c>
      <c r="AQ93" s="92">
        <f>AQ89-AQ92</f>
        <v>-4894</v>
      </c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  <c r="BW93" s="92"/>
      <c r="BX93" s="92"/>
      <c r="BY93" s="92"/>
      <c r="BZ93" s="92"/>
      <c r="CA93" s="92"/>
      <c r="CB93" s="92"/>
      <c r="CC93" s="92">
        <f>+CC89-CC92</f>
        <v>4108</v>
      </c>
      <c r="CD93" s="92">
        <f>+CD89-CD92</f>
        <v>4613</v>
      </c>
      <c r="CE93" s="92">
        <f>+CE89-CE92</f>
        <v>3579</v>
      </c>
      <c r="CF93" s="92">
        <f>+CF89-CF92</f>
        <v>2165</v>
      </c>
      <c r="CG93" s="92">
        <f t="shared" ref="CG93" si="192">+CG89-CG92</f>
        <v>5352</v>
      </c>
      <c r="CH93" s="92">
        <f>+CH89-CH92</f>
        <v>4835</v>
      </c>
      <c r="CI93" s="92">
        <f>+CI89-CI92</f>
        <v>6448</v>
      </c>
      <c r="CJ93" s="92">
        <f>+CJ89-CJ92</f>
        <v>5711</v>
      </c>
      <c r="CK93" s="92">
        <f t="shared" ref="CK93:CQ93" si="193">+CK89-CK92</f>
        <v>5557</v>
      </c>
      <c r="CL93" s="92">
        <f t="shared" si="193"/>
        <v>4806</v>
      </c>
      <c r="CM93" s="92">
        <f>+CM89-CM92</f>
        <v>4411</v>
      </c>
      <c r="CN93" s="92">
        <f t="shared" si="193"/>
        <v>5774</v>
      </c>
      <c r="CO93" s="92">
        <f t="shared" si="193"/>
        <v>6524</v>
      </c>
      <c r="CP93" s="92">
        <f t="shared" si="193"/>
        <v>5201</v>
      </c>
      <c r="CQ93" s="92">
        <f t="shared" si="193"/>
        <v>6383</v>
      </c>
      <c r="CR93" s="92">
        <f t="shared" ref="CR93:CT93" si="194">+CR89-CR92</f>
        <v>6875</v>
      </c>
      <c r="CS93" s="92">
        <f t="shared" si="194"/>
        <v>4913</v>
      </c>
      <c r="CT93" s="92">
        <f t="shared" si="194"/>
        <v>0</v>
      </c>
      <c r="CU93" s="92"/>
      <c r="CV93" s="92"/>
      <c r="CW93" s="92"/>
      <c r="CX93" s="92"/>
      <c r="CY93" s="92"/>
      <c r="CZ93" s="92"/>
      <c r="DA93" s="93"/>
      <c r="DB93" s="92">
        <f t="shared" ref="DB93:DJ93" si="195">DB89-DB92</f>
        <v>9417.2000000000007</v>
      </c>
      <c r="DC93" s="92">
        <f t="shared" si="195"/>
        <v>-8329.3999999999978</v>
      </c>
      <c r="DD93" s="92">
        <f t="shared" si="195"/>
        <v>-9573</v>
      </c>
      <c r="DE93" s="92">
        <f t="shared" si="195"/>
        <v>-10417.5</v>
      </c>
      <c r="DF93" s="92">
        <f t="shared" si="195"/>
        <v>-10702.8</v>
      </c>
      <c r="DG93" s="92">
        <f t="shared" si="195"/>
        <v>-12008.2</v>
      </c>
      <c r="DH93" s="92">
        <f t="shared" si="195"/>
        <v>-9013</v>
      </c>
      <c r="DI93" s="92">
        <f t="shared" si="195"/>
        <v>-12142.3</v>
      </c>
      <c r="DJ93" s="92">
        <f t="shared" si="195"/>
        <v>-13863.599999999999</v>
      </c>
      <c r="DK93" s="92">
        <f>DK89-DK92</f>
        <v>-20846.400000000001</v>
      </c>
      <c r="DL93" s="92">
        <f>DL89-DL92</f>
        <v>14710.092000000004</v>
      </c>
      <c r="DM93" s="92">
        <f t="shared" ref="DM93:DT93" si="196">DM89-DM92</f>
        <v>-12999.250000000002</v>
      </c>
      <c r="DN93" s="92">
        <f t="shared" si="196"/>
        <v>-11976.704000000002</v>
      </c>
      <c r="DO93" s="92">
        <f t="shared" si="196"/>
        <v>-11403.990000000002</v>
      </c>
      <c r="DP93" s="92">
        <f t="shared" si="196"/>
        <v>-10664.460000000001</v>
      </c>
      <c r="DQ93" s="92">
        <f t="shared" si="196"/>
        <v>-10747.890000000001</v>
      </c>
      <c r="DR93" s="92">
        <f t="shared" si="196"/>
        <v>-10832.94</v>
      </c>
      <c r="DS93" s="92">
        <f t="shared" si="196"/>
        <v>-11419.380000000001</v>
      </c>
      <c r="DT93" s="92">
        <f t="shared" si="196"/>
        <v>-12647.070000000002</v>
      </c>
      <c r="DU93" s="92">
        <f t="shared" ref="DU93:EA93" si="197">DU89-DU92</f>
        <v>-12647.070000000002</v>
      </c>
      <c r="DV93" s="92">
        <f t="shared" si="197"/>
        <v>15931</v>
      </c>
      <c r="DW93" s="92">
        <f>DW89-DW92</f>
        <v>22522</v>
      </c>
      <c r="DX93" s="92">
        <f>DX89-DX92</f>
        <v>21960</v>
      </c>
      <c r="DY93" s="92">
        <f t="shared" si="197"/>
        <v>40112.168000000005</v>
      </c>
      <c r="DZ93" s="92">
        <f t="shared" si="197"/>
        <v>40694.923360000008</v>
      </c>
      <c r="EA93" s="92">
        <f t="shared" si="197"/>
        <v>40180.105031999999</v>
      </c>
      <c r="EB93" s="92">
        <f t="shared" ref="EB93:EJ93" si="198">EB89-EB92</f>
        <v>34649.383144156011</v>
      </c>
      <c r="EC93" s="92">
        <f t="shared" si="198"/>
        <v>30377.008012969534</v>
      </c>
      <c r="ED93" s="92">
        <f t="shared" si="198"/>
        <v>25578.833143773198</v>
      </c>
      <c r="EE93" s="92">
        <f t="shared" si="198"/>
        <v>21198.754762492754</v>
      </c>
      <c r="EF93" s="92">
        <f t="shared" si="198"/>
        <v>19254.119148752914</v>
      </c>
      <c r="EG93" s="92">
        <f t="shared" si="198"/>
        <v>17930.082632068828</v>
      </c>
      <c r="EH93" s="92">
        <f t="shared" si="198"/>
        <v>16723.373050933762</v>
      </c>
      <c r="EI93" s="92">
        <f t="shared" si="198"/>
        <v>15845.472816084985</v>
      </c>
      <c r="EJ93" s="92">
        <f t="shared" si="198"/>
        <v>15384.129851967549</v>
      </c>
    </row>
    <row r="94" spans="2:140" s="81" customFormat="1" ht="12.75" customHeight="1">
      <c r="B94" s="98" t="s">
        <v>64</v>
      </c>
      <c r="C94" s="91"/>
      <c r="D94" s="91"/>
      <c r="E94" s="91"/>
      <c r="F94" s="91"/>
      <c r="G94" s="91">
        <f>-203.9-H94+2</f>
        <v>-96.4</v>
      </c>
      <c r="H94" s="91">
        <v>-105.5</v>
      </c>
      <c r="I94" s="91">
        <v>-106.5</v>
      </c>
      <c r="J94" s="91">
        <v>-107.3</v>
      </c>
      <c r="K94" s="92">
        <v>-87.5</v>
      </c>
      <c r="L94" s="92">
        <v>-82.1</v>
      </c>
      <c r="M94" s="92">
        <v>-66.900000000000006</v>
      </c>
      <c r="N94" s="92">
        <v>-72.2</v>
      </c>
      <c r="O94" s="92">
        <v>65.7</v>
      </c>
      <c r="P94" s="92">
        <v>68.5</v>
      </c>
      <c r="Q94" s="92">
        <v>75.7</v>
      </c>
      <c r="R94" s="92">
        <v>90.2</v>
      </c>
      <c r="S94" s="92">
        <v>93.8</v>
      </c>
      <c r="T94" s="92">
        <v>98.7</v>
      </c>
      <c r="U94" s="92">
        <v>122.3</v>
      </c>
      <c r="V94" s="92">
        <v>166</v>
      </c>
      <c r="W94" s="92">
        <v>181.7</v>
      </c>
      <c r="X94" s="92">
        <v>187.9</v>
      </c>
      <c r="Y94" s="92">
        <v>195</v>
      </c>
      <c r="Z94" s="92">
        <v>199.7</v>
      </c>
      <c r="AA94" s="92">
        <v>181.7</v>
      </c>
      <c r="AB94" s="91">
        <v>172.3</v>
      </c>
      <c r="AC94" s="92">
        <v>186.9</v>
      </c>
      <c r="AD94" s="92"/>
      <c r="AE94" s="92"/>
      <c r="AF94" s="92">
        <v>81.900000000000006</v>
      </c>
      <c r="AG94" s="92">
        <v>61.8</v>
      </c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2"/>
      <c r="BW94" s="92"/>
      <c r="BX94" s="92"/>
      <c r="BY94" s="92"/>
      <c r="BZ94" s="92"/>
      <c r="CA94" s="92"/>
      <c r="CB94" s="92"/>
      <c r="CC94" s="92"/>
      <c r="CD94" s="92"/>
      <c r="CE94" s="92"/>
      <c r="CF94" s="92"/>
      <c r="CG94" s="92"/>
      <c r="CH94" s="92"/>
      <c r="CI94" s="92"/>
      <c r="CJ94" s="92"/>
      <c r="CK94" s="92"/>
      <c r="CL94" s="92"/>
      <c r="CM94" s="92"/>
      <c r="CN94" s="92"/>
      <c r="CO94" s="92"/>
      <c r="CP94" s="92"/>
      <c r="CQ94" s="92"/>
      <c r="CR94" s="92"/>
      <c r="CS94" s="92"/>
      <c r="CT94" s="92"/>
      <c r="CU94" s="92"/>
      <c r="CV94" s="92"/>
      <c r="CW94" s="92"/>
      <c r="CX94" s="92"/>
      <c r="CY94" s="92"/>
      <c r="CZ94" s="92"/>
      <c r="DA94" s="73"/>
      <c r="DB94" s="92"/>
      <c r="DC94" s="92">
        <f t="shared" ref="DC94:DC99" si="199">SUM(G94:J94)</f>
        <v>-415.7</v>
      </c>
      <c r="DD94" s="92">
        <f t="shared" ref="DD94:DD99" si="200">SUM(K94:N94)</f>
        <v>-308.7</v>
      </c>
      <c r="DE94" s="92">
        <f t="shared" ref="DE94:DE99" si="201">SUM(O94:R94)</f>
        <v>300.09999999999997</v>
      </c>
      <c r="DF94" s="92">
        <f t="shared" ref="DF94:DF99" si="202">SUM(S94:V94)</f>
        <v>480.8</v>
      </c>
      <c r="DG94" s="91">
        <f t="shared" ref="DG94:DG99" si="203">SUM(W94:Z94)</f>
        <v>764.3</v>
      </c>
      <c r="DH94" s="91">
        <f t="shared" ref="DH94:DH99" si="204">SUM(AA94:AD94)</f>
        <v>540.9</v>
      </c>
      <c r="DI94" s="91">
        <f>SUM(AE94:AH94)</f>
        <v>143.69999999999999</v>
      </c>
      <c r="DJ94" s="92"/>
      <c r="DK94" s="92"/>
      <c r="DL94" s="92"/>
      <c r="DM94" s="92"/>
      <c r="DN94" s="92"/>
      <c r="DO94" s="92"/>
      <c r="DP94" s="92"/>
      <c r="DQ94" s="92"/>
      <c r="DR94" s="92"/>
      <c r="DS94" s="92"/>
      <c r="DT94" s="92"/>
      <c r="DU94" s="92"/>
      <c r="DV94" s="92"/>
      <c r="DW94" s="92"/>
      <c r="DX94" s="92"/>
      <c r="DY94" s="92"/>
      <c r="DZ94" s="92"/>
      <c r="EA94" s="92"/>
      <c r="EC94" s="85"/>
    </row>
    <row r="95" spans="2:140" s="81" customFormat="1" ht="12.75" customHeight="1">
      <c r="B95" s="98" t="s">
        <v>65</v>
      </c>
      <c r="C95" s="91"/>
      <c r="D95" s="91"/>
      <c r="E95" s="91"/>
      <c r="F95" s="91"/>
      <c r="G95" s="91">
        <f>192.8-H95</f>
        <v>95.300000000000011</v>
      </c>
      <c r="H95" s="91">
        <v>97.5</v>
      </c>
      <c r="I95" s="91">
        <v>99.9</v>
      </c>
      <c r="J95" s="91">
        <v>98.1</v>
      </c>
      <c r="K95" s="92">
        <v>94.9</v>
      </c>
      <c r="L95" s="92">
        <v>94.9</v>
      </c>
      <c r="M95" s="92">
        <v>81.099999999999994</v>
      </c>
      <c r="N95" s="92">
        <v>80</v>
      </c>
      <c r="O95" s="92">
        <v>72.8</v>
      </c>
      <c r="P95" s="92">
        <v>71.599999999999994</v>
      </c>
      <c r="Q95" s="92">
        <v>72.400000000000006</v>
      </c>
      <c r="R95" s="92">
        <v>77</v>
      </c>
      <c r="S95" s="92">
        <v>84.5</v>
      </c>
      <c r="T95" s="92">
        <v>93.1</v>
      </c>
      <c r="U95" s="92">
        <v>99.6</v>
      </c>
      <c r="V95" s="92">
        <v>108.2</v>
      </c>
      <c r="W95" s="92">
        <v>98.2</v>
      </c>
      <c r="X95" s="92">
        <v>91.9</v>
      </c>
      <c r="Y95" s="92">
        <v>87.7</v>
      </c>
      <c r="Z95" s="92">
        <v>97.2</v>
      </c>
      <c r="AA95" s="92">
        <v>102.4</v>
      </c>
      <c r="AB95" s="91">
        <v>103.3</v>
      </c>
      <c r="AC95" s="91">
        <v>91.5</v>
      </c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  <c r="BW95" s="92"/>
      <c r="BX95" s="92"/>
      <c r="BY95" s="92"/>
      <c r="BZ95" s="92"/>
      <c r="CA95" s="92"/>
      <c r="CB95" s="92"/>
      <c r="CC95" s="92">
        <v>-35</v>
      </c>
      <c r="CD95" s="92">
        <v>-100</v>
      </c>
      <c r="CE95" s="92">
        <v>-134</v>
      </c>
      <c r="CF95" s="92">
        <v>-38</v>
      </c>
      <c r="CG95" s="92">
        <v>-244</v>
      </c>
      <c r="CH95" s="92">
        <v>-51</v>
      </c>
      <c r="CI95" s="92">
        <v>-139</v>
      </c>
      <c r="CJ95" s="92">
        <v>-202</v>
      </c>
      <c r="CK95" s="92">
        <v>-105</v>
      </c>
      <c r="CL95" s="92">
        <v>86</v>
      </c>
      <c r="CM95" s="92">
        <v>70</v>
      </c>
      <c r="CN95" s="92">
        <v>-19</v>
      </c>
      <c r="CO95" s="92">
        <v>-133</v>
      </c>
      <c r="CP95" s="92">
        <v>-174</v>
      </c>
      <c r="CQ95" s="92">
        <v>-87</v>
      </c>
      <c r="CR95" s="92">
        <v>-108</v>
      </c>
      <c r="CS95" s="92">
        <v>193</v>
      </c>
      <c r="CT95" s="92"/>
      <c r="CU95" s="92"/>
      <c r="CV95" s="92"/>
      <c r="CW95" s="92"/>
      <c r="CX95" s="92"/>
      <c r="CY95" s="92"/>
      <c r="CZ95" s="92"/>
      <c r="DA95" s="73"/>
      <c r="DB95" s="92"/>
      <c r="DC95" s="92">
        <f t="shared" si="199"/>
        <v>390.80000000000007</v>
      </c>
      <c r="DD95" s="92">
        <f t="shared" si="200"/>
        <v>350.9</v>
      </c>
      <c r="DE95" s="92">
        <f t="shared" si="201"/>
        <v>293.79999999999995</v>
      </c>
      <c r="DF95" s="92">
        <f t="shared" si="202"/>
        <v>385.4</v>
      </c>
      <c r="DG95" s="91">
        <f t="shared" si="203"/>
        <v>375</v>
      </c>
      <c r="DH95" s="91">
        <f t="shared" si="204"/>
        <v>297.2</v>
      </c>
      <c r="DI95" s="92"/>
      <c r="DJ95" s="96"/>
      <c r="DK95" s="96"/>
      <c r="DL95" s="96"/>
      <c r="DM95" s="96"/>
      <c r="DN95" s="96"/>
      <c r="DO95" s="96"/>
      <c r="DP95" s="82"/>
      <c r="DQ95" s="82"/>
      <c r="DR95" s="82"/>
      <c r="DS95" s="82"/>
      <c r="DT95" s="82"/>
      <c r="DU95" s="82"/>
      <c r="DV95" s="92">
        <f t="shared" ref="DV95" si="205">SUM(CE95:CH95)</f>
        <v>-467</v>
      </c>
      <c r="DW95" s="92">
        <f>SUM(CI95:CL95)</f>
        <v>-360</v>
      </c>
      <c r="DX95" s="92">
        <f t="shared" ref="DX95" si="206">SUM(CM95:CP95)</f>
        <v>-256</v>
      </c>
      <c r="DY95" s="85">
        <f t="shared" ref="DY95:EJ95" si="207">-DX122*$EM$107</f>
        <v>277.10000000000002</v>
      </c>
      <c r="DZ95" s="85">
        <f t="shared" si="207"/>
        <v>-21.663010000000067</v>
      </c>
      <c r="EA95" s="85">
        <f t="shared" si="207"/>
        <v>-327.03740777500013</v>
      </c>
      <c r="EB95" s="85">
        <f t="shared" si="207"/>
        <v>-630.84097607331262</v>
      </c>
      <c r="EC95" s="85">
        <f t="shared" si="207"/>
        <v>-895.44265697503261</v>
      </c>
      <c r="ED95" s="85">
        <f t="shared" si="207"/>
        <v>-1129.9860369996168</v>
      </c>
      <c r="EE95" s="85">
        <f t="shared" si="207"/>
        <v>-1330.3021808554129</v>
      </c>
      <c r="EF95" s="85">
        <f t="shared" si="207"/>
        <v>-1499.2701079305239</v>
      </c>
      <c r="EG95" s="85">
        <f t="shared" si="207"/>
        <v>-1654.9205273556497</v>
      </c>
      <c r="EH95" s="85">
        <f t="shared" si="207"/>
        <v>-1801.8080510513335</v>
      </c>
      <c r="EI95" s="85">
        <f t="shared" si="207"/>
        <v>-1940.7469093162215</v>
      </c>
      <c r="EJ95" s="85">
        <f t="shared" si="207"/>
        <v>-2074.1435572567307</v>
      </c>
    </row>
    <row r="96" spans="2:140" s="81" customFormat="1" ht="3.75" customHeight="1">
      <c r="B96" s="98" t="s">
        <v>66</v>
      </c>
      <c r="C96" s="91"/>
      <c r="D96" s="91"/>
      <c r="E96" s="91"/>
      <c r="F96" s="91"/>
      <c r="G96" s="91">
        <f>2.6-H96</f>
        <v>-2.6999999999999997</v>
      </c>
      <c r="H96" s="91">
        <v>5.3</v>
      </c>
      <c r="I96" s="91">
        <v>8.3000000000000007</v>
      </c>
      <c r="J96" s="91">
        <v>-18.7</v>
      </c>
      <c r="K96" s="92">
        <v>-7.2</v>
      </c>
      <c r="L96" s="92">
        <v>-16.2</v>
      </c>
      <c r="M96" s="92">
        <v>-1.7</v>
      </c>
      <c r="N96" s="92">
        <v>-3.3</v>
      </c>
      <c r="O96" s="92">
        <v>-7.8</v>
      </c>
      <c r="P96" s="92">
        <v>-14.9</v>
      </c>
      <c r="Q96" s="92">
        <v>-2.8</v>
      </c>
      <c r="R96" s="92">
        <v>28.3</v>
      </c>
      <c r="S96" s="92">
        <v>0.7</v>
      </c>
      <c r="T96" s="92">
        <v>8.4</v>
      </c>
      <c r="U96" s="92">
        <v>7.4</v>
      </c>
      <c r="V96" s="92">
        <v>-0.4</v>
      </c>
      <c r="W96" s="92">
        <v>0.4</v>
      </c>
      <c r="X96" s="92">
        <v>-7.4</v>
      </c>
      <c r="Y96" s="92">
        <v>11.5</v>
      </c>
      <c r="Z96" s="92">
        <v>20.5</v>
      </c>
      <c r="AA96" s="92">
        <v>19.600000000000001</v>
      </c>
      <c r="AB96" s="91">
        <v>12</v>
      </c>
      <c r="AC96" s="91">
        <v>8.3000000000000007</v>
      </c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92"/>
      <c r="BW96" s="92"/>
      <c r="BX96" s="92"/>
      <c r="BY96" s="92"/>
      <c r="BZ96" s="92"/>
      <c r="CA96" s="92"/>
      <c r="CB96" s="92"/>
      <c r="CC96" s="92"/>
      <c r="CD96" s="92"/>
      <c r="CE96" s="92"/>
      <c r="CF96" s="92"/>
      <c r="CG96" s="92"/>
      <c r="CH96" s="92"/>
      <c r="CI96" s="92"/>
      <c r="CJ96" s="92"/>
      <c r="CK96" s="92"/>
      <c r="CL96" s="92"/>
      <c r="CM96" s="92"/>
      <c r="CN96" s="92"/>
      <c r="CO96" s="92"/>
      <c r="CP96" s="92"/>
      <c r="CQ96" s="92"/>
      <c r="CR96" s="92"/>
      <c r="CS96" s="92"/>
      <c r="CT96" s="92"/>
      <c r="CU96" s="92"/>
      <c r="CV96" s="92"/>
      <c r="CW96" s="92"/>
      <c r="CX96" s="92"/>
      <c r="CY96" s="92"/>
      <c r="CZ96" s="92"/>
      <c r="DA96" s="73"/>
      <c r="DB96" s="92"/>
      <c r="DC96" s="92">
        <f t="shared" si="199"/>
        <v>-7.7999999999999989</v>
      </c>
      <c r="DD96" s="92">
        <f t="shared" si="200"/>
        <v>-28.4</v>
      </c>
      <c r="DE96" s="92">
        <f t="shared" si="201"/>
        <v>2.8000000000000007</v>
      </c>
      <c r="DF96" s="92">
        <f t="shared" si="202"/>
        <v>16.100000000000001</v>
      </c>
      <c r="DG96" s="91">
        <f t="shared" si="203"/>
        <v>25</v>
      </c>
      <c r="DH96" s="91">
        <f t="shared" si="204"/>
        <v>39.900000000000006</v>
      </c>
      <c r="DI96" s="92"/>
      <c r="DJ96" s="96"/>
      <c r="DK96" s="96"/>
      <c r="DL96" s="96"/>
      <c r="DM96" s="96"/>
      <c r="DN96" s="96"/>
      <c r="DO96" s="96"/>
      <c r="DP96" s="82"/>
      <c r="DQ96" s="82"/>
      <c r="DR96" s="82"/>
      <c r="DS96" s="82"/>
      <c r="DT96" s="82"/>
      <c r="DU96" s="82"/>
      <c r="DV96" s="82"/>
      <c r="DW96" s="92"/>
      <c r="DX96" s="92"/>
      <c r="DY96" s="82"/>
      <c r="DZ96" s="82"/>
      <c r="EA96" s="82"/>
      <c r="EC96" s="85"/>
    </row>
    <row r="97" spans="2:250" s="81" customFormat="1" ht="3.75" customHeight="1">
      <c r="B97" s="98" t="s">
        <v>67</v>
      </c>
      <c r="C97" s="91"/>
      <c r="D97" s="91"/>
      <c r="E97" s="91"/>
      <c r="F97" s="91"/>
      <c r="G97" s="91">
        <f>110.6-H97</f>
        <v>50.699999999999996</v>
      </c>
      <c r="H97" s="91">
        <v>59.9</v>
      </c>
      <c r="I97" s="91">
        <v>59.1</v>
      </c>
      <c r="J97" s="91">
        <v>44.5</v>
      </c>
      <c r="K97" s="92">
        <v>51.7</v>
      </c>
      <c r="L97" s="92">
        <v>40.700000000000003</v>
      </c>
      <c r="M97" s="92">
        <v>39.1</v>
      </c>
      <c r="N97" s="92">
        <v>37.200000000000003</v>
      </c>
      <c r="O97" s="92">
        <v>-39.6</v>
      </c>
      <c r="P97" s="92">
        <v>-36.799999999999997</v>
      </c>
      <c r="Q97" s="92">
        <v>-37.6</v>
      </c>
      <c r="R97" s="92">
        <v>-40.299999999999997</v>
      </c>
      <c r="S97" s="92">
        <v>-30.4</v>
      </c>
      <c r="T97" s="92">
        <v>-30.3</v>
      </c>
      <c r="U97" s="92">
        <v>-30.9</v>
      </c>
      <c r="V97" s="92">
        <v>-30.2</v>
      </c>
      <c r="W97" s="92">
        <v>-29.9</v>
      </c>
      <c r="X97" s="92">
        <v>-30</v>
      </c>
      <c r="Y97" s="92">
        <v>-30.7</v>
      </c>
      <c r="Z97" s="92">
        <v>-29.9</v>
      </c>
      <c r="AA97" s="92">
        <v>-30.6</v>
      </c>
      <c r="AB97" s="91">
        <v>-30.8</v>
      </c>
      <c r="AC97" s="91">
        <v>-30.6</v>
      </c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92"/>
      <c r="BE97" s="92"/>
      <c r="BF97" s="92"/>
      <c r="BG97" s="92"/>
      <c r="BH97" s="92"/>
      <c r="BI97" s="92"/>
      <c r="BJ97" s="92"/>
      <c r="BK97" s="92"/>
      <c r="BL97" s="92"/>
      <c r="BM97" s="92"/>
      <c r="BN97" s="92"/>
      <c r="BO97" s="92"/>
      <c r="BP97" s="92"/>
      <c r="BQ97" s="92"/>
      <c r="BR97" s="92"/>
      <c r="BS97" s="92"/>
      <c r="BT97" s="92"/>
      <c r="BU97" s="92"/>
      <c r="BV97" s="92"/>
      <c r="BW97" s="92"/>
      <c r="BX97" s="92"/>
      <c r="BY97" s="92"/>
      <c r="BZ97" s="92"/>
      <c r="CA97" s="92"/>
      <c r="CB97" s="92"/>
      <c r="CC97" s="92"/>
      <c r="CD97" s="92"/>
      <c r="CE97" s="92"/>
      <c r="CF97" s="92"/>
      <c r="CG97" s="92"/>
      <c r="CH97" s="92"/>
      <c r="CI97" s="92"/>
      <c r="CJ97" s="92"/>
      <c r="CK97" s="92"/>
      <c r="CL97" s="92"/>
      <c r="CM97" s="92"/>
      <c r="CN97" s="92"/>
      <c r="CO97" s="92"/>
      <c r="CP97" s="92"/>
      <c r="CQ97" s="92"/>
      <c r="CR97" s="92"/>
      <c r="CS97" s="92"/>
      <c r="CT97" s="92"/>
      <c r="CU97" s="92"/>
      <c r="CV97" s="92"/>
      <c r="CW97" s="92"/>
      <c r="CX97" s="92"/>
      <c r="CY97" s="92"/>
      <c r="CZ97" s="92"/>
      <c r="DA97" s="73"/>
      <c r="DB97" s="92"/>
      <c r="DC97" s="92">
        <f t="shared" si="199"/>
        <v>214.2</v>
      </c>
      <c r="DD97" s="92">
        <f t="shared" si="200"/>
        <v>168.7</v>
      </c>
      <c r="DE97" s="92">
        <f t="shared" si="201"/>
        <v>-154.30000000000001</v>
      </c>
      <c r="DF97" s="92">
        <f t="shared" si="202"/>
        <v>-121.8</v>
      </c>
      <c r="DG97" s="91">
        <f t="shared" si="203"/>
        <v>-120.5</v>
      </c>
      <c r="DH97" s="91">
        <f t="shared" si="204"/>
        <v>-92</v>
      </c>
      <c r="DI97" s="92"/>
      <c r="DJ97" s="96"/>
      <c r="DK97" s="96"/>
      <c r="DL97" s="96"/>
      <c r="DM97" s="96"/>
      <c r="DN97" s="96"/>
      <c r="DO97" s="96"/>
      <c r="DP97" s="82"/>
      <c r="DQ97" s="82"/>
      <c r="DR97" s="82"/>
      <c r="DS97" s="82"/>
      <c r="DT97" s="82"/>
      <c r="DU97" s="82"/>
      <c r="DV97" s="82"/>
      <c r="DW97" s="92"/>
      <c r="DX97" s="92"/>
      <c r="DY97" s="82"/>
      <c r="DZ97" s="82"/>
      <c r="EA97" s="82"/>
      <c r="EC97" s="85"/>
    </row>
    <row r="98" spans="2:250" s="81" customFormat="1" ht="3.75" customHeight="1">
      <c r="B98" s="98" t="s">
        <v>68</v>
      </c>
      <c r="C98" s="91">
        <v>-185.9</v>
      </c>
      <c r="D98" s="91">
        <v>-185.9</v>
      </c>
      <c r="E98" s="91">
        <v>-185.9</v>
      </c>
      <c r="F98" s="91">
        <v>-128.19999999999999</v>
      </c>
      <c r="G98" s="91">
        <v>-171.8</v>
      </c>
      <c r="H98" s="91">
        <v>-190.2</v>
      </c>
      <c r="I98" s="91">
        <v>-188.7</v>
      </c>
      <c r="J98" s="91">
        <v>-94</v>
      </c>
      <c r="K98" s="92">
        <v>-97.3</v>
      </c>
      <c r="L98" s="92">
        <v>-187.4</v>
      </c>
      <c r="M98" s="92">
        <v>-183.4</v>
      </c>
      <c r="N98" s="92">
        <v>-6</v>
      </c>
      <c r="O98" s="92">
        <v>194.7</v>
      </c>
      <c r="P98" s="92">
        <v>220.5</v>
      </c>
      <c r="Q98" s="92">
        <v>307.10000000000002</v>
      </c>
      <c r="R98" s="92">
        <v>285.89999999999998</v>
      </c>
      <c r="S98" s="92">
        <v>316.3</v>
      </c>
      <c r="T98" s="92">
        <v>334.1</v>
      </c>
      <c r="U98" s="92">
        <v>480.1</v>
      </c>
      <c r="V98" s="92">
        <v>586.6</v>
      </c>
      <c r="W98" s="92">
        <v>503.4</v>
      </c>
      <c r="X98" s="92">
        <v>611.29999999999995</v>
      </c>
      <c r="Y98" s="92">
        <v>595</v>
      </c>
      <c r="Z98" s="92">
        <v>584.20000000000005</v>
      </c>
      <c r="AA98" s="92">
        <v>652.6</v>
      </c>
      <c r="AB98" s="91">
        <v>759.1</v>
      </c>
      <c r="AC98" s="91">
        <v>768.5</v>
      </c>
      <c r="AD98" s="92"/>
      <c r="AE98" s="92">
        <v>652.1</v>
      </c>
      <c r="AF98" s="92">
        <v>523</v>
      </c>
      <c r="AG98" s="92">
        <v>665.6</v>
      </c>
      <c r="AH98" s="92"/>
      <c r="AI98" s="92"/>
      <c r="AJ98" s="92"/>
      <c r="AK98" s="92"/>
      <c r="AL98" s="92"/>
      <c r="AM98" s="92"/>
      <c r="AN98" s="92"/>
      <c r="AO98" s="92"/>
      <c r="AP98" s="92"/>
      <c r="AQ98" s="92"/>
      <c r="AR98" s="92"/>
      <c r="AS98" s="92"/>
      <c r="AT98" s="92"/>
      <c r="AU98" s="92"/>
      <c r="AV98" s="92"/>
      <c r="AW98" s="92"/>
      <c r="AX98" s="92"/>
      <c r="AY98" s="92"/>
      <c r="AZ98" s="92"/>
      <c r="BA98" s="92"/>
      <c r="BB98" s="92"/>
      <c r="BC98" s="92"/>
      <c r="BD98" s="92"/>
      <c r="BE98" s="92"/>
      <c r="BF98" s="92"/>
      <c r="BG98" s="92"/>
      <c r="BH98" s="92"/>
      <c r="BI98" s="92"/>
      <c r="BJ98" s="92"/>
      <c r="BK98" s="92"/>
      <c r="BL98" s="92"/>
      <c r="BM98" s="92"/>
      <c r="BN98" s="92"/>
      <c r="BO98" s="92"/>
      <c r="BP98" s="92"/>
      <c r="BQ98" s="92"/>
      <c r="BR98" s="92"/>
      <c r="BS98" s="92"/>
      <c r="BT98" s="92"/>
      <c r="BU98" s="92"/>
      <c r="BV98" s="92"/>
      <c r="BW98" s="92"/>
      <c r="BX98" s="92"/>
      <c r="BY98" s="92"/>
      <c r="BZ98" s="92"/>
      <c r="CA98" s="92"/>
      <c r="CB98" s="92"/>
      <c r="CC98" s="92"/>
      <c r="CD98" s="92"/>
      <c r="CE98" s="92"/>
      <c r="CF98" s="92"/>
      <c r="CG98" s="92"/>
      <c r="CH98" s="92"/>
      <c r="CI98" s="92"/>
      <c r="CJ98" s="92"/>
      <c r="CK98" s="92"/>
      <c r="CL98" s="92"/>
      <c r="CM98" s="92"/>
      <c r="CN98" s="92"/>
      <c r="CO98" s="92"/>
      <c r="CP98" s="92"/>
      <c r="CQ98" s="92"/>
      <c r="CR98" s="92"/>
      <c r="CS98" s="92"/>
      <c r="CT98" s="92"/>
      <c r="CU98" s="92"/>
      <c r="CV98" s="92"/>
      <c r="CW98" s="92"/>
      <c r="CX98" s="92"/>
      <c r="CY98" s="92"/>
      <c r="CZ98" s="92"/>
      <c r="DA98" s="73"/>
      <c r="DB98" s="92">
        <f>SUM(C98:F98)</f>
        <v>-685.90000000000009</v>
      </c>
      <c r="DC98" s="92">
        <f t="shared" si="199"/>
        <v>-644.70000000000005</v>
      </c>
      <c r="DD98" s="92">
        <f t="shared" si="200"/>
        <v>-474.1</v>
      </c>
      <c r="DE98" s="92">
        <f t="shared" si="201"/>
        <v>1008.1999999999999</v>
      </c>
      <c r="DF98" s="92">
        <f t="shared" si="202"/>
        <v>1717.1</v>
      </c>
      <c r="DG98" s="91">
        <f t="shared" si="203"/>
        <v>2293.8999999999996</v>
      </c>
      <c r="DH98" s="91">
        <f>SUM(AA98:AD98)</f>
        <v>2180.1999999999998</v>
      </c>
      <c r="DI98" s="91">
        <f>SUM(AE98:AH98)</f>
        <v>1840.6999999999998</v>
      </c>
      <c r="DJ98" s="92">
        <f>SUM(AI98:AL98)</f>
        <v>0</v>
      </c>
      <c r="DK98" s="92"/>
      <c r="DL98" s="92"/>
      <c r="DM98" s="92"/>
      <c r="DN98" s="92"/>
      <c r="DO98" s="92"/>
      <c r="DP98" s="92"/>
      <c r="DQ98" s="92"/>
      <c r="DR98" s="92"/>
      <c r="DS98" s="92"/>
      <c r="DT98" s="92"/>
      <c r="DU98" s="92"/>
      <c r="DV98" s="92"/>
      <c r="DW98" s="92"/>
      <c r="DX98" s="92"/>
      <c r="DY98" s="92"/>
      <c r="DZ98" s="92"/>
      <c r="EA98" s="92"/>
      <c r="EC98" s="85"/>
    </row>
    <row r="99" spans="2:250" s="81" customFormat="1" ht="3.75" customHeight="1">
      <c r="B99" s="98" t="s">
        <v>70</v>
      </c>
      <c r="C99" s="91">
        <v>29.47</v>
      </c>
      <c r="D99" s="91">
        <v>29.47</v>
      </c>
      <c r="E99" s="91">
        <v>29.47</v>
      </c>
      <c r="F99" s="91">
        <v>66.599999999999994</v>
      </c>
      <c r="G99" s="91">
        <f>23.4-SUM(G94:G97)</f>
        <v>-23.5</v>
      </c>
      <c r="H99" s="91">
        <f>61.8-SUM(H94:H97)</f>
        <v>4.6000000000000014</v>
      </c>
      <c r="I99" s="91">
        <f>46.8-SUM(I94:I97)</f>
        <v>-14.000000000000014</v>
      </c>
      <c r="J99" s="91">
        <f>70.3-SUM(J94:J97)</f>
        <v>53.7</v>
      </c>
      <c r="K99" s="92">
        <f>47.8+90.4-SUM(K94:K97)</f>
        <v>86.299999999999983</v>
      </c>
      <c r="L99" s="92">
        <f>-121.8-SUM(L94:L97)</f>
        <v>-159.10000000000002</v>
      </c>
      <c r="M99" s="92">
        <v>-38.9</v>
      </c>
      <c r="N99" s="92">
        <f>-56.5-SUM(N94:N97)+11.4</f>
        <v>-86.8</v>
      </c>
      <c r="O99" s="92">
        <v>0</v>
      </c>
      <c r="P99" s="92">
        <v>22.1</v>
      </c>
      <c r="Q99" s="92">
        <v>45.9</v>
      </c>
      <c r="R99" s="92">
        <v>107.1</v>
      </c>
      <c r="S99" s="92">
        <v>-6.1</v>
      </c>
      <c r="T99" s="92">
        <v>2.2999999999999998</v>
      </c>
      <c r="U99" s="92">
        <v>25.5</v>
      </c>
      <c r="V99" s="92">
        <v>99.1</v>
      </c>
      <c r="W99" s="92">
        <v>46.6</v>
      </c>
      <c r="X99" s="92">
        <v>11.5</v>
      </c>
      <c r="Y99" s="92">
        <v>46.6</v>
      </c>
      <c r="Z99" s="92">
        <v>-16</v>
      </c>
      <c r="AA99" s="92">
        <v>187.7</v>
      </c>
      <c r="AB99" s="91">
        <v>33.799999999999997</v>
      </c>
      <c r="AC99" s="91">
        <v>107.8</v>
      </c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  <c r="BC99" s="92"/>
      <c r="BD99" s="92"/>
      <c r="BE99" s="92"/>
      <c r="BF99" s="92"/>
      <c r="BG99" s="92"/>
      <c r="BH99" s="92"/>
      <c r="BI99" s="92"/>
      <c r="BJ99" s="92"/>
      <c r="BK99" s="92"/>
      <c r="BL99" s="92"/>
      <c r="BM99" s="92"/>
      <c r="BN99" s="92"/>
      <c r="BO99" s="92"/>
      <c r="BP99" s="92"/>
      <c r="BQ99" s="92"/>
      <c r="BR99" s="92"/>
      <c r="BS99" s="92"/>
      <c r="BT99" s="92"/>
      <c r="BU99" s="92"/>
      <c r="BV99" s="92"/>
      <c r="BW99" s="92"/>
      <c r="BX99" s="92"/>
      <c r="BY99" s="92"/>
      <c r="BZ99" s="92"/>
      <c r="CA99" s="92"/>
      <c r="CB99" s="92"/>
      <c r="CC99" s="92"/>
      <c r="CD99" s="92"/>
      <c r="CE99" s="92"/>
      <c r="CF99" s="92"/>
      <c r="CG99" s="92"/>
      <c r="CH99" s="92"/>
      <c r="CI99" s="92"/>
      <c r="CJ99" s="92"/>
      <c r="CK99" s="92"/>
      <c r="CL99" s="92"/>
      <c r="CM99" s="92"/>
      <c r="CN99" s="92"/>
      <c r="CO99" s="92"/>
      <c r="CP99" s="92"/>
      <c r="CQ99" s="92"/>
      <c r="CR99" s="92"/>
      <c r="CS99" s="92"/>
      <c r="CT99" s="92"/>
      <c r="CU99" s="92"/>
      <c r="CV99" s="92"/>
      <c r="CW99" s="92"/>
      <c r="CX99" s="92"/>
      <c r="CY99" s="92"/>
      <c r="CZ99" s="92"/>
      <c r="DA99" s="73"/>
      <c r="DB99" s="92">
        <f>SUM(C99:F99)</f>
        <v>155.01</v>
      </c>
      <c r="DC99" s="92">
        <f t="shared" si="199"/>
        <v>20.79999999999999</v>
      </c>
      <c r="DD99" s="92">
        <f t="shared" si="200"/>
        <v>-198.50000000000006</v>
      </c>
      <c r="DE99" s="92">
        <f t="shared" si="201"/>
        <v>175.1</v>
      </c>
      <c r="DF99" s="92">
        <f t="shared" si="202"/>
        <v>120.8</v>
      </c>
      <c r="DG99" s="91">
        <f t="shared" si="203"/>
        <v>88.7</v>
      </c>
      <c r="DH99" s="91">
        <f t="shared" si="204"/>
        <v>329.3</v>
      </c>
      <c r="DI99" s="96"/>
      <c r="DJ99" s="96"/>
      <c r="DK99" s="96"/>
      <c r="DL99" s="96"/>
      <c r="DM99" s="96"/>
      <c r="DN99" s="96"/>
      <c r="DO99" s="96"/>
      <c r="DP99" s="82"/>
      <c r="DQ99" s="82"/>
      <c r="DR99" s="82"/>
      <c r="DS99" s="82"/>
      <c r="DT99" s="82"/>
      <c r="DU99" s="82"/>
      <c r="DV99" s="82"/>
      <c r="DW99" s="92"/>
      <c r="DX99" s="92"/>
      <c r="DY99" s="82"/>
      <c r="DZ99" s="82"/>
      <c r="EA99" s="82"/>
      <c r="EC99" s="85"/>
    </row>
    <row r="100" spans="2:250" s="81" customFormat="1" ht="3.75" customHeight="1">
      <c r="B100" s="98" t="s">
        <v>71</v>
      </c>
      <c r="C100" s="91">
        <f>SUM(C98:C99)</f>
        <v>-156.43</v>
      </c>
      <c r="D100" s="91">
        <f>SUM(D98:D99)</f>
        <v>-156.43</v>
      </c>
      <c r="E100" s="91">
        <f>SUM(E98:E99)</f>
        <v>-156.43</v>
      </c>
      <c r="F100" s="91">
        <f>SUM(F98:F99)</f>
        <v>-61.599999999999994</v>
      </c>
      <c r="G100" s="91">
        <f t="shared" ref="G100:N100" si="208">SUM(G94:G99)</f>
        <v>-148.4</v>
      </c>
      <c r="H100" s="91">
        <f t="shared" si="208"/>
        <v>-128.4</v>
      </c>
      <c r="I100" s="91">
        <f t="shared" si="208"/>
        <v>-141.89999999999998</v>
      </c>
      <c r="J100" s="91">
        <f t="shared" si="208"/>
        <v>-23.700000000000003</v>
      </c>
      <c r="K100" s="91">
        <f t="shared" si="208"/>
        <v>40.899999999999991</v>
      </c>
      <c r="L100" s="91">
        <f t="shared" si="208"/>
        <v>-309.20000000000005</v>
      </c>
      <c r="M100" s="91">
        <f t="shared" si="208"/>
        <v>-170.70000000000002</v>
      </c>
      <c r="N100" s="91">
        <f t="shared" si="208"/>
        <v>-51.099999999999994</v>
      </c>
      <c r="O100" s="91">
        <f t="shared" ref="O100:Y100" si="209">O94-O95+O96+O97+O98+O99</f>
        <v>140.19999999999999</v>
      </c>
      <c r="P100" s="91">
        <f t="shared" si="209"/>
        <v>187.8</v>
      </c>
      <c r="Q100" s="91">
        <f t="shared" si="209"/>
        <v>315.89999999999998</v>
      </c>
      <c r="R100" s="91">
        <f t="shared" si="209"/>
        <v>394.19999999999993</v>
      </c>
      <c r="S100" s="91">
        <f t="shared" si="209"/>
        <v>289.8</v>
      </c>
      <c r="T100" s="91">
        <f t="shared" si="209"/>
        <v>320.10000000000002</v>
      </c>
      <c r="U100" s="91">
        <f t="shared" si="209"/>
        <v>504.8</v>
      </c>
      <c r="V100" s="91">
        <f t="shared" si="209"/>
        <v>712.90000000000009</v>
      </c>
      <c r="W100" s="91">
        <f t="shared" si="209"/>
        <v>604</v>
      </c>
      <c r="X100" s="91">
        <f t="shared" si="209"/>
        <v>681.4</v>
      </c>
      <c r="Y100" s="91">
        <f t="shared" si="209"/>
        <v>729.7</v>
      </c>
      <c r="Z100" s="91">
        <f>Z94-Z95+Z96+Z97+Z98+Z99</f>
        <v>661.30000000000007</v>
      </c>
      <c r="AA100" s="91">
        <f>AA94-AA95+AA96+AA97+AA98+AA99</f>
        <v>908.59999999999991</v>
      </c>
      <c r="AB100" s="91">
        <f>AB94-AB95+AB96+AB97+AB98+AB99</f>
        <v>843.1</v>
      </c>
      <c r="AC100" s="91">
        <f>AC94-AC95+AC96+AC97+AC98+AC99</f>
        <v>949.4</v>
      </c>
      <c r="AD100" s="91"/>
      <c r="AE100" s="91">
        <f>AE94-AE95+AE96+AE97+AE98+AE99</f>
        <v>652.1</v>
      </c>
      <c r="AF100" s="91">
        <f>AF94-AF95+AF96+AF97+AF98+AF99</f>
        <v>604.9</v>
      </c>
      <c r="AG100" s="91">
        <f>AG94-AG95+AG96+AG97+AG98+AG99</f>
        <v>727.4</v>
      </c>
      <c r="AH100" s="91">
        <f>720+26.8</f>
        <v>746.8</v>
      </c>
      <c r="AI100" s="91">
        <v>665</v>
      </c>
      <c r="AJ100" s="91">
        <v>633.5</v>
      </c>
      <c r="AK100" s="91">
        <v>688.2</v>
      </c>
      <c r="AL100" s="91">
        <f>373.8-92</f>
        <v>281.8</v>
      </c>
      <c r="AM100" s="91">
        <v>-22.9</v>
      </c>
      <c r="AN100" s="91">
        <f>42.9-152.8</f>
        <v>-109.9</v>
      </c>
      <c r="AO100" s="91">
        <f>236.4-158.3</f>
        <v>78.099999999999994</v>
      </c>
      <c r="AP100" s="91">
        <f>171-309</f>
        <v>-138</v>
      </c>
      <c r="AQ100" s="91">
        <f>138-256</f>
        <v>-118</v>
      </c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1"/>
      <c r="BT100" s="91"/>
      <c r="BU100" s="91"/>
      <c r="BV100" s="91"/>
      <c r="BW100" s="91"/>
      <c r="BX100" s="91"/>
      <c r="BY100" s="91"/>
      <c r="BZ100" s="91"/>
      <c r="CA100" s="91"/>
      <c r="CB100" s="91"/>
      <c r="CC100" s="91"/>
      <c r="CD100" s="91"/>
      <c r="CE100" s="91"/>
      <c r="CF100" s="91"/>
      <c r="CG100" s="91"/>
      <c r="CH100" s="91"/>
      <c r="CI100" s="91"/>
      <c r="CJ100" s="91"/>
      <c r="CK100" s="91"/>
      <c r="CL100" s="91"/>
      <c r="CM100" s="91"/>
      <c r="CN100" s="91"/>
      <c r="CO100" s="91"/>
      <c r="CP100" s="91"/>
      <c r="CQ100" s="91"/>
      <c r="CR100" s="91"/>
      <c r="CS100" s="91"/>
      <c r="CT100" s="91"/>
      <c r="CU100" s="91"/>
      <c r="CV100" s="91"/>
      <c r="CW100" s="91"/>
      <c r="CX100" s="91"/>
      <c r="CY100" s="91"/>
      <c r="CZ100" s="91"/>
      <c r="DA100" s="73"/>
      <c r="DB100" s="91">
        <f t="shared" ref="DB100:DJ100" si="210">DB94-DB95+DB96+DB97+DB98+DB99</f>
        <v>-530.8900000000001</v>
      </c>
      <c r="DC100" s="91">
        <f t="shared" si="210"/>
        <v>-1224</v>
      </c>
      <c r="DD100" s="91">
        <f t="shared" si="210"/>
        <v>-1191.9000000000001</v>
      </c>
      <c r="DE100" s="91">
        <f t="shared" si="210"/>
        <v>1038.0999999999999</v>
      </c>
      <c r="DF100" s="91">
        <f t="shared" si="210"/>
        <v>1827.6</v>
      </c>
      <c r="DG100" s="91">
        <f t="shared" si="210"/>
        <v>2676.3999999999996</v>
      </c>
      <c r="DH100" s="91">
        <f t="shared" si="210"/>
        <v>2701.1</v>
      </c>
      <c r="DI100" s="91">
        <f t="shared" si="210"/>
        <v>1984.3999999999999</v>
      </c>
      <c r="DJ100" s="91">
        <f t="shared" si="210"/>
        <v>0</v>
      </c>
      <c r="DK100" s="91">
        <f>SUM(AM100:AP100)</f>
        <v>-192.70000000000002</v>
      </c>
      <c r="DL100" s="91">
        <f>DL94-DL95+DL96+DL97+DL98+DL99</f>
        <v>0</v>
      </c>
      <c r="DM100" s="91">
        <f>DM94-DM95+DM96+DM97+DM98+DM99</f>
        <v>0</v>
      </c>
      <c r="DN100" s="91">
        <f t="shared" ref="DN100:DT100" si="211">DN94-DN95+DN96+DN97+DN98+DN99</f>
        <v>0</v>
      </c>
      <c r="DO100" s="91">
        <f t="shared" si="211"/>
        <v>0</v>
      </c>
      <c r="DP100" s="91">
        <f t="shared" si="211"/>
        <v>0</v>
      </c>
      <c r="DQ100" s="91">
        <f t="shared" si="211"/>
        <v>0</v>
      </c>
      <c r="DR100" s="91">
        <f t="shared" si="211"/>
        <v>0</v>
      </c>
      <c r="DS100" s="91">
        <f t="shared" si="211"/>
        <v>0</v>
      </c>
      <c r="DT100" s="91">
        <f t="shared" si="211"/>
        <v>0</v>
      </c>
      <c r="DU100" s="91">
        <f t="shared" ref="DU100:DX100" si="212">DU94-DU95+DU96+DU97+DU98+DU99</f>
        <v>0</v>
      </c>
      <c r="DV100" s="91">
        <f t="shared" si="212"/>
        <v>467</v>
      </c>
      <c r="DW100" s="91">
        <f t="shared" si="212"/>
        <v>360</v>
      </c>
      <c r="DX100" s="91">
        <f t="shared" si="212"/>
        <v>256</v>
      </c>
      <c r="DY100" s="91">
        <f>DY94-DY95+DY96+DY97+DY98+DY99</f>
        <v>-277.10000000000002</v>
      </c>
      <c r="DZ100" s="91">
        <f t="shared" ref="DZ100:EJ100" si="213">DZ94-DZ95+DZ96+DZ97+DZ98+DZ99</f>
        <v>21.663010000000067</v>
      </c>
      <c r="EA100" s="91">
        <f t="shared" si="213"/>
        <v>327.03740777500013</v>
      </c>
      <c r="EB100" s="91">
        <f t="shared" si="213"/>
        <v>630.84097607331262</v>
      </c>
      <c r="EC100" s="91">
        <f t="shared" si="213"/>
        <v>895.44265697503261</v>
      </c>
      <c r="ED100" s="91">
        <f t="shared" si="213"/>
        <v>1129.9860369996168</v>
      </c>
      <c r="EE100" s="91">
        <f t="shared" si="213"/>
        <v>1330.3021808554129</v>
      </c>
      <c r="EF100" s="91">
        <f t="shared" si="213"/>
        <v>1499.2701079305239</v>
      </c>
      <c r="EG100" s="91">
        <f t="shared" si="213"/>
        <v>1654.9205273556497</v>
      </c>
      <c r="EH100" s="91">
        <f t="shared" si="213"/>
        <v>1801.8080510513335</v>
      </c>
      <c r="EI100" s="91">
        <f t="shared" si="213"/>
        <v>1940.7469093162215</v>
      </c>
      <c r="EJ100" s="91">
        <f t="shared" si="213"/>
        <v>2074.1435572567307</v>
      </c>
      <c r="EK100" s="90"/>
      <c r="EL100" s="90"/>
      <c r="EM100" s="90"/>
      <c r="EN100" s="90"/>
      <c r="EO100" s="90"/>
      <c r="EP100" s="90"/>
      <c r="EQ100" s="90"/>
      <c r="ER100" s="90"/>
      <c r="ES100" s="90"/>
      <c r="ET100" s="90"/>
      <c r="EU100" s="90"/>
      <c r="EV100" s="90"/>
      <c r="EW100" s="90"/>
      <c r="EX100" s="90"/>
      <c r="EY100" s="90"/>
      <c r="EZ100" s="90"/>
      <c r="FA100" s="90"/>
      <c r="FB100" s="90"/>
      <c r="FC100" s="90"/>
      <c r="FD100" s="90"/>
      <c r="FE100" s="90"/>
      <c r="FF100" s="90"/>
      <c r="FG100" s="90"/>
      <c r="FH100" s="90"/>
      <c r="FI100" s="90"/>
      <c r="FJ100" s="90"/>
      <c r="FK100" s="90"/>
      <c r="FL100" s="90"/>
      <c r="FM100" s="90"/>
      <c r="FN100" s="90"/>
      <c r="FO100" s="90"/>
      <c r="FP100" s="90"/>
      <c r="FQ100" s="90"/>
      <c r="FR100" s="90"/>
      <c r="FS100" s="90"/>
      <c r="FT100" s="90"/>
      <c r="FU100" s="90"/>
      <c r="FV100" s="90"/>
      <c r="FW100" s="90"/>
      <c r="FX100" s="90"/>
      <c r="FY100" s="90"/>
      <c r="FZ100" s="90"/>
      <c r="GA100" s="90"/>
      <c r="GB100" s="90"/>
      <c r="GC100" s="90"/>
      <c r="GD100" s="90"/>
      <c r="GE100" s="90"/>
      <c r="GF100" s="90"/>
      <c r="GG100" s="90"/>
      <c r="GH100" s="90"/>
      <c r="GI100" s="90"/>
      <c r="GJ100" s="90"/>
      <c r="GK100" s="90"/>
      <c r="GL100" s="90"/>
    </row>
    <row r="101" spans="2:250" s="81" customFormat="1" ht="12.75" customHeight="1">
      <c r="B101" s="98" t="s">
        <v>72</v>
      </c>
      <c r="C101" s="91">
        <f t="shared" ref="C101:N101" si="214">C93-C100</f>
        <v>2279.5</v>
      </c>
      <c r="D101" s="91">
        <f t="shared" si="214"/>
        <v>2477.5</v>
      </c>
      <c r="E101" s="91">
        <f t="shared" si="214"/>
        <v>2653.89</v>
      </c>
      <c r="F101" s="91">
        <f t="shared" si="214"/>
        <v>2537</v>
      </c>
      <c r="G101" s="91">
        <f t="shared" si="214"/>
        <v>-2589.4</v>
      </c>
      <c r="H101" s="91">
        <f t="shared" si="214"/>
        <v>-2807.7999999999997</v>
      </c>
      <c r="I101" s="91">
        <f t="shared" si="214"/>
        <v>-2915.8</v>
      </c>
      <c r="J101" s="91">
        <f t="shared" si="214"/>
        <v>-3479.2000000000007</v>
      </c>
      <c r="K101" s="91">
        <f t="shared" si="214"/>
        <v>-3355.2999999999997</v>
      </c>
      <c r="L101" s="91">
        <f t="shared" si="214"/>
        <v>-3055.6000000000004</v>
      </c>
      <c r="M101" s="91">
        <f t="shared" si="214"/>
        <v>-3152.8</v>
      </c>
      <c r="N101" s="91">
        <f t="shared" si="214"/>
        <v>-3866.2</v>
      </c>
      <c r="O101" s="91" t="e">
        <f t="shared" ref="O101:X101" si="215">O93+O100</f>
        <v>#REF!</v>
      </c>
      <c r="P101" s="91" t="e">
        <f t="shared" si="215"/>
        <v>#REF!</v>
      </c>
      <c r="Q101" s="91">
        <f t="shared" si="215"/>
        <v>-2321.2999999999997</v>
      </c>
      <c r="R101" s="91">
        <f t="shared" si="215"/>
        <v>-2476.2000000000003</v>
      </c>
      <c r="S101" s="91">
        <f t="shared" si="215"/>
        <v>-2170.1</v>
      </c>
      <c r="T101" s="91">
        <f t="shared" si="215"/>
        <v>-2382</v>
      </c>
      <c r="U101" s="91">
        <f t="shared" si="215"/>
        <v>-2099</v>
      </c>
      <c r="V101" s="91">
        <f t="shared" si="215"/>
        <v>-2224.1</v>
      </c>
      <c r="W101" s="91">
        <f t="shared" si="215"/>
        <v>-1998</v>
      </c>
      <c r="X101" s="91">
        <f t="shared" si="215"/>
        <v>-1929.2999999999997</v>
      </c>
      <c r="Y101" s="91">
        <f t="shared" ref="Y101:AJ101" si="216">Y100+Y93</f>
        <v>-2586.3000000000002</v>
      </c>
      <c r="Z101" s="91">
        <f t="shared" si="216"/>
        <v>-2818.2</v>
      </c>
      <c r="AA101" s="91">
        <f t="shared" si="216"/>
        <v>-1923.4</v>
      </c>
      <c r="AB101" s="91">
        <f t="shared" si="216"/>
        <v>-2271.1</v>
      </c>
      <c r="AC101" s="91">
        <f t="shared" si="216"/>
        <v>-2117.4</v>
      </c>
      <c r="AD101" s="91"/>
      <c r="AE101" s="91">
        <f>AE100+AE93</f>
        <v>-2240.6</v>
      </c>
      <c r="AF101" s="91">
        <f>AF100+AF93</f>
        <v>-2494.6</v>
      </c>
      <c r="AG101" s="91">
        <f>AG100+AG93</f>
        <v>-2173.9999999999995</v>
      </c>
      <c r="AH101" s="91">
        <f t="shared" si="216"/>
        <v>-2501.8999999999996</v>
      </c>
      <c r="AI101" s="91">
        <f t="shared" si="216"/>
        <v>-2097.1000000000004</v>
      </c>
      <c r="AJ101" s="91">
        <f t="shared" si="216"/>
        <v>-2314.3000000000002</v>
      </c>
      <c r="AK101" s="91">
        <f t="shared" ref="AK101:AQ101" si="217">AK100+AK93</f>
        <v>-2291.3000000000002</v>
      </c>
      <c r="AL101" s="91">
        <f t="shared" si="217"/>
        <v>3658.8000000000011</v>
      </c>
      <c r="AM101" s="91">
        <f t="shared" si="217"/>
        <v>3427.8999999999992</v>
      </c>
      <c r="AN101" s="91">
        <f t="shared" si="217"/>
        <v>-5245</v>
      </c>
      <c r="AO101" s="91">
        <f t="shared" si="217"/>
        <v>-4889.6999999999989</v>
      </c>
      <c r="AP101" s="91">
        <f t="shared" si="217"/>
        <v>-5721</v>
      </c>
      <c r="AQ101" s="91">
        <f t="shared" si="217"/>
        <v>-5012</v>
      </c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1"/>
      <c r="BT101" s="91"/>
      <c r="BU101" s="91"/>
      <c r="BV101" s="91"/>
      <c r="BW101" s="91"/>
      <c r="BX101" s="91"/>
      <c r="BY101" s="91"/>
      <c r="BZ101" s="91"/>
      <c r="CA101" s="91"/>
      <c r="CB101" s="91"/>
      <c r="CC101" s="91">
        <f t="shared" ref="CC101:CJ101" si="218">+CC93+CC95</f>
        <v>4073</v>
      </c>
      <c r="CD101" s="91">
        <f t="shared" si="218"/>
        <v>4513</v>
      </c>
      <c r="CE101" s="91">
        <f t="shared" si="218"/>
        <v>3445</v>
      </c>
      <c r="CF101" s="91">
        <f t="shared" si="218"/>
        <v>2127</v>
      </c>
      <c r="CG101" s="91">
        <f t="shared" si="218"/>
        <v>5108</v>
      </c>
      <c r="CH101" s="91">
        <f t="shared" si="218"/>
        <v>4784</v>
      </c>
      <c r="CI101" s="91">
        <f t="shared" si="218"/>
        <v>6309</v>
      </c>
      <c r="CJ101" s="91">
        <f t="shared" si="218"/>
        <v>5509</v>
      </c>
      <c r="CK101" s="91">
        <f t="shared" ref="CK101:CT101" si="219">+CK93+CK95</f>
        <v>5452</v>
      </c>
      <c r="CL101" s="91">
        <f t="shared" si="219"/>
        <v>4892</v>
      </c>
      <c r="CM101" s="91">
        <f t="shared" si="219"/>
        <v>4481</v>
      </c>
      <c r="CN101" s="91">
        <f t="shared" si="219"/>
        <v>5755</v>
      </c>
      <c r="CO101" s="91">
        <f t="shared" si="219"/>
        <v>6391</v>
      </c>
      <c r="CP101" s="91">
        <f t="shared" si="219"/>
        <v>5027</v>
      </c>
      <c r="CQ101" s="91">
        <f t="shared" si="219"/>
        <v>6296</v>
      </c>
      <c r="CR101" s="91">
        <f t="shared" si="219"/>
        <v>6767</v>
      </c>
      <c r="CS101" s="91">
        <f t="shared" si="219"/>
        <v>5106</v>
      </c>
      <c r="CT101" s="91">
        <f t="shared" si="219"/>
        <v>0</v>
      </c>
      <c r="CU101" s="91">
        <f t="shared" ref="CU101:CX101" si="220">+CU93+CU95</f>
        <v>0</v>
      </c>
      <c r="CV101" s="91">
        <f t="shared" si="220"/>
        <v>0</v>
      </c>
      <c r="CW101" s="91">
        <f t="shared" si="220"/>
        <v>0</v>
      </c>
      <c r="CX101" s="91">
        <f t="shared" si="220"/>
        <v>0</v>
      </c>
      <c r="CY101" s="91"/>
      <c r="CZ101" s="91"/>
      <c r="DA101" s="73"/>
      <c r="DB101" s="91">
        <f t="shared" ref="DB101:DJ101" si="221">DB100+DB93</f>
        <v>8886.3100000000013</v>
      </c>
      <c r="DC101" s="91">
        <f t="shared" si="221"/>
        <v>-9553.3999999999978</v>
      </c>
      <c r="DD101" s="91">
        <f t="shared" si="221"/>
        <v>-10764.9</v>
      </c>
      <c r="DE101" s="91">
        <f t="shared" si="221"/>
        <v>-9379.4</v>
      </c>
      <c r="DF101" s="91">
        <f t="shared" si="221"/>
        <v>-8875.1999999999989</v>
      </c>
      <c r="DG101" s="91">
        <f t="shared" si="221"/>
        <v>-9331.8000000000011</v>
      </c>
      <c r="DH101" s="91">
        <f t="shared" si="221"/>
        <v>-6311.9</v>
      </c>
      <c r="DI101" s="91">
        <f t="shared" si="221"/>
        <v>-10157.9</v>
      </c>
      <c r="DJ101" s="91">
        <f t="shared" si="221"/>
        <v>-13863.599999999999</v>
      </c>
      <c r="DK101" s="91">
        <f>DK100+DK93</f>
        <v>-21039.100000000002</v>
      </c>
      <c r="DL101" s="91">
        <f>DL100+DL93</f>
        <v>14710.092000000004</v>
      </c>
      <c r="DM101" s="91">
        <f>DM100+DM93</f>
        <v>-12999.250000000002</v>
      </c>
      <c r="DN101" s="91">
        <f t="shared" ref="DN101:DT101" si="222">DN100+DN93</f>
        <v>-11976.704000000002</v>
      </c>
      <c r="DO101" s="91">
        <f t="shared" si="222"/>
        <v>-11403.990000000002</v>
      </c>
      <c r="DP101" s="91">
        <f t="shared" si="222"/>
        <v>-10664.460000000001</v>
      </c>
      <c r="DQ101" s="91">
        <f t="shared" si="222"/>
        <v>-10747.890000000001</v>
      </c>
      <c r="DR101" s="91">
        <f t="shared" si="222"/>
        <v>-10832.94</v>
      </c>
      <c r="DS101" s="91">
        <f t="shared" si="222"/>
        <v>-11419.380000000001</v>
      </c>
      <c r="DT101" s="91">
        <f t="shared" si="222"/>
        <v>-12647.070000000002</v>
      </c>
      <c r="DU101" s="91">
        <f t="shared" ref="DU101:DX101" si="223">DU100+DU93</f>
        <v>-12647.070000000002</v>
      </c>
      <c r="DV101" s="91">
        <f>DV100+DV93</f>
        <v>16398</v>
      </c>
      <c r="DW101" s="91">
        <f>DW100+DW93</f>
        <v>22882</v>
      </c>
      <c r="DX101" s="91">
        <f t="shared" si="223"/>
        <v>22216</v>
      </c>
      <c r="DY101" s="91">
        <f>DY100+DY93</f>
        <v>39835.068000000007</v>
      </c>
      <c r="DZ101" s="91">
        <f t="shared" ref="DZ101:EJ101" si="224">DZ100+DZ93</f>
        <v>40716.586370000005</v>
      </c>
      <c r="EA101" s="91">
        <f t="shared" si="224"/>
        <v>40507.142439775002</v>
      </c>
      <c r="EB101" s="91">
        <f t="shared" si="224"/>
        <v>35280.224120229323</v>
      </c>
      <c r="EC101" s="91">
        <f t="shared" si="224"/>
        <v>31272.450669944566</v>
      </c>
      <c r="ED101" s="91">
        <f t="shared" si="224"/>
        <v>26708.819180772814</v>
      </c>
      <c r="EE101" s="91">
        <f t="shared" si="224"/>
        <v>22529.056943348165</v>
      </c>
      <c r="EF101" s="91">
        <f t="shared" si="224"/>
        <v>20753.389256683437</v>
      </c>
      <c r="EG101" s="91">
        <f t="shared" si="224"/>
        <v>19585.003159424479</v>
      </c>
      <c r="EH101" s="91">
        <f t="shared" si="224"/>
        <v>18525.181101985094</v>
      </c>
      <c r="EI101" s="91">
        <f t="shared" si="224"/>
        <v>17786.219725401206</v>
      </c>
      <c r="EJ101" s="91">
        <f t="shared" si="224"/>
        <v>17458.273409224279</v>
      </c>
      <c r="EK101" s="90"/>
      <c r="EL101" s="90"/>
      <c r="EM101" s="90"/>
      <c r="EN101" s="90"/>
      <c r="EO101" s="90"/>
      <c r="EP101" s="90"/>
      <c r="EQ101" s="90"/>
      <c r="ER101" s="90"/>
      <c r="ES101" s="90"/>
      <c r="ET101" s="90"/>
      <c r="EU101" s="90"/>
      <c r="EV101" s="90"/>
      <c r="EW101" s="90"/>
      <c r="EX101" s="90"/>
      <c r="EY101" s="90"/>
      <c r="EZ101" s="90"/>
      <c r="FA101" s="90"/>
      <c r="FB101" s="90"/>
      <c r="FC101" s="90"/>
      <c r="FD101" s="90"/>
      <c r="FE101" s="90"/>
      <c r="FF101" s="90"/>
      <c r="FG101" s="90"/>
      <c r="FH101" s="90"/>
      <c r="FI101" s="90"/>
      <c r="FJ101" s="90"/>
      <c r="FK101" s="90"/>
      <c r="FL101" s="90"/>
      <c r="FM101" s="90"/>
      <c r="FN101" s="90"/>
      <c r="FO101" s="90"/>
      <c r="FP101" s="90"/>
      <c r="FQ101" s="90"/>
      <c r="FR101" s="90"/>
      <c r="FS101" s="90"/>
      <c r="FT101" s="90"/>
      <c r="FU101" s="90"/>
      <c r="FV101" s="90"/>
      <c r="FW101" s="90"/>
      <c r="FX101" s="90"/>
      <c r="FY101" s="90"/>
      <c r="FZ101" s="90"/>
      <c r="GA101" s="90"/>
      <c r="GB101" s="90"/>
      <c r="GC101" s="90"/>
      <c r="GD101" s="90"/>
      <c r="GE101" s="90"/>
      <c r="GF101" s="90"/>
      <c r="GG101" s="90"/>
      <c r="GH101" s="90"/>
      <c r="GI101" s="90"/>
      <c r="GJ101" s="90"/>
      <c r="GK101" s="90"/>
      <c r="GL101" s="90"/>
    </row>
    <row r="102" spans="2:250" s="81" customFormat="1" ht="12.75" customHeight="1">
      <c r="B102" s="98" t="s">
        <v>471</v>
      </c>
      <c r="C102" s="91">
        <v>663.3</v>
      </c>
      <c r="D102" s="91">
        <v>721</v>
      </c>
      <c r="E102" s="91">
        <v>772.3</v>
      </c>
      <c r="F102" s="91">
        <f>783.3-45</f>
        <v>738.3</v>
      </c>
      <c r="G102" s="91">
        <v>655.1</v>
      </c>
      <c r="H102" s="91">
        <v>696.1</v>
      </c>
      <c r="I102" s="91">
        <v>743</v>
      </c>
      <c r="J102" s="91">
        <v>763.3</v>
      </c>
      <c r="K102" s="92">
        <v>671.2</v>
      </c>
      <c r="L102" s="92">
        <v>685.3</v>
      </c>
      <c r="M102" s="92">
        <v>739.8</v>
      </c>
      <c r="N102" s="92">
        <v>365.7</v>
      </c>
      <c r="O102" s="92">
        <v>724.3</v>
      </c>
      <c r="P102" s="92">
        <v>670.7</v>
      </c>
      <c r="Q102" s="92">
        <v>487.4</v>
      </c>
      <c r="R102" s="92">
        <v>278.7</v>
      </c>
      <c r="S102" s="92">
        <v>550.6</v>
      </c>
      <c r="T102" s="92">
        <f>1204-640</f>
        <v>564</v>
      </c>
      <c r="U102" s="92">
        <v>577.5</v>
      </c>
      <c r="V102" s="92">
        <v>400.3</v>
      </c>
      <c r="W102" s="92">
        <v>450.4</v>
      </c>
      <c r="X102" s="92">
        <v>609</v>
      </c>
      <c r="Y102" s="92">
        <v>290.2</v>
      </c>
      <c r="Z102" s="92">
        <v>438</v>
      </c>
      <c r="AA102" s="92">
        <v>550.1</v>
      </c>
      <c r="AB102" s="91">
        <v>555.79999999999995</v>
      </c>
      <c r="AC102" s="91">
        <v>539.1</v>
      </c>
      <c r="AD102" s="91"/>
      <c r="AE102" s="91">
        <f>AE101*0.25</f>
        <v>-560.15</v>
      </c>
      <c r="AF102" s="91">
        <v>290.2</v>
      </c>
      <c r="AG102" s="91">
        <v>318.2</v>
      </c>
      <c r="AH102" s="91">
        <f>282.6+30</f>
        <v>312.60000000000002</v>
      </c>
      <c r="AI102" s="91">
        <f>327.2+30.8</f>
        <v>358</v>
      </c>
      <c r="AJ102" s="91">
        <f>379+32+80</f>
        <v>491</v>
      </c>
      <c r="AK102" s="91">
        <f>+AK101*0.319</f>
        <v>-730.92470000000003</v>
      </c>
      <c r="AL102" s="91">
        <f>398.4+29.1+2.1</f>
        <v>429.6</v>
      </c>
      <c r="AM102" s="91">
        <f>788.3+31.4</f>
        <v>819.69999999999993</v>
      </c>
      <c r="AN102" s="91">
        <f>703.3+27.8</f>
        <v>731.09999999999991</v>
      </c>
      <c r="AO102" s="91">
        <f>764.3+30.1</f>
        <v>794.4</v>
      </c>
      <c r="AP102" s="91">
        <f>457+31</f>
        <v>488</v>
      </c>
      <c r="AQ102" s="91">
        <v>989</v>
      </c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1"/>
      <c r="BT102" s="91"/>
      <c r="BU102" s="91"/>
      <c r="BV102" s="91"/>
      <c r="BW102" s="91"/>
      <c r="BX102" s="91"/>
      <c r="BY102" s="91"/>
      <c r="BZ102" s="91"/>
      <c r="CA102" s="91"/>
      <c r="CB102" s="91"/>
      <c r="CC102" s="91">
        <v>585</v>
      </c>
      <c r="CD102" s="91">
        <v>452</v>
      </c>
      <c r="CE102" s="91">
        <v>494</v>
      </c>
      <c r="CF102" s="91">
        <v>567</v>
      </c>
      <c r="CG102" s="91">
        <v>665</v>
      </c>
      <c r="CH102" s="91">
        <v>205</v>
      </c>
      <c r="CI102" s="91">
        <v>883</v>
      </c>
      <c r="CJ102" s="91">
        <v>761</v>
      </c>
      <c r="CK102" s="91">
        <f>744+5</f>
        <v>749</v>
      </c>
      <c r="CL102" s="91">
        <v>762</v>
      </c>
      <c r="CM102" s="91">
        <v>913</v>
      </c>
      <c r="CN102" s="91">
        <v>810</v>
      </c>
      <c r="CO102" s="91">
        <v>959</v>
      </c>
      <c r="CP102" s="91">
        <v>-540</v>
      </c>
      <c r="CQ102" s="91">
        <v>1012</v>
      </c>
      <c r="CR102" s="91">
        <v>952</v>
      </c>
      <c r="CS102" s="91">
        <f>1117+4</f>
        <v>1121</v>
      </c>
      <c r="CT102" s="91">
        <f>+CT101*0.3</f>
        <v>0</v>
      </c>
      <c r="CU102" s="91">
        <f t="shared" ref="CU102:CX102" si="225">+CU101*0.3</f>
        <v>0</v>
      </c>
      <c r="CV102" s="91">
        <f t="shared" si="225"/>
        <v>0</v>
      </c>
      <c r="CW102" s="91">
        <f t="shared" si="225"/>
        <v>0</v>
      </c>
      <c r="CX102" s="91">
        <f t="shared" si="225"/>
        <v>0</v>
      </c>
      <c r="CY102" s="91"/>
      <c r="CZ102" s="91"/>
      <c r="DA102" s="73"/>
      <c r="DB102" s="91">
        <f>SUM(C102:F102)</f>
        <v>2894.8999999999996</v>
      </c>
      <c r="DC102" s="91">
        <f>SUM(G102:J102)-0.6</f>
        <v>2856.9</v>
      </c>
      <c r="DD102" s="91">
        <f>SUM(K102:N102)</f>
        <v>2462</v>
      </c>
      <c r="DE102" s="91">
        <f>SUM(O102:R102)</f>
        <v>2161.1</v>
      </c>
      <c r="DF102" s="91">
        <f>SUM(S102:V102)</f>
        <v>2092.4</v>
      </c>
      <c r="DG102" s="91">
        <f>SUM(W102:Z102)</f>
        <v>1787.6000000000001</v>
      </c>
      <c r="DH102" s="91">
        <f>SUM(AA102:AD102)</f>
        <v>1645</v>
      </c>
      <c r="DI102" s="91">
        <f t="shared" ref="DI102:DT102" si="226">DI101*0.25</f>
        <v>-2539.4749999999999</v>
      </c>
      <c r="DJ102" s="91">
        <f t="shared" si="226"/>
        <v>-3465.8999999999996</v>
      </c>
      <c r="DK102" s="91">
        <f>SUM(AM102:AP102)</f>
        <v>2833.2</v>
      </c>
      <c r="DL102" s="91">
        <f>DL101*0.25</f>
        <v>3677.523000000001</v>
      </c>
      <c r="DM102" s="91">
        <f t="shared" si="226"/>
        <v>-3249.8125000000005</v>
      </c>
      <c r="DN102" s="91">
        <f t="shared" si="226"/>
        <v>-2994.1760000000004</v>
      </c>
      <c r="DO102" s="91">
        <f t="shared" si="226"/>
        <v>-2850.9975000000004</v>
      </c>
      <c r="DP102" s="91">
        <f t="shared" si="226"/>
        <v>-2666.1150000000002</v>
      </c>
      <c r="DQ102" s="91">
        <f t="shared" si="226"/>
        <v>-2686.9725000000003</v>
      </c>
      <c r="DR102" s="91">
        <f t="shared" si="226"/>
        <v>-2708.2350000000001</v>
      </c>
      <c r="DS102" s="91">
        <f t="shared" si="226"/>
        <v>-2854.8450000000003</v>
      </c>
      <c r="DT102" s="91">
        <f t="shared" si="226"/>
        <v>-3161.7675000000004</v>
      </c>
      <c r="DU102" s="91">
        <f t="shared" ref="DU102:EA102" si="227">DU101*0.25</f>
        <v>-3161.7675000000004</v>
      </c>
      <c r="DV102" s="92">
        <f t="shared" ref="DV102" si="228">SUM(CE102:CH102)</f>
        <v>1931</v>
      </c>
      <c r="DW102" s="92">
        <f>SUM(CI102:CL102)</f>
        <v>3155</v>
      </c>
      <c r="DX102" s="92">
        <f t="shared" ref="DX102" si="229">SUM(CM102:CP102)</f>
        <v>2142</v>
      </c>
      <c r="DY102" s="91">
        <f t="shared" si="227"/>
        <v>9958.7670000000016</v>
      </c>
      <c r="DZ102" s="91">
        <f t="shared" si="227"/>
        <v>10179.146592500001</v>
      </c>
      <c r="EA102" s="91">
        <f t="shared" si="227"/>
        <v>10126.78560994375</v>
      </c>
      <c r="EB102" s="91">
        <f t="shared" ref="EB102:EI102" si="230">EB101*0.25</f>
        <v>8820.0560300573306</v>
      </c>
      <c r="EC102" s="91">
        <f t="shared" si="230"/>
        <v>7818.1126674861416</v>
      </c>
      <c r="ED102" s="91">
        <f t="shared" si="230"/>
        <v>6677.2047951932036</v>
      </c>
      <c r="EE102" s="91">
        <f t="shared" si="230"/>
        <v>5632.2642358370413</v>
      </c>
      <c r="EF102" s="91">
        <f t="shared" si="230"/>
        <v>5188.3473141708591</v>
      </c>
      <c r="EG102" s="91">
        <f t="shared" si="230"/>
        <v>4896.2507898561198</v>
      </c>
      <c r="EH102" s="91">
        <f t="shared" si="230"/>
        <v>4631.2952754962735</v>
      </c>
      <c r="EI102" s="91">
        <f t="shared" si="230"/>
        <v>4446.5549313503016</v>
      </c>
      <c r="EJ102" s="91">
        <f>EJ101*0.25</f>
        <v>4364.5683523060698</v>
      </c>
      <c r="EK102" s="90"/>
      <c r="EL102" s="90"/>
      <c r="EM102" s="90"/>
      <c r="EN102" s="90"/>
      <c r="EO102" s="90"/>
      <c r="EP102" s="90"/>
      <c r="EQ102" s="90"/>
      <c r="ER102" s="90"/>
      <c r="ES102" s="90"/>
      <c r="ET102" s="90"/>
      <c r="EU102" s="90"/>
      <c r="EV102" s="90"/>
      <c r="EW102" s="90"/>
      <c r="EX102" s="90"/>
      <c r="EY102" s="90"/>
      <c r="EZ102" s="90"/>
      <c r="FA102" s="90"/>
      <c r="FB102" s="90"/>
      <c r="FC102" s="90"/>
      <c r="FD102" s="90"/>
      <c r="FE102" s="90"/>
      <c r="FF102" s="90"/>
      <c r="FG102" s="90"/>
      <c r="FH102" s="90"/>
      <c r="FI102" s="90"/>
      <c r="FJ102" s="90"/>
      <c r="FK102" s="90"/>
      <c r="FL102" s="90"/>
      <c r="FM102" s="90"/>
      <c r="FN102" s="90"/>
      <c r="FO102" s="90"/>
      <c r="FP102" s="90"/>
      <c r="FQ102" s="90"/>
      <c r="FR102" s="90"/>
      <c r="FS102" s="90"/>
      <c r="FT102" s="90"/>
      <c r="FU102" s="90"/>
      <c r="FV102" s="90"/>
      <c r="FW102" s="90"/>
      <c r="FX102" s="90"/>
      <c r="FY102" s="90"/>
      <c r="FZ102" s="90"/>
      <c r="GA102" s="90"/>
      <c r="GB102" s="90"/>
      <c r="GC102" s="90"/>
      <c r="GD102" s="90"/>
      <c r="GE102" s="90"/>
      <c r="GF102" s="90"/>
      <c r="GG102" s="90"/>
      <c r="GH102" s="90"/>
      <c r="GI102" s="90"/>
      <c r="GJ102" s="90"/>
      <c r="GK102" s="90"/>
      <c r="GL102" s="90"/>
    </row>
    <row r="103" spans="2:250" s="81" customFormat="1" ht="12.75" customHeight="1">
      <c r="B103" s="98" t="s">
        <v>73</v>
      </c>
      <c r="C103" s="91">
        <f t="shared" ref="C103:W103" si="231">C101-C102</f>
        <v>1616.2</v>
      </c>
      <c r="D103" s="91">
        <f t="shared" si="231"/>
        <v>1756.5</v>
      </c>
      <c r="E103" s="91">
        <f t="shared" si="231"/>
        <v>1881.59</v>
      </c>
      <c r="F103" s="91">
        <f t="shared" si="231"/>
        <v>1798.7</v>
      </c>
      <c r="G103" s="91">
        <f t="shared" si="231"/>
        <v>-3244.5</v>
      </c>
      <c r="H103" s="91">
        <f t="shared" si="231"/>
        <v>-3503.8999999999996</v>
      </c>
      <c r="I103" s="91">
        <f t="shared" si="231"/>
        <v>-3658.8</v>
      </c>
      <c r="J103" s="91">
        <f t="shared" si="231"/>
        <v>-4242.5000000000009</v>
      </c>
      <c r="K103" s="91">
        <f t="shared" si="231"/>
        <v>-4026.5</v>
      </c>
      <c r="L103" s="91">
        <f t="shared" si="231"/>
        <v>-3740.9000000000005</v>
      </c>
      <c r="M103" s="91">
        <f t="shared" si="231"/>
        <v>-3892.6000000000004</v>
      </c>
      <c r="N103" s="91">
        <f t="shared" si="231"/>
        <v>-4231.8999999999996</v>
      </c>
      <c r="O103" s="91" t="e">
        <f t="shared" si="231"/>
        <v>#REF!</v>
      </c>
      <c r="P103" s="91" t="e">
        <f>P101-P102</f>
        <v>#REF!</v>
      </c>
      <c r="Q103" s="91">
        <f t="shared" si="231"/>
        <v>-2808.7</v>
      </c>
      <c r="R103" s="91">
        <f t="shared" si="231"/>
        <v>-2754.9</v>
      </c>
      <c r="S103" s="91">
        <f t="shared" si="231"/>
        <v>-2720.7</v>
      </c>
      <c r="T103" s="91">
        <f t="shared" si="231"/>
        <v>-2946</v>
      </c>
      <c r="U103" s="91">
        <f t="shared" si="231"/>
        <v>-2676.5</v>
      </c>
      <c r="V103" s="91">
        <f>V101-V102</f>
        <v>-2624.4</v>
      </c>
      <c r="W103" s="91">
        <f t="shared" si="231"/>
        <v>-2448.4</v>
      </c>
      <c r="X103" s="91">
        <f>X101-X102</f>
        <v>-2538.2999999999997</v>
      </c>
      <c r="Y103" s="91">
        <f t="shared" ref="Y103:AH103" si="232">Y101-Y102</f>
        <v>-2876.5</v>
      </c>
      <c r="Z103" s="91">
        <f t="shared" si="232"/>
        <v>-3256.2</v>
      </c>
      <c r="AA103" s="91">
        <f t="shared" si="232"/>
        <v>-2473.5</v>
      </c>
      <c r="AB103" s="91">
        <f t="shared" si="232"/>
        <v>-2826.8999999999996</v>
      </c>
      <c r="AC103" s="91">
        <f t="shared" si="232"/>
        <v>-2656.5</v>
      </c>
      <c r="AD103" s="91"/>
      <c r="AE103" s="91">
        <f t="shared" si="232"/>
        <v>-1680.4499999999998</v>
      </c>
      <c r="AF103" s="91">
        <f t="shared" si="232"/>
        <v>-2784.7999999999997</v>
      </c>
      <c r="AG103" s="91">
        <f>AG101-AG102</f>
        <v>-2492.1999999999994</v>
      </c>
      <c r="AH103" s="91">
        <f t="shared" si="232"/>
        <v>-2814.4999999999995</v>
      </c>
      <c r="AI103" s="91">
        <f t="shared" ref="AI103:AP103" si="233">AI101-AI102</f>
        <v>-2455.1000000000004</v>
      </c>
      <c r="AJ103" s="91">
        <f t="shared" si="233"/>
        <v>-2805.3</v>
      </c>
      <c r="AK103" s="91">
        <f t="shared" si="233"/>
        <v>-1560.3753000000002</v>
      </c>
      <c r="AL103" s="91">
        <f t="shared" si="233"/>
        <v>3229.2000000000012</v>
      </c>
      <c r="AM103" s="91">
        <f t="shared" si="233"/>
        <v>2608.1999999999994</v>
      </c>
      <c r="AN103" s="91">
        <f t="shared" si="233"/>
        <v>-5976.1</v>
      </c>
      <c r="AO103" s="91">
        <f t="shared" si="233"/>
        <v>-5684.0999999999985</v>
      </c>
      <c r="AP103" s="91">
        <f t="shared" si="233"/>
        <v>-6209</v>
      </c>
      <c r="AQ103" s="91">
        <f>AQ101-AQ102</f>
        <v>-6001</v>
      </c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1"/>
      <c r="BT103" s="91"/>
      <c r="BU103" s="91"/>
      <c r="BV103" s="91"/>
      <c r="BW103" s="91"/>
      <c r="BX103" s="91"/>
      <c r="BY103" s="91"/>
      <c r="BZ103" s="91"/>
      <c r="CA103" s="91"/>
      <c r="CB103" s="91"/>
      <c r="CC103" s="91">
        <f t="shared" ref="CC103:CJ103" si="234">+CC101-CC102</f>
        <v>3488</v>
      </c>
      <c r="CD103" s="91">
        <f t="shared" si="234"/>
        <v>4061</v>
      </c>
      <c r="CE103" s="91">
        <f t="shared" si="234"/>
        <v>2951</v>
      </c>
      <c r="CF103" s="91">
        <f t="shared" si="234"/>
        <v>1560</v>
      </c>
      <c r="CG103" s="91">
        <f t="shared" si="234"/>
        <v>4443</v>
      </c>
      <c r="CH103" s="91">
        <f t="shared" si="234"/>
        <v>4579</v>
      </c>
      <c r="CI103" s="91">
        <f t="shared" si="234"/>
        <v>5426</v>
      </c>
      <c r="CJ103" s="91">
        <f t="shared" si="234"/>
        <v>4748</v>
      </c>
      <c r="CK103" s="91">
        <f t="shared" ref="CK103:CT103" si="235">+CK101-CK102</f>
        <v>4703</v>
      </c>
      <c r="CL103" s="91">
        <f t="shared" si="235"/>
        <v>4130</v>
      </c>
      <c r="CM103" s="91">
        <f t="shared" si="235"/>
        <v>3568</v>
      </c>
      <c r="CN103" s="91">
        <f t="shared" si="235"/>
        <v>4945</v>
      </c>
      <c r="CO103" s="91">
        <f t="shared" si="235"/>
        <v>5432</v>
      </c>
      <c r="CP103" s="91">
        <f t="shared" si="235"/>
        <v>5567</v>
      </c>
      <c r="CQ103" s="91">
        <f t="shared" si="235"/>
        <v>5284</v>
      </c>
      <c r="CR103" s="91">
        <f t="shared" si="235"/>
        <v>5815</v>
      </c>
      <c r="CS103" s="91">
        <f t="shared" si="235"/>
        <v>3985</v>
      </c>
      <c r="CT103" s="91">
        <f t="shared" si="235"/>
        <v>0</v>
      </c>
      <c r="CU103" s="91">
        <f t="shared" ref="CU103:CX103" si="236">+CU101-CU102</f>
        <v>0</v>
      </c>
      <c r="CV103" s="91">
        <f t="shared" si="236"/>
        <v>0</v>
      </c>
      <c r="CW103" s="91">
        <f t="shared" si="236"/>
        <v>0</v>
      </c>
      <c r="CX103" s="91">
        <f t="shared" si="236"/>
        <v>0</v>
      </c>
      <c r="CY103" s="91"/>
      <c r="CZ103" s="91"/>
      <c r="DA103" s="73"/>
      <c r="DB103" s="92">
        <f t="shared" ref="DB103:DJ103" si="237">DB101-DB102</f>
        <v>5991.4100000000017</v>
      </c>
      <c r="DC103" s="92">
        <f t="shared" si="237"/>
        <v>-12410.299999999997</v>
      </c>
      <c r="DD103" s="92">
        <f t="shared" si="237"/>
        <v>-13226.9</v>
      </c>
      <c r="DE103" s="92">
        <f t="shared" si="237"/>
        <v>-11540.5</v>
      </c>
      <c r="DF103" s="92">
        <f t="shared" si="237"/>
        <v>-10967.599999999999</v>
      </c>
      <c r="DG103" s="92">
        <f t="shared" si="237"/>
        <v>-11119.400000000001</v>
      </c>
      <c r="DH103" s="92">
        <f t="shared" si="237"/>
        <v>-7956.9</v>
      </c>
      <c r="DI103" s="92">
        <f t="shared" si="237"/>
        <v>-7618.4249999999993</v>
      </c>
      <c r="DJ103" s="92">
        <f t="shared" si="237"/>
        <v>-10397.699999999999</v>
      </c>
      <c r="DK103" s="92">
        <f>DK101-DK102</f>
        <v>-23872.300000000003</v>
      </c>
      <c r="DL103" s="92">
        <f>DL101-DL102</f>
        <v>11032.569000000003</v>
      </c>
      <c r="DM103" s="92">
        <f t="shared" ref="DM103:DT103" si="238">DM101-DM102</f>
        <v>-9749.4375000000018</v>
      </c>
      <c r="DN103" s="92">
        <f t="shared" si="238"/>
        <v>-8982.5280000000021</v>
      </c>
      <c r="DO103" s="92">
        <f t="shared" si="238"/>
        <v>-8552.9925000000003</v>
      </c>
      <c r="DP103" s="92">
        <f t="shared" si="238"/>
        <v>-7998.3450000000012</v>
      </c>
      <c r="DQ103" s="92">
        <f t="shared" si="238"/>
        <v>-8060.9175000000014</v>
      </c>
      <c r="DR103" s="92">
        <f t="shared" si="238"/>
        <v>-8124.7049999999999</v>
      </c>
      <c r="DS103" s="92">
        <f t="shared" si="238"/>
        <v>-8564.5349999999999</v>
      </c>
      <c r="DT103" s="92">
        <f t="shared" si="238"/>
        <v>-9485.3025000000016</v>
      </c>
      <c r="DU103" s="92">
        <f t="shared" ref="DU103:EA103" si="239">DU101-DU102</f>
        <v>-9485.3025000000016</v>
      </c>
      <c r="DV103" s="92">
        <f>DV101-DV102</f>
        <v>14467</v>
      </c>
      <c r="DW103" s="92">
        <f>DW101-DW102</f>
        <v>19727</v>
      </c>
      <c r="DX103" s="92">
        <f>DX101-DX102</f>
        <v>20074</v>
      </c>
      <c r="DY103" s="92">
        <f t="shared" si="239"/>
        <v>29876.301000000007</v>
      </c>
      <c r="DZ103" s="92">
        <f t="shared" si="239"/>
        <v>30537.439777500003</v>
      </c>
      <c r="EA103" s="92">
        <f t="shared" si="239"/>
        <v>30380.356829831253</v>
      </c>
      <c r="EB103" s="92">
        <f t="shared" ref="EB103:EJ103" si="240">EB101-EB102</f>
        <v>26460.168090171992</v>
      </c>
      <c r="EC103" s="92">
        <f t="shared" si="240"/>
        <v>23454.338002458426</v>
      </c>
      <c r="ED103" s="92">
        <f t="shared" si="240"/>
        <v>20031.614385579611</v>
      </c>
      <c r="EE103" s="92">
        <f t="shared" si="240"/>
        <v>16896.792707511122</v>
      </c>
      <c r="EF103" s="92">
        <f t="shared" si="240"/>
        <v>15565.041942512576</v>
      </c>
      <c r="EG103" s="92">
        <f t="shared" si="240"/>
        <v>14688.752369568359</v>
      </c>
      <c r="EH103" s="92">
        <f t="shared" si="240"/>
        <v>13893.88582648882</v>
      </c>
      <c r="EI103" s="92">
        <f t="shared" si="240"/>
        <v>13339.664794050905</v>
      </c>
      <c r="EJ103" s="92">
        <f t="shared" si="240"/>
        <v>13093.70505691821</v>
      </c>
      <c r="EK103" s="95">
        <f t="shared" ref="EK103:FP103" si="241">EJ103*(1+$EM$108)</f>
        <v>12962.768006349028</v>
      </c>
      <c r="EL103" s="95">
        <f t="shared" si="241"/>
        <v>12833.140326285538</v>
      </c>
      <c r="EM103" s="95">
        <f t="shared" si="241"/>
        <v>12704.808923022683</v>
      </c>
      <c r="EN103" s="95">
        <f t="shared" si="241"/>
        <v>12577.760833792456</v>
      </c>
      <c r="EO103" s="95">
        <f t="shared" si="241"/>
        <v>12451.983225454531</v>
      </c>
      <c r="EP103" s="95">
        <f t="shared" si="241"/>
        <v>12327.463393199985</v>
      </c>
      <c r="EQ103" s="95">
        <f t="shared" si="241"/>
        <v>12204.188759267985</v>
      </c>
      <c r="ER103" s="95">
        <f t="shared" si="241"/>
        <v>12082.146871675304</v>
      </c>
      <c r="ES103" s="95">
        <f t="shared" si="241"/>
        <v>11961.325402958551</v>
      </c>
      <c r="ET103" s="95">
        <f t="shared" si="241"/>
        <v>11841.712148928966</v>
      </c>
      <c r="EU103" s="95">
        <f t="shared" si="241"/>
        <v>11723.295027439675</v>
      </c>
      <c r="EV103" s="95">
        <f t="shared" si="241"/>
        <v>11606.062077165279</v>
      </c>
      <c r="EW103" s="95">
        <f t="shared" si="241"/>
        <v>11490.001456393626</v>
      </c>
      <c r="EX103" s="95">
        <f t="shared" si="241"/>
        <v>11375.101441829689</v>
      </c>
      <c r="EY103" s="95">
        <f t="shared" si="241"/>
        <v>11261.350427411393</v>
      </c>
      <c r="EZ103" s="95">
        <f t="shared" si="241"/>
        <v>11148.73692313728</v>
      </c>
      <c r="FA103" s="95">
        <f t="shared" si="241"/>
        <v>11037.249553905907</v>
      </c>
      <c r="FB103" s="95">
        <f t="shared" si="241"/>
        <v>10926.877058366848</v>
      </c>
      <c r="FC103" s="95">
        <f t="shared" si="241"/>
        <v>10817.60828778318</v>
      </c>
      <c r="FD103" s="95">
        <f t="shared" si="241"/>
        <v>10709.432204905348</v>
      </c>
      <c r="FE103" s="95">
        <f t="shared" si="241"/>
        <v>10602.337882856295</v>
      </c>
      <c r="FF103" s="95">
        <f t="shared" si="241"/>
        <v>10496.314504027732</v>
      </c>
      <c r="FG103" s="95">
        <f t="shared" si="241"/>
        <v>10391.351358987455</v>
      </c>
      <c r="FH103" s="95">
        <f t="shared" si="241"/>
        <v>10287.437845397581</v>
      </c>
      <c r="FI103" s="95">
        <f t="shared" si="241"/>
        <v>10184.563466943604</v>
      </c>
      <c r="FJ103" s="95">
        <f t="shared" si="241"/>
        <v>10082.717832274167</v>
      </c>
      <c r="FK103" s="95">
        <f t="shared" si="241"/>
        <v>9981.8906539514264</v>
      </c>
      <c r="FL103" s="95">
        <f t="shared" si="241"/>
        <v>9882.0717474119119</v>
      </c>
      <c r="FM103" s="95">
        <f t="shared" si="241"/>
        <v>9783.2510299377918</v>
      </c>
      <c r="FN103" s="95">
        <f t="shared" si="241"/>
        <v>9685.4185196384133</v>
      </c>
      <c r="FO103" s="95">
        <f t="shared" si="241"/>
        <v>9588.5643344420296</v>
      </c>
      <c r="FP103" s="95">
        <f t="shared" si="241"/>
        <v>9492.6786910976098</v>
      </c>
      <c r="FQ103" s="95">
        <f t="shared" ref="FQ103:GV103" si="242">FP103*(1+$EM$108)</f>
        <v>9397.7519041866344</v>
      </c>
      <c r="FR103" s="95">
        <f t="shared" si="242"/>
        <v>9303.7743851447685</v>
      </c>
      <c r="FS103" s="95">
        <f t="shared" si="242"/>
        <v>9210.7366412933206</v>
      </c>
      <c r="FT103" s="95">
        <f t="shared" si="242"/>
        <v>9118.629274880388</v>
      </c>
      <c r="FU103" s="95">
        <f t="shared" si="242"/>
        <v>9027.4429821315844</v>
      </c>
      <c r="FV103" s="95">
        <f t="shared" si="242"/>
        <v>8937.1685523102678</v>
      </c>
      <c r="FW103" s="95">
        <f t="shared" si="242"/>
        <v>8847.7968667871646</v>
      </c>
      <c r="FX103" s="95">
        <f t="shared" si="242"/>
        <v>8759.3188981192925</v>
      </c>
      <c r="FY103" s="95">
        <f t="shared" si="242"/>
        <v>8671.7257091380998</v>
      </c>
      <c r="FZ103" s="95">
        <f t="shared" si="242"/>
        <v>8585.008452046719</v>
      </c>
      <c r="GA103" s="95">
        <f t="shared" si="242"/>
        <v>8499.1583675262518</v>
      </c>
      <c r="GB103" s="95">
        <f t="shared" si="242"/>
        <v>8414.1667838509893</v>
      </c>
      <c r="GC103" s="95">
        <f t="shared" si="242"/>
        <v>8330.025116012479</v>
      </c>
      <c r="GD103" s="95">
        <f t="shared" si="242"/>
        <v>8246.7248648523546</v>
      </c>
      <c r="GE103" s="95">
        <f t="shared" si="242"/>
        <v>8164.2576162038313</v>
      </c>
      <c r="GF103" s="95">
        <f t="shared" si="242"/>
        <v>8082.6150400417928</v>
      </c>
      <c r="GG103" s="95">
        <f t="shared" si="242"/>
        <v>8001.7888896413751</v>
      </c>
      <c r="GH103" s="95">
        <f t="shared" si="242"/>
        <v>7921.7710007449614</v>
      </c>
      <c r="GI103" s="95">
        <f t="shared" si="242"/>
        <v>7842.5532907375118</v>
      </c>
      <c r="GJ103" s="95">
        <f t="shared" si="242"/>
        <v>7764.1277578301369</v>
      </c>
      <c r="GK103" s="95">
        <f t="shared" si="242"/>
        <v>7686.4864802518359</v>
      </c>
      <c r="GL103" s="95">
        <f t="shared" si="242"/>
        <v>7609.6216154493177</v>
      </c>
      <c r="GM103" s="95">
        <f t="shared" si="242"/>
        <v>7533.5253992948246</v>
      </c>
      <c r="GN103" s="95">
        <f t="shared" si="242"/>
        <v>7458.1901453018763</v>
      </c>
      <c r="GO103" s="95">
        <f t="shared" si="242"/>
        <v>7383.6082438488575</v>
      </c>
      <c r="GP103" s="95">
        <f t="shared" si="242"/>
        <v>7309.7721614103684</v>
      </c>
      <c r="GQ103" s="95">
        <f t="shared" si="242"/>
        <v>7236.6744397962648</v>
      </c>
      <c r="GR103" s="95">
        <f t="shared" si="242"/>
        <v>7164.3076953983018</v>
      </c>
      <c r="GS103" s="95">
        <f t="shared" si="242"/>
        <v>7092.6646184443189</v>
      </c>
      <c r="GT103" s="95">
        <f t="shared" si="242"/>
        <v>7021.7379722598753</v>
      </c>
      <c r="GU103" s="95">
        <f t="shared" si="242"/>
        <v>6951.5205925372766</v>
      </c>
      <c r="GV103" s="95">
        <f t="shared" si="242"/>
        <v>6882.0053866119033</v>
      </c>
      <c r="GW103" s="95">
        <f t="shared" ref="GW103:IB103" si="243">GV103*(1+$EM$108)</f>
        <v>6813.1853327457839</v>
      </c>
      <c r="GX103" s="95">
        <f t="shared" si="243"/>
        <v>6745.0534794183259</v>
      </c>
      <c r="GY103" s="95">
        <f t="shared" si="243"/>
        <v>6677.6029446241428</v>
      </c>
      <c r="GZ103" s="95">
        <f t="shared" si="243"/>
        <v>6610.8269151779014</v>
      </c>
      <c r="HA103" s="95">
        <f t="shared" si="243"/>
        <v>6544.7186460261219</v>
      </c>
      <c r="HB103" s="95">
        <f t="shared" si="243"/>
        <v>6479.2714595658608</v>
      </c>
      <c r="HC103" s="95">
        <f t="shared" si="243"/>
        <v>6414.4787449702026</v>
      </c>
      <c r="HD103" s="95">
        <f t="shared" si="243"/>
        <v>6350.3339575205009</v>
      </c>
      <c r="HE103" s="95">
        <f t="shared" si="243"/>
        <v>6286.8306179452957</v>
      </c>
      <c r="HF103" s="95">
        <f t="shared" si="243"/>
        <v>6223.962311765843</v>
      </c>
      <c r="HG103" s="95">
        <f t="shared" si="243"/>
        <v>6161.7226886481849</v>
      </c>
      <c r="HH103" s="95">
        <f t="shared" si="243"/>
        <v>6100.1054617617028</v>
      </c>
      <c r="HI103" s="95">
        <f t="shared" si="243"/>
        <v>6039.1044071440856</v>
      </c>
      <c r="HJ103" s="95">
        <f t="shared" si="243"/>
        <v>5978.7133630726448</v>
      </c>
      <c r="HK103" s="95">
        <f t="shared" si="243"/>
        <v>5918.9262294419186</v>
      </c>
      <c r="HL103" s="95">
        <f t="shared" si="243"/>
        <v>5859.7369671474989</v>
      </c>
      <c r="HM103" s="95">
        <f t="shared" si="243"/>
        <v>5801.1395974760235</v>
      </c>
      <c r="HN103" s="95">
        <f t="shared" si="243"/>
        <v>5743.128201501263</v>
      </c>
      <c r="HO103" s="95">
        <f t="shared" si="243"/>
        <v>5685.6969194862504</v>
      </c>
      <c r="HP103" s="95">
        <f t="shared" si="243"/>
        <v>5628.839950291388</v>
      </c>
      <c r="HQ103" s="95">
        <f t="shared" si="243"/>
        <v>5572.5515507884738</v>
      </c>
      <c r="HR103" s="95">
        <f t="shared" si="243"/>
        <v>5516.8260352805892</v>
      </c>
      <c r="HS103" s="95">
        <f t="shared" si="243"/>
        <v>5461.6577749277831</v>
      </c>
      <c r="HT103" s="95">
        <f t="shared" si="243"/>
        <v>5407.0411971785052</v>
      </c>
      <c r="HU103" s="95">
        <f t="shared" si="243"/>
        <v>5352.9707852067204</v>
      </c>
      <c r="HV103" s="95">
        <f t="shared" si="243"/>
        <v>5299.4410773546533</v>
      </c>
      <c r="HW103" s="95">
        <f t="shared" si="243"/>
        <v>5246.4466665811069</v>
      </c>
      <c r="HX103" s="95">
        <f t="shared" si="243"/>
        <v>5193.9821999152955</v>
      </c>
      <c r="HY103" s="95">
        <f t="shared" si="243"/>
        <v>5142.0423779161429</v>
      </c>
      <c r="HZ103" s="95">
        <f t="shared" si="243"/>
        <v>5090.621954136981</v>
      </c>
      <c r="IA103" s="95">
        <f t="shared" si="243"/>
        <v>5039.7157345956111</v>
      </c>
      <c r="IB103" s="95">
        <f t="shared" si="243"/>
        <v>4989.3185772496554</v>
      </c>
      <c r="IC103" s="95">
        <f t="shared" ref="IC103:IP103" si="244">IB103*(1+$EM$108)</f>
        <v>4939.4253914771589</v>
      </c>
      <c r="ID103" s="95">
        <f t="shared" si="244"/>
        <v>4890.0311375623869</v>
      </c>
      <c r="IE103" s="95">
        <f t="shared" si="244"/>
        <v>4841.1308261867634</v>
      </c>
      <c r="IF103" s="95">
        <f t="shared" si="244"/>
        <v>4792.7195179248956</v>
      </c>
      <c r="IG103" s="95">
        <f t="shared" si="244"/>
        <v>4744.7923227456467</v>
      </c>
      <c r="IH103" s="95">
        <f t="shared" si="244"/>
        <v>4697.3443995181906</v>
      </c>
      <c r="II103" s="95">
        <f t="shared" si="244"/>
        <v>4650.3709555230089</v>
      </c>
      <c r="IJ103" s="95">
        <f t="shared" si="244"/>
        <v>4603.8672459677791</v>
      </c>
      <c r="IK103" s="95">
        <f t="shared" si="244"/>
        <v>4557.8285735081017</v>
      </c>
      <c r="IL103" s="95">
        <f t="shared" si="244"/>
        <v>4512.2502877730203</v>
      </c>
      <c r="IM103" s="95">
        <f t="shared" si="244"/>
        <v>4467.1277848952905</v>
      </c>
      <c r="IN103" s="95">
        <f t="shared" si="244"/>
        <v>4422.4565070463377</v>
      </c>
      <c r="IO103" s="95">
        <f t="shared" si="244"/>
        <v>4378.2319419758742</v>
      </c>
      <c r="IP103" s="95">
        <f t="shared" si="244"/>
        <v>4334.4496225561152</v>
      </c>
    </row>
    <row r="104" spans="2:250" s="8" customFormat="1" ht="12.75" customHeight="1">
      <c r="B104" s="34" t="s">
        <v>381</v>
      </c>
      <c r="C104" s="32">
        <f>C103/C105</f>
        <v>0.68894667291870926</v>
      </c>
      <c r="D104" s="32">
        <f>D103/D105</f>
        <v>0.75444549437333563</v>
      </c>
      <c r="E104" s="32">
        <f>E103/E105</f>
        <v>0.81369572738280571</v>
      </c>
      <c r="F104" s="32">
        <f>F103/F105</f>
        <v>0.781703607127336</v>
      </c>
      <c r="G104" s="32">
        <f t="shared" ref="G104:W104" si="245">ROUND(G103/G105,2)</f>
        <v>-1.41</v>
      </c>
      <c r="H104" s="32">
        <f t="shared" si="245"/>
        <v>-1.53</v>
      </c>
      <c r="I104" s="32">
        <f t="shared" si="245"/>
        <v>-1.61</v>
      </c>
      <c r="J104" s="32">
        <f t="shared" si="245"/>
        <v>-1.87</v>
      </c>
      <c r="K104" s="32">
        <f t="shared" si="245"/>
        <v>-1.78</v>
      </c>
      <c r="L104" s="32">
        <f t="shared" si="245"/>
        <v>-1.65</v>
      </c>
      <c r="M104" s="32">
        <f t="shared" si="245"/>
        <v>-1.73</v>
      </c>
      <c r="N104" s="32">
        <f t="shared" si="245"/>
        <v>-1.89</v>
      </c>
      <c r="O104" s="32" t="e">
        <f t="shared" si="245"/>
        <v>#REF!</v>
      </c>
      <c r="P104" s="32" t="e">
        <f t="shared" si="245"/>
        <v>#REF!</v>
      </c>
      <c r="Q104" s="32">
        <f t="shared" si="245"/>
        <v>-1.26</v>
      </c>
      <c r="R104" s="32">
        <f t="shared" si="245"/>
        <v>-1.24</v>
      </c>
      <c r="S104" s="32">
        <f t="shared" si="245"/>
        <v>-1.23</v>
      </c>
      <c r="T104" s="32">
        <f t="shared" si="245"/>
        <v>-1.34</v>
      </c>
      <c r="U104" s="32">
        <f t="shared" si="245"/>
        <v>-1.22</v>
      </c>
      <c r="V104" s="32">
        <f t="shared" si="245"/>
        <v>-1.2</v>
      </c>
      <c r="W104" s="32">
        <f t="shared" si="245"/>
        <v>-1.1200000000000001</v>
      </c>
      <c r="X104" s="32">
        <f>ROUND(X103/X105,2)</f>
        <v>-1.1599999999999999</v>
      </c>
      <c r="Y104" s="32">
        <f t="shared" ref="Y104:AH104" si="246">Y103/Y105</f>
        <v>-1.3160543532964268</v>
      </c>
      <c r="Z104" s="32">
        <f t="shared" si="246"/>
        <v>-1.4905245811590222</v>
      </c>
      <c r="AA104" s="32">
        <f t="shared" si="246"/>
        <v>-1.1346330275229357</v>
      </c>
      <c r="AB104" s="32">
        <f t="shared" si="246"/>
        <v>-1.2912936232413665</v>
      </c>
      <c r="AC104" s="32">
        <f t="shared" si="246"/>
        <v>-1.21146479387085</v>
      </c>
      <c r="AD104" s="27"/>
      <c r="AE104" s="27">
        <f t="shared" si="246"/>
        <v>-0.77272727272727271</v>
      </c>
      <c r="AF104" s="27">
        <f t="shared" si="246"/>
        <v>-1.2926704730074732</v>
      </c>
      <c r="AG104" s="27">
        <f>AG103/AG105</f>
        <v>-1.1669788349878252</v>
      </c>
      <c r="AH104" s="27">
        <f t="shared" si="246"/>
        <v>-1.3333175422805437</v>
      </c>
      <c r="AI104" s="27">
        <f t="shared" ref="AI104:AP104" si="247">AI103/AI105</f>
        <v>-1.1639958278020106</v>
      </c>
      <c r="AJ104" s="27">
        <f t="shared" si="247"/>
        <v>-1.3295260663507109</v>
      </c>
      <c r="AK104" s="27">
        <f t="shared" si="247"/>
        <v>-0.73821985144533298</v>
      </c>
      <c r="AL104" s="27">
        <f t="shared" si="247"/>
        <v>1.173060156931125</v>
      </c>
      <c r="AM104" s="27">
        <f t="shared" si="247"/>
        <v>0.83037249283667602</v>
      </c>
      <c r="AN104" s="27">
        <f t="shared" si="247"/>
        <v>-1.9120460726283797</v>
      </c>
      <c r="AO104" s="27">
        <f t="shared" si="247"/>
        <v>-1.8326347691514053</v>
      </c>
      <c r="AP104" s="27">
        <f t="shared" si="247"/>
        <v>-1.9990341274951706</v>
      </c>
      <c r="AQ104" s="27">
        <f>AQ103/AQ105</f>
        <v>-1.933311855670103</v>
      </c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>
        <f t="shared" ref="CC104:CJ104" si="248">+CC103/CC105</f>
        <v>1.3743104806934594</v>
      </c>
      <c r="CD104" s="27">
        <f t="shared" si="248"/>
        <v>1.5981896890987799</v>
      </c>
      <c r="CE104" s="27">
        <f t="shared" si="248"/>
        <v>1.1613537977174342</v>
      </c>
      <c r="CF104" s="27">
        <f t="shared" si="248"/>
        <v>0.61417322834645671</v>
      </c>
      <c r="CG104" s="27">
        <f t="shared" si="248"/>
        <v>1.7519716088328077</v>
      </c>
      <c r="CH104" s="27">
        <f t="shared" si="248"/>
        <v>1.8063116370808678</v>
      </c>
      <c r="CI104" s="27">
        <f t="shared" si="248"/>
        <v>2.1387465510445409</v>
      </c>
      <c r="CJ104" s="27">
        <f t="shared" si="248"/>
        <v>1.8692913385826773</v>
      </c>
      <c r="CK104" s="27">
        <f t="shared" ref="CK104:CT104" si="249">+CK103/CK105</f>
        <v>1.8501180173092053</v>
      </c>
      <c r="CL104" s="27">
        <f t="shared" si="249"/>
        <v>1.6208791208791209</v>
      </c>
      <c r="CM104" s="27">
        <f t="shared" si="249"/>
        <v>1.3986671893375147</v>
      </c>
      <c r="CN104" s="27">
        <f t="shared" si="249"/>
        <v>1.947617172115006</v>
      </c>
      <c r="CO104" s="27">
        <f t="shared" si="249"/>
        <v>2.1335428122545168</v>
      </c>
      <c r="CP104" s="27">
        <f t="shared" si="249"/>
        <v>2.1977891827872087</v>
      </c>
      <c r="CQ104" s="27">
        <f t="shared" si="249"/>
        <v>2.0770440251572326</v>
      </c>
      <c r="CR104" s="27">
        <f t="shared" si="249"/>
        <v>2.2857704402515724</v>
      </c>
      <c r="CS104" s="27">
        <f t="shared" si="249"/>
        <v>1.566430817610063</v>
      </c>
      <c r="CT104" s="27">
        <f t="shared" si="249"/>
        <v>0</v>
      </c>
      <c r="CU104" s="27">
        <f t="shared" ref="CU104:CX104" si="250">+CU103/CU105</f>
        <v>0</v>
      </c>
      <c r="CV104" s="27">
        <f t="shared" si="250"/>
        <v>0</v>
      </c>
      <c r="CW104" s="27">
        <f t="shared" si="250"/>
        <v>0</v>
      </c>
      <c r="CX104" s="27">
        <f t="shared" si="250"/>
        <v>0</v>
      </c>
      <c r="CY104" s="27"/>
      <c r="CZ104" s="27"/>
      <c r="DA104" s="47"/>
      <c r="DB104" s="27">
        <f>SUM(C104:F104)</f>
        <v>3.0387915018021863</v>
      </c>
      <c r="DC104" s="27">
        <f t="shared" ref="DC104:DG104" si="251">ROUND(DC103/DC105,2)</f>
        <v>-5.45</v>
      </c>
      <c r="DD104" s="27">
        <f t="shared" si="251"/>
        <v>-5.87</v>
      </c>
      <c r="DE104" s="27">
        <f t="shared" si="251"/>
        <v>-5.18</v>
      </c>
      <c r="DF104" s="27">
        <f t="shared" si="251"/>
        <v>-4.9800000000000004</v>
      </c>
      <c r="DG104" s="27">
        <f t="shared" si="251"/>
        <v>-5.08</v>
      </c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  <c r="DV104" s="27">
        <f t="shared" ref="DV104:EA104" si="252">ROUND(DV103/DV105,2)</f>
        <v>5.7</v>
      </c>
      <c r="DW104" s="27">
        <f t="shared" si="252"/>
        <v>7.76</v>
      </c>
      <c r="DX104" s="27">
        <f t="shared" si="252"/>
        <v>7.9</v>
      </c>
      <c r="DY104" s="27">
        <f t="shared" si="252"/>
        <v>11.75</v>
      </c>
      <c r="DZ104" s="27">
        <f t="shared" si="252"/>
        <v>12.01</v>
      </c>
      <c r="EA104" s="27">
        <f t="shared" si="252"/>
        <v>11.95</v>
      </c>
      <c r="EB104" s="27">
        <f t="shared" ref="EB104:EJ104" si="253">ROUND(EB103/EB105,2)</f>
        <v>10.41</v>
      </c>
      <c r="EC104" s="27">
        <f t="shared" si="253"/>
        <v>9.23</v>
      </c>
      <c r="ED104" s="27">
        <f t="shared" si="253"/>
        <v>7.88</v>
      </c>
      <c r="EE104" s="27">
        <f t="shared" si="253"/>
        <v>6.65</v>
      </c>
      <c r="EF104" s="27">
        <f t="shared" si="253"/>
        <v>6.12</v>
      </c>
      <c r="EG104" s="27">
        <f t="shared" si="253"/>
        <v>5.78</v>
      </c>
      <c r="EH104" s="27">
        <f t="shared" si="253"/>
        <v>5.47</v>
      </c>
      <c r="EI104" s="27">
        <f t="shared" si="253"/>
        <v>5.25</v>
      </c>
      <c r="EJ104" s="27">
        <f t="shared" si="253"/>
        <v>5.15</v>
      </c>
    </row>
    <row r="105" spans="2:250" s="81" customFormat="1" ht="12.75" customHeight="1">
      <c r="B105" s="98" t="s">
        <v>326</v>
      </c>
      <c r="C105" s="91">
        <v>2345.9</v>
      </c>
      <c r="D105" s="91">
        <v>2328.1999999999998</v>
      </c>
      <c r="E105" s="91">
        <v>2312.4</v>
      </c>
      <c r="F105" s="91">
        <v>2301</v>
      </c>
      <c r="G105" s="91">
        <v>2294.8000000000002</v>
      </c>
      <c r="H105" s="91">
        <v>2282.8000000000002</v>
      </c>
      <c r="I105" s="91">
        <v>2265.9</v>
      </c>
      <c r="J105" s="91">
        <v>2264.1</v>
      </c>
      <c r="K105" s="91">
        <v>2262.1</v>
      </c>
      <c r="L105" s="91">
        <v>2261.1</v>
      </c>
      <c r="M105" s="91">
        <v>2253.9</v>
      </c>
      <c r="N105" s="91">
        <v>2236.6</v>
      </c>
      <c r="O105" s="91">
        <v>2232.5</v>
      </c>
      <c r="P105" s="91">
        <v>2230.1</v>
      </c>
      <c r="Q105" s="91">
        <v>2226.1999999999998</v>
      </c>
      <c r="R105" s="91">
        <v>2217.5</v>
      </c>
      <c r="S105" s="91">
        <v>2210.4</v>
      </c>
      <c r="T105" s="91">
        <v>2206.1</v>
      </c>
      <c r="U105" s="91">
        <v>2197</v>
      </c>
      <c r="V105" s="91">
        <v>2188.6999999999998</v>
      </c>
      <c r="W105" s="91">
        <v>2190.5</v>
      </c>
      <c r="X105" s="91">
        <v>2187.6999999999998</v>
      </c>
      <c r="Y105" s="91">
        <v>2185.6999999999998</v>
      </c>
      <c r="Z105" s="91">
        <v>2184.6</v>
      </c>
      <c r="AA105" s="91">
        <v>2180</v>
      </c>
      <c r="AB105" s="91">
        <v>2189.1999999999998</v>
      </c>
      <c r="AC105" s="91">
        <v>2192.8000000000002</v>
      </c>
      <c r="AD105" s="91"/>
      <c r="AE105" s="91">
        <v>2174.6999999999998</v>
      </c>
      <c r="AF105" s="91">
        <v>2154.3000000000002</v>
      </c>
      <c r="AG105" s="91">
        <v>2135.6</v>
      </c>
      <c r="AH105" s="91">
        <v>2110.9</v>
      </c>
      <c r="AI105" s="91">
        <v>2109.1999999999998</v>
      </c>
      <c r="AJ105" s="91">
        <v>2110</v>
      </c>
      <c r="AK105" s="91">
        <v>2113.6999999999998</v>
      </c>
      <c r="AL105" s="91">
        <v>2752.8</v>
      </c>
      <c r="AM105" s="91">
        <v>3141</v>
      </c>
      <c r="AN105" s="91">
        <v>3125.5</v>
      </c>
      <c r="AO105" s="91">
        <v>3101.6</v>
      </c>
      <c r="AP105" s="91">
        <v>3106</v>
      </c>
      <c r="AQ105" s="91">
        <v>3104</v>
      </c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  <c r="BR105" s="91"/>
      <c r="BS105" s="91"/>
      <c r="BT105" s="91"/>
      <c r="BU105" s="91"/>
      <c r="BV105" s="91"/>
      <c r="BW105" s="91"/>
      <c r="BX105" s="91"/>
      <c r="BY105" s="91"/>
      <c r="BZ105" s="91"/>
      <c r="CA105" s="91"/>
      <c r="CB105" s="91"/>
      <c r="CC105" s="91">
        <v>2538</v>
      </c>
      <c r="CD105" s="91">
        <v>2541</v>
      </c>
      <c r="CE105" s="91">
        <v>2541</v>
      </c>
      <c r="CF105" s="91">
        <v>2540</v>
      </c>
      <c r="CG105" s="91">
        <v>2536</v>
      </c>
      <c r="CH105" s="91">
        <v>2535</v>
      </c>
      <c r="CI105" s="91">
        <v>2537</v>
      </c>
      <c r="CJ105" s="91">
        <v>2540</v>
      </c>
      <c r="CK105" s="91">
        <v>2542</v>
      </c>
      <c r="CL105" s="91">
        <v>2548</v>
      </c>
      <c r="CM105" s="91">
        <v>2551</v>
      </c>
      <c r="CN105" s="91">
        <v>2539</v>
      </c>
      <c r="CO105" s="91">
        <v>2546</v>
      </c>
      <c r="CP105" s="91">
        <v>2533</v>
      </c>
      <c r="CQ105" s="91">
        <v>2544</v>
      </c>
      <c r="CR105" s="91">
        <v>2544</v>
      </c>
      <c r="CS105" s="91">
        <f>+CR105</f>
        <v>2544</v>
      </c>
      <c r="CT105" s="91">
        <f>+CS105</f>
        <v>2544</v>
      </c>
      <c r="CU105" s="91">
        <f t="shared" ref="CU105:CX105" si="254">+CT105</f>
        <v>2544</v>
      </c>
      <c r="CV105" s="91">
        <f t="shared" si="254"/>
        <v>2544</v>
      </c>
      <c r="CW105" s="91">
        <f t="shared" si="254"/>
        <v>2544</v>
      </c>
      <c r="CX105" s="91">
        <f t="shared" si="254"/>
        <v>2544</v>
      </c>
      <c r="CY105" s="91"/>
      <c r="CZ105" s="91"/>
      <c r="DA105" s="73"/>
      <c r="DB105" s="92">
        <v>2321.875</v>
      </c>
      <c r="DC105" s="92">
        <v>2277</v>
      </c>
      <c r="DD105" s="92">
        <f>SUM(K105:N105)/4-0.3</f>
        <v>2253.125</v>
      </c>
      <c r="DE105" s="92">
        <f>SUM(O105:R105)/4</f>
        <v>2226.5749999999998</v>
      </c>
      <c r="DF105" s="92">
        <f>SUM(S105:V105)/4</f>
        <v>2200.5500000000002</v>
      </c>
      <c r="DG105" s="92">
        <f>AVERAGE(W105:Z105)</f>
        <v>2187.125</v>
      </c>
      <c r="DH105" s="92"/>
      <c r="DI105" s="92"/>
      <c r="DJ105" s="92"/>
      <c r="DK105" s="92"/>
      <c r="DL105" s="92"/>
      <c r="DM105" s="92"/>
      <c r="DN105" s="92"/>
      <c r="DO105" s="92"/>
      <c r="DP105" s="92"/>
      <c r="DQ105" s="92"/>
      <c r="DR105" s="92"/>
      <c r="DS105" s="92"/>
      <c r="DT105" s="92"/>
      <c r="DU105" s="92"/>
      <c r="DV105" s="92">
        <f>AVERAGE(CE105:CH105)</f>
        <v>2538</v>
      </c>
      <c r="DW105" s="92">
        <f>AVERAGE(CI105:CL105)</f>
        <v>2541.75</v>
      </c>
      <c r="DX105" s="92">
        <f>AVERAGE(CM105:CP105)</f>
        <v>2542.25</v>
      </c>
      <c r="DY105" s="92">
        <f t="shared" ref="DY105:EA105" si="255">+DX105</f>
        <v>2542.25</v>
      </c>
      <c r="DZ105" s="92">
        <f t="shared" si="255"/>
        <v>2542.25</v>
      </c>
      <c r="EA105" s="92">
        <f t="shared" si="255"/>
        <v>2542.25</v>
      </c>
      <c r="EB105" s="92">
        <f t="shared" ref="EB105" si="256">+EA105</f>
        <v>2542.25</v>
      </c>
      <c r="EC105" s="92">
        <f t="shared" ref="EC105" si="257">+EB105</f>
        <v>2542.25</v>
      </c>
      <c r="ED105" s="92">
        <f t="shared" ref="ED105" si="258">+EC105</f>
        <v>2542.25</v>
      </c>
      <c r="EE105" s="92">
        <f t="shared" ref="EE105" si="259">+ED105</f>
        <v>2542.25</v>
      </c>
      <c r="EF105" s="92">
        <f t="shared" ref="EF105" si="260">+EE105</f>
        <v>2542.25</v>
      </c>
      <c r="EG105" s="92">
        <f t="shared" ref="EG105" si="261">+EF105</f>
        <v>2542.25</v>
      </c>
      <c r="EH105" s="92">
        <f t="shared" ref="EH105" si="262">+EG105</f>
        <v>2542.25</v>
      </c>
      <c r="EI105" s="92">
        <f t="shared" ref="EI105" si="263">+EH105</f>
        <v>2542.25</v>
      </c>
      <c r="EJ105" s="92">
        <f t="shared" ref="EJ105" si="264">+EI105</f>
        <v>2542.25</v>
      </c>
    </row>
    <row r="106" spans="2:250" s="81" customFormat="1" ht="12.75" customHeight="1">
      <c r="B106" s="34"/>
      <c r="C106" s="9"/>
      <c r="D106" s="9"/>
      <c r="E106" s="9"/>
      <c r="F106" s="9"/>
      <c r="G106" s="33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92"/>
      <c r="Z106" s="24"/>
      <c r="AA106" s="92"/>
      <c r="AB106" s="24"/>
      <c r="AC106" s="28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73"/>
      <c r="DB106" s="9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82"/>
      <c r="DQ106" s="82"/>
      <c r="DR106" s="82"/>
      <c r="DS106" s="82"/>
      <c r="DT106" s="82"/>
      <c r="DU106" s="82"/>
      <c r="DV106" s="82"/>
      <c r="DW106" s="82"/>
      <c r="DX106" s="82"/>
      <c r="DY106" s="82"/>
      <c r="DZ106" s="82"/>
      <c r="EA106" s="82"/>
      <c r="EC106" s="85"/>
    </row>
    <row r="107" spans="2:250" s="101" customFormat="1" ht="12.75" customHeight="1">
      <c r="B107" s="102" t="s">
        <v>380</v>
      </c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4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03"/>
      <c r="BK107" s="103"/>
      <c r="BL107" s="103"/>
      <c r="BM107" s="103"/>
      <c r="BN107" s="103"/>
      <c r="BO107" s="103"/>
      <c r="BP107" s="103"/>
      <c r="BQ107" s="103"/>
      <c r="BR107" s="103"/>
      <c r="BS107" s="103"/>
      <c r="BT107" s="103"/>
      <c r="BU107" s="103"/>
      <c r="BV107" s="103"/>
      <c r="BW107" s="103"/>
      <c r="BX107" s="103"/>
      <c r="BY107" s="103"/>
      <c r="BZ107" s="103"/>
      <c r="CA107" s="103"/>
      <c r="CB107" s="103"/>
      <c r="CC107" s="103">
        <f t="shared" ref="CC107:CP107" si="265">+CC89/CC87</f>
        <v>0.76466282368011707</v>
      </c>
      <c r="CD107" s="103">
        <f t="shared" si="265"/>
        <v>0.78112513984337539</v>
      </c>
      <c r="CE107" s="103">
        <f t="shared" si="265"/>
        <v>0.76597346381857534</v>
      </c>
      <c r="CF107" s="103">
        <f t="shared" si="265"/>
        <v>0.76460270128047714</v>
      </c>
      <c r="CG107" s="103">
        <f t="shared" si="265"/>
        <v>0.76767523186863307</v>
      </c>
      <c r="CH107" s="103">
        <f t="shared" si="265"/>
        <v>0.74772575992899937</v>
      </c>
      <c r="CI107" s="103">
        <f t="shared" si="265"/>
        <v>0.7073140054084649</v>
      </c>
      <c r="CJ107" s="103">
        <f t="shared" si="265"/>
        <v>0.74659083122044811</v>
      </c>
      <c r="CK107" s="103">
        <f t="shared" si="265"/>
        <v>0.77043920048131564</v>
      </c>
      <c r="CL107" s="103">
        <f t="shared" si="265"/>
        <v>0.75697758496023138</v>
      </c>
      <c r="CM107" s="103">
        <f t="shared" si="265"/>
        <v>0.76862014219645203</v>
      </c>
      <c r="CN107" s="103">
        <f t="shared" si="265"/>
        <v>0.76554705686730962</v>
      </c>
      <c r="CO107" s="103">
        <f t="shared" si="265"/>
        <v>0.76951509835860166</v>
      </c>
      <c r="CP107" s="103">
        <f t="shared" si="265"/>
        <v>0.771701982228298</v>
      </c>
      <c r="CQ107" s="103">
        <f t="shared" ref="CQ107" si="266">+CQ89/CQ87</f>
        <v>0.81229793977812992</v>
      </c>
      <c r="CR107" s="103">
        <f t="shared" ref="CR107:CS107" si="267">+CR89/CR87</f>
        <v>0.80927259185700096</v>
      </c>
      <c r="CS107" s="103">
        <f t="shared" si="267"/>
        <v>0.80494686918412683</v>
      </c>
      <c r="CT107" s="103">
        <f t="shared" ref="CT107:CX107" si="268">+CT89/CT87</f>
        <v>0</v>
      </c>
      <c r="CU107" s="103">
        <f t="shared" si="268"/>
        <v>0</v>
      </c>
      <c r="CV107" s="103">
        <f t="shared" si="268"/>
        <v>0</v>
      </c>
      <c r="CW107" s="103">
        <f t="shared" si="268"/>
        <v>0</v>
      </c>
      <c r="CX107" s="103">
        <f t="shared" si="268"/>
        <v>0</v>
      </c>
      <c r="CY107" s="103"/>
      <c r="CZ107" s="103"/>
      <c r="DA107" s="105"/>
      <c r="DB107" s="103"/>
      <c r="DC107" s="103"/>
      <c r="DD107" s="103"/>
      <c r="DE107" s="103"/>
      <c r="DF107" s="103"/>
      <c r="DG107" s="103"/>
      <c r="DH107" s="103"/>
      <c r="DI107" s="103"/>
      <c r="DJ107" s="103"/>
      <c r="DK107" s="103">
        <f>DK89/DK87</f>
        <v>0</v>
      </c>
      <c r="DL107" s="103">
        <v>0.749</v>
      </c>
      <c r="DM107" s="103"/>
      <c r="DN107" s="103"/>
      <c r="DO107" s="103"/>
      <c r="DP107" s="103"/>
      <c r="DQ107" s="103"/>
      <c r="DR107" s="103"/>
      <c r="DS107" s="103"/>
      <c r="DT107" s="103"/>
      <c r="DU107" s="103"/>
      <c r="DV107" s="103"/>
      <c r="DW107" s="103">
        <f>DW89/DW87</f>
        <v>0.74449673599514199</v>
      </c>
      <c r="DX107" s="103">
        <f t="shared" ref="DX107:EJ107" si="269">DX89/DX87</f>
        <v>0.76903131440728678</v>
      </c>
      <c r="DY107" s="103">
        <f t="shared" si="269"/>
        <v>0.8</v>
      </c>
      <c r="DZ107" s="103">
        <f t="shared" si="269"/>
        <v>0.8</v>
      </c>
      <c r="EA107" s="103">
        <f t="shared" si="269"/>
        <v>0.8</v>
      </c>
      <c r="EB107" s="103">
        <f t="shared" si="269"/>
        <v>0.8</v>
      </c>
      <c r="EC107" s="103">
        <f t="shared" si="269"/>
        <v>0.8</v>
      </c>
      <c r="ED107" s="103">
        <f t="shared" si="269"/>
        <v>0.79999999999999993</v>
      </c>
      <c r="EE107" s="103">
        <f t="shared" si="269"/>
        <v>0.8</v>
      </c>
      <c r="EF107" s="103">
        <f t="shared" si="269"/>
        <v>0.8</v>
      </c>
      <c r="EG107" s="103">
        <f t="shared" si="269"/>
        <v>0.8</v>
      </c>
      <c r="EH107" s="103">
        <f t="shared" si="269"/>
        <v>0.8</v>
      </c>
      <c r="EI107" s="103">
        <f t="shared" si="269"/>
        <v>0.8</v>
      </c>
      <c r="EJ107" s="103">
        <f t="shared" si="269"/>
        <v>0.8</v>
      </c>
      <c r="EL107" s="81" t="s">
        <v>645</v>
      </c>
      <c r="EM107" s="100">
        <v>0.01</v>
      </c>
    </row>
    <row r="108" spans="2:250" s="101" customFormat="1" ht="12.75" customHeight="1">
      <c r="B108" s="102" t="s">
        <v>378</v>
      </c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4"/>
      <c r="Z108" s="103" t="e">
        <f>Z90/#REF!</f>
        <v>#REF!</v>
      </c>
      <c r="AA108" s="103" t="e">
        <f>AA90/#REF!</f>
        <v>#REF!</v>
      </c>
      <c r="AB108" s="103" t="e">
        <f>AB90/#REF!</f>
        <v>#REF!</v>
      </c>
      <c r="AC108" s="103" t="e">
        <f>AC90/#REF!</f>
        <v>#REF!</v>
      </c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  <c r="BJ108" s="103"/>
      <c r="BK108" s="103"/>
      <c r="BL108" s="103"/>
      <c r="BM108" s="103"/>
      <c r="BN108" s="103"/>
      <c r="BO108" s="103"/>
      <c r="BP108" s="103"/>
      <c r="BQ108" s="103"/>
      <c r="BR108" s="103"/>
      <c r="BS108" s="103"/>
      <c r="BT108" s="103"/>
      <c r="BU108" s="103"/>
      <c r="BV108" s="103"/>
      <c r="BW108" s="103"/>
      <c r="BX108" s="103"/>
      <c r="BY108" s="103"/>
      <c r="BZ108" s="103"/>
      <c r="CA108" s="103"/>
      <c r="CB108" s="103"/>
      <c r="CC108" s="103">
        <f t="shared" ref="CC108:CP108" si="270">+CC90/CC87</f>
        <v>0.18482935309726417</v>
      </c>
      <c r="CD108" s="103">
        <f t="shared" si="270"/>
        <v>0.20513025411539076</v>
      </c>
      <c r="CE108" s="103">
        <f t="shared" si="270"/>
        <v>0.20457325679872024</v>
      </c>
      <c r="CF108" s="103">
        <f t="shared" si="270"/>
        <v>0.19768461673390633</v>
      </c>
      <c r="CG108" s="103">
        <f t="shared" si="270"/>
        <v>0.17257108103998783</v>
      </c>
      <c r="CH108" s="103">
        <f t="shared" si="270"/>
        <v>0.19184971525774722</v>
      </c>
      <c r="CI108" s="103">
        <f t="shared" si="270"/>
        <v>0.14162631281051505</v>
      </c>
      <c r="CJ108" s="103">
        <f t="shared" si="270"/>
        <v>0.16583293359830056</v>
      </c>
      <c r="CK108" s="103">
        <f t="shared" si="270"/>
        <v>0.16525168794705528</v>
      </c>
      <c r="CL108" s="103">
        <f t="shared" si="270"/>
        <v>0.19002169197396962</v>
      </c>
      <c r="CM108" s="103">
        <f t="shared" si="270"/>
        <v>0.16966935873541797</v>
      </c>
      <c r="CN108" s="103">
        <f t="shared" si="270"/>
        <v>0.17459261722647157</v>
      </c>
      <c r="CO108" s="103">
        <f t="shared" si="270"/>
        <v>0.15424132314246336</v>
      </c>
      <c r="CP108" s="103">
        <f t="shared" si="270"/>
        <v>0.18803827751196173</v>
      </c>
      <c r="CQ108" s="103">
        <f t="shared" ref="CQ108:CR108" si="271">+CQ90/CQ87</f>
        <v>0.15575277337559429</v>
      </c>
      <c r="CR108" s="103">
        <f t="shared" si="271"/>
        <v>0.16658391261171798</v>
      </c>
      <c r="CS108" s="103">
        <f t="shared" ref="CS108:CX108" si="272">+CS90/CS87</f>
        <v>0.15951251726001081</v>
      </c>
      <c r="CT108" s="103">
        <f t="shared" si="272"/>
        <v>0</v>
      </c>
      <c r="CU108" s="103">
        <f t="shared" si="272"/>
        <v>0</v>
      </c>
      <c r="CV108" s="103">
        <f t="shared" si="272"/>
        <v>0</v>
      </c>
      <c r="CW108" s="103">
        <f t="shared" si="272"/>
        <v>0</v>
      </c>
      <c r="CX108" s="103">
        <f t="shared" si="272"/>
        <v>0</v>
      </c>
      <c r="CY108" s="103"/>
      <c r="CZ108" s="103"/>
      <c r="DA108" s="105"/>
      <c r="DB108" s="103">
        <f>DB90/DB$87</f>
        <v>0.26890891079767915</v>
      </c>
      <c r="DC108" s="103"/>
      <c r="DD108" s="103"/>
      <c r="DE108" s="103">
        <f>DE90/DE$87</f>
        <v>0.54751105289012614</v>
      </c>
      <c r="DF108" s="103"/>
      <c r="DG108" s="103"/>
      <c r="DH108" s="103"/>
      <c r="DI108" s="103"/>
      <c r="DJ108" s="103"/>
      <c r="DK108" s="103">
        <f>DK90/DK87</f>
        <v>0.27632087558904644</v>
      </c>
      <c r="DL108" s="103">
        <v>0.27700000000000002</v>
      </c>
      <c r="DM108" s="103">
        <v>0.27500000000000002</v>
      </c>
      <c r="DN108" s="103">
        <v>0.27200000000000002</v>
      </c>
      <c r="DO108" s="103">
        <v>0.27</v>
      </c>
      <c r="DP108" s="103">
        <v>0.27</v>
      </c>
      <c r="DQ108" s="103">
        <v>0.27</v>
      </c>
      <c r="DR108" s="103">
        <v>0.27</v>
      </c>
      <c r="DS108" s="103">
        <v>0.27</v>
      </c>
      <c r="DT108" s="103">
        <v>0.27</v>
      </c>
      <c r="DU108" s="103"/>
      <c r="DV108" s="103"/>
      <c r="DW108" s="103"/>
      <c r="DX108" s="103"/>
      <c r="DY108" s="103"/>
      <c r="DZ108" s="103"/>
      <c r="EA108" s="103"/>
      <c r="EC108" s="106"/>
      <c r="EL108" s="101" t="s">
        <v>435</v>
      </c>
      <c r="EM108" s="106">
        <v>-0.01</v>
      </c>
    </row>
    <row r="109" spans="2:250" s="101" customFormat="1" ht="12.75" customHeight="1">
      <c r="B109" s="102" t="s">
        <v>379</v>
      </c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4"/>
      <c r="Z109" s="103" t="e">
        <f>Z91/#REF!</f>
        <v>#REF!</v>
      </c>
      <c r="AA109" s="103" t="e">
        <f>AA91/#REF!</f>
        <v>#REF!</v>
      </c>
      <c r="AB109" s="103" t="e">
        <f>AB91/#REF!</f>
        <v>#REF!</v>
      </c>
      <c r="AC109" s="103" t="e">
        <f>AC91/#REF!</f>
        <v>#REF!</v>
      </c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03"/>
      <c r="BK109" s="103"/>
      <c r="BL109" s="103"/>
      <c r="BM109" s="103"/>
      <c r="BN109" s="103"/>
      <c r="BO109" s="103"/>
      <c r="BP109" s="103"/>
      <c r="BQ109" s="103"/>
      <c r="BR109" s="103"/>
      <c r="BS109" s="103"/>
      <c r="BT109" s="103"/>
      <c r="BU109" s="103"/>
      <c r="BV109" s="103"/>
      <c r="BW109" s="103"/>
      <c r="BX109" s="103"/>
      <c r="BY109" s="103"/>
      <c r="BZ109" s="103"/>
      <c r="CA109" s="103"/>
      <c r="CB109" s="103"/>
      <c r="CC109" s="103">
        <f t="shared" ref="CC109:CP109" si="273">+CC91/CC87</f>
        <v>0.20395278616524842</v>
      </c>
      <c r="CD109" s="103">
        <f t="shared" si="273"/>
        <v>0.20736774812210323</v>
      </c>
      <c r="CE109" s="103">
        <f t="shared" si="273"/>
        <v>0.22461654276842005</v>
      </c>
      <c r="CF109" s="103">
        <f t="shared" si="273"/>
        <v>0.37703911594457112</v>
      </c>
      <c r="CG109" s="103">
        <f t="shared" si="273"/>
        <v>0.18823171658811008</v>
      </c>
      <c r="CH109" s="103">
        <f t="shared" si="273"/>
        <v>0.19828415058057836</v>
      </c>
      <c r="CI109" s="103">
        <f t="shared" si="273"/>
        <v>0.16017860511917489</v>
      </c>
      <c r="CJ109" s="103">
        <f t="shared" si="273"/>
        <v>0.18940587953128213</v>
      </c>
      <c r="CK109" s="103">
        <f t="shared" si="273"/>
        <v>0.23370546159502639</v>
      </c>
      <c r="CL109" s="103">
        <f t="shared" si="273"/>
        <v>0.21945046999276935</v>
      </c>
      <c r="CM109" s="103">
        <f t="shared" si="273"/>
        <v>0.29447090494926487</v>
      </c>
      <c r="CN109" s="103">
        <f t="shared" si="273"/>
        <v>0.20691719321582974</v>
      </c>
      <c r="CO109" s="103">
        <f t="shared" si="273"/>
        <v>0.20655306352587396</v>
      </c>
      <c r="CP109" s="103">
        <f t="shared" si="273"/>
        <v>0.22816131237183868</v>
      </c>
      <c r="CQ109" s="103">
        <f t="shared" ref="CQ109:CR109" si="274">+CQ91/CQ87</f>
        <v>0.25191759112519813</v>
      </c>
      <c r="CR109" s="103">
        <f t="shared" si="274"/>
        <v>0.21598808341608738</v>
      </c>
      <c r="CS109" s="103">
        <f t="shared" ref="CS109:CX109" si="275">+CS91/CS87</f>
        <v>0.35048328030257547</v>
      </c>
      <c r="CT109" s="103">
        <f t="shared" si="275"/>
        <v>0</v>
      </c>
      <c r="CU109" s="103">
        <f t="shared" si="275"/>
        <v>0</v>
      </c>
      <c r="CV109" s="103">
        <f t="shared" si="275"/>
        <v>0</v>
      </c>
      <c r="CW109" s="103">
        <f t="shared" si="275"/>
        <v>0</v>
      </c>
      <c r="CX109" s="103">
        <f t="shared" si="275"/>
        <v>0</v>
      </c>
      <c r="CY109" s="103"/>
      <c r="CZ109" s="103"/>
      <c r="DA109" s="105"/>
      <c r="DB109" s="103">
        <f>DB91/DB$87</f>
        <v>0.11587339025425727</v>
      </c>
      <c r="DC109" s="103"/>
      <c r="DD109" s="103"/>
      <c r="DE109" s="103">
        <f>DE91/DE$87</f>
        <v>0.30540363517275254</v>
      </c>
      <c r="DF109" s="103"/>
      <c r="DG109" s="103"/>
      <c r="DH109" s="103"/>
      <c r="DI109" s="103"/>
      <c r="DJ109" s="103"/>
      <c r="DK109" s="103">
        <f>DK91/DK87</f>
        <v>0.17637950878412126</v>
      </c>
      <c r="DL109" s="103">
        <v>0.19</v>
      </c>
      <c r="DM109" s="103">
        <v>0.185</v>
      </c>
      <c r="DN109" s="103">
        <v>0.18</v>
      </c>
      <c r="DO109" s="103">
        <v>0.18</v>
      </c>
      <c r="DP109" s="103">
        <v>0.17499999999999999</v>
      </c>
      <c r="DQ109" s="103">
        <v>0.17499999999999999</v>
      </c>
      <c r="DR109" s="103">
        <v>0.17</v>
      </c>
      <c r="DS109" s="103">
        <v>0.17</v>
      </c>
      <c r="DT109" s="103">
        <v>0.17</v>
      </c>
      <c r="DU109" s="103"/>
      <c r="DV109" s="103"/>
      <c r="DW109" s="103"/>
      <c r="DX109" s="103"/>
      <c r="DY109" s="103"/>
      <c r="DZ109" s="103"/>
      <c r="EA109" s="103"/>
      <c r="EC109" s="106"/>
      <c r="EL109" s="101" t="s">
        <v>436</v>
      </c>
      <c r="EM109" s="106">
        <v>7.0000000000000007E-2</v>
      </c>
    </row>
    <row r="110" spans="2:250" s="101" customFormat="1" ht="12.75" customHeight="1">
      <c r="B110" s="102" t="s">
        <v>74</v>
      </c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4"/>
      <c r="Z110" s="103" t="e">
        <f>Z93/#REF!</f>
        <v>#REF!</v>
      </c>
      <c r="AA110" s="103" t="e">
        <f>AA93/#REF!</f>
        <v>#REF!</v>
      </c>
      <c r="AB110" s="103" t="e">
        <f>AB93/#REF!</f>
        <v>#REF!</v>
      </c>
      <c r="AC110" s="103" t="e">
        <f>AC93/#REF!</f>
        <v>#REF!</v>
      </c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  <c r="BJ110" s="103"/>
      <c r="BK110" s="103"/>
      <c r="BL110" s="103"/>
      <c r="BM110" s="103"/>
      <c r="BN110" s="103"/>
      <c r="BO110" s="103"/>
      <c r="BP110" s="103"/>
      <c r="BQ110" s="103"/>
      <c r="BR110" s="103"/>
      <c r="BS110" s="103"/>
      <c r="BT110" s="103"/>
      <c r="BU110" s="103"/>
      <c r="BV110" s="103"/>
      <c r="BW110" s="103"/>
      <c r="BX110" s="103"/>
      <c r="BY110" s="103"/>
      <c r="BZ110" s="103"/>
      <c r="CA110" s="103"/>
      <c r="CB110" s="103"/>
      <c r="CC110" s="103">
        <f t="shared" ref="CC110:CP110" si="276">+CC93/CC87</f>
        <v>0.37588068441760453</v>
      </c>
      <c r="CD110" s="103">
        <f t="shared" si="276"/>
        <v>0.36862713760588139</v>
      </c>
      <c r="CE110" s="103">
        <f t="shared" si="276"/>
        <v>0.33678366425143502</v>
      </c>
      <c r="CF110" s="103">
        <f t="shared" si="276"/>
        <v>0.18987896860199965</v>
      </c>
      <c r="CG110" s="103">
        <f t="shared" si="276"/>
        <v>0.40687243424053521</v>
      </c>
      <c r="CH110" s="103">
        <f t="shared" si="276"/>
        <v>0.35759189409067377</v>
      </c>
      <c r="CI110" s="103">
        <f t="shared" si="276"/>
        <v>0.4055090874787749</v>
      </c>
      <c r="CJ110" s="103">
        <f t="shared" si="276"/>
        <v>0.39135201809086551</v>
      </c>
      <c r="CK110" s="103">
        <f t="shared" si="276"/>
        <v>0.37148205093923392</v>
      </c>
      <c r="CL110" s="103">
        <f t="shared" si="276"/>
        <v>0.34750542299349241</v>
      </c>
      <c r="CM110" s="103">
        <f t="shared" si="276"/>
        <v>0.30447987851176916</v>
      </c>
      <c r="CN110" s="103">
        <f t="shared" si="276"/>
        <v>0.38403724642500831</v>
      </c>
      <c r="CO110" s="103">
        <f t="shared" si="276"/>
        <v>0.40872071169026436</v>
      </c>
      <c r="CP110" s="103">
        <f t="shared" si="276"/>
        <v>0.3555023923444976</v>
      </c>
      <c r="CQ110" s="103">
        <f t="shared" ref="CQ110:CR110" si="277">+CQ93/CQ87</f>
        <v>0.40462757527733756</v>
      </c>
      <c r="CR110" s="103">
        <f t="shared" si="277"/>
        <v>0.42670059582919562</v>
      </c>
      <c r="CS110" s="103">
        <f t="shared" ref="CS110:CX110" si="278">+CS93/CS87</f>
        <v>0.29495107162154049</v>
      </c>
      <c r="CT110" s="103">
        <f t="shared" si="278"/>
        <v>0</v>
      </c>
      <c r="CU110" s="103">
        <f t="shared" si="278"/>
        <v>0</v>
      </c>
      <c r="CV110" s="103">
        <f t="shared" si="278"/>
        <v>0</v>
      </c>
      <c r="CW110" s="103">
        <f t="shared" si="278"/>
        <v>0</v>
      </c>
      <c r="CX110" s="103">
        <f t="shared" si="278"/>
        <v>0</v>
      </c>
      <c r="CY110" s="103"/>
      <c r="CZ110" s="103"/>
      <c r="DA110" s="105"/>
      <c r="DB110" s="103">
        <f>DB93/DB$87</f>
        <v>0.44422850134440306</v>
      </c>
      <c r="DC110" s="103"/>
      <c r="DD110" s="103"/>
      <c r="DE110" s="103">
        <f>DE93/DE$87</f>
        <v>-0.85291468806287862</v>
      </c>
      <c r="DF110" s="103">
        <f>DF93/DF$87</f>
        <v>-0.91469105204683354</v>
      </c>
      <c r="DG110" s="103"/>
      <c r="DH110" s="103"/>
      <c r="DI110" s="103"/>
      <c r="DJ110" s="103"/>
      <c r="DK110" s="103">
        <f t="shared" ref="DK110:DT110" si="279">DK93/DK87</f>
        <v>-0.45270038437316773</v>
      </c>
      <c r="DL110" s="103">
        <f t="shared" si="279"/>
        <v>0.30654966031759273</v>
      </c>
      <c r="DM110" s="103">
        <f t="shared" si="279"/>
        <v>-0.27500000000000002</v>
      </c>
      <c r="DN110" s="103">
        <f t="shared" si="279"/>
        <v>-0.27200000000000002</v>
      </c>
      <c r="DO110" s="103">
        <f t="shared" si="279"/>
        <v>-0.27</v>
      </c>
      <c r="DP110" s="103">
        <f t="shared" si="279"/>
        <v>-0.27</v>
      </c>
      <c r="DQ110" s="103">
        <f t="shared" si="279"/>
        <v>-0.27</v>
      </c>
      <c r="DR110" s="103">
        <f t="shared" si="279"/>
        <v>-0.27</v>
      </c>
      <c r="DS110" s="103">
        <f t="shared" si="279"/>
        <v>-0.27</v>
      </c>
      <c r="DT110" s="103">
        <f t="shared" si="279"/>
        <v>-0.27</v>
      </c>
      <c r="DU110" s="103"/>
      <c r="DV110" s="103"/>
      <c r="DW110" s="103"/>
      <c r="DX110" s="103"/>
      <c r="DY110" s="103"/>
      <c r="DZ110" s="103"/>
      <c r="EA110" s="103"/>
      <c r="EC110" s="106"/>
      <c r="EL110" s="101" t="s">
        <v>437</v>
      </c>
      <c r="EM110" s="85">
        <f>NPV($EM$109,EA103:HC103)+Main!J5-Main!J6+DZ103</f>
        <v>229110.39213407942</v>
      </c>
    </row>
    <row r="111" spans="2:250" s="101" customFormat="1" ht="12.75" customHeight="1">
      <c r="B111" s="102" t="s">
        <v>75</v>
      </c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4"/>
      <c r="Z111" s="103" t="e">
        <f>Z101/#REF!</f>
        <v>#REF!</v>
      </c>
      <c r="AA111" s="103" t="e">
        <f>AA101/#REF!</f>
        <v>#REF!</v>
      </c>
      <c r="AB111" s="103" t="e">
        <f>AB101/#REF!</f>
        <v>#REF!</v>
      </c>
      <c r="AC111" s="103" t="e">
        <f>AC101/#REF!</f>
        <v>#REF!</v>
      </c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03"/>
      <c r="BK111" s="103"/>
      <c r="BL111" s="103"/>
      <c r="BM111" s="103"/>
      <c r="BN111" s="103"/>
      <c r="BO111" s="103"/>
      <c r="BP111" s="103"/>
      <c r="BQ111" s="103"/>
      <c r="BR111" s="103"/>
      <c r="BS111" s="103"/>
      <c r="BT111" s="103"/>
      <c r="BU111" s="103"/>
      <c r="BV111" s="103"/>
      <c r="BW111" s="103"/>
      <c r="BX111" s="103"/>
      <c r="BY111" s="103"/>
      <c r="BZ111" s="103"/>
      <c r="CA111" s="103"/>
      <c r="CB111" s="103"/>
      <c r="CC111" s="103"/>
      <c r="CD111" s="103"/>
      <c r="CE111" s="103"/>
      <c r="CF111" s="103"/>
      <c r="CG111" s="103"/>
      <c r="CH111" s="103"/>
      <c r="CI111" s="103"/>
      <c r="CJ111" s="103"/>
      <c r="CK111" s="103"/>
      <c r="CL111" s="103"/>
      <c r="CM111" s="103"/>
      <c r="CN111" s="103"/>
      <c r="CO111" s="103"/>
      <c r="CP111" s="103"/>
      <c r="CQ111" s="103"/>
      <c r="CR111" s="103"/>
      <c r="CS111" s="103"/>
      <c r="CT111" s="103"/>
      <c r="CU111" s="103"/>
      <c r="CV111" s="103"/>
      <c r="CW111" s="103"/>
      <c r="CX111" s="103"/>
      <c r="CY111" s="103"/>
      <c r="CZ111" s="103"/>
      <c r="DA111" s="105"/>
      <c r="DB111" s="103">
        <f>DB101/DB$87</f>
        <v>0.41918533893108173</v>
      </c>
      <c r="DC111" s="103"/>
      <c r="DD111" s="103"/>
      <c r="DE111" s="103">
        <f>DE101/DE$87</f>
        <v>-0.76792205665629598</v>
      </c>
      <c r="DF111" s="103"/>
      <c r="DG111" s="103"/>
      <c r="DH111" s="103"/>
      <c r="DI111" s="103"/>
      <c r="DJ111" s="103"/>
      <c r="DK111" s="103">
        <f>DK101/DK87</f>
        <v>-0.45688505722165523</v>
      </c>
      <c r="DL111" s="103"/>
      <c r="DM111" s="103"/>
      <c r="DN111" s="103"/>
      <c r="DO111" s="103"/>
      <c r="DP111" s="103"/>
      <c r="DQ111" s="103"/>
      <c r="DR111" s="103"/>
      <c r="DS111" s="103"/>
      <c r="DT111" s="103"/>
      <c r="DU111" s="103"/>
      <c r="DV111" s="103"/>
      <c r="DW111" s="103"/>
      <c r="DX111" s="103"/>
      <c r="DY111" s="103"/>
      <c r="DZ111" s="103"/>
      <c r="EA111" s="103"/>
      <c r="EC111" s="106"/>
      <c r="EL111" s="101" t="s">
        <v>777</v>
      </c>
      <c r="EM111" s="107">
        <f>EM110/Main!J3</f>
        <v>90.059116404905438</v>
      </c>
    </row>
    <row r="112" spans="2:250" s="101" customFormat="1" ht="12.75" customHeight="1">
      <c r="B112" s="102" t="s">
        <v>76</v>
      </c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4"/>
      <c r="Z112" s="103" t="e">
        <f>Z103/#REF!</f>
        <v>#REF!</v>
      </c>
      <c r="AA112" s="103" t="e">
        <f>AA103/#REF!</f>
        <v>#REF!</v>
      </c>
      <c r="AB112" s="103" t="e">
        <f>AB103/#REF!</f>
        <v>#REF!</v>
      </c>
      <c r="AC112" s="103" t="e">
        <f>AC103/#REF!</f>
        <v>#REF!</v>
      </c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  <c r="BJ112" s="103"/>
      <c r="BK112" s="103"/>
      <c r="BL112" s="103"/>
      <c r="BM112" s="103"/>
      <c r="BN112" s="103"/>
      <c r="BO112" s="103"/>
      <c r="BP112" s="103"/>
      <c r="BQ112" s="103"/>
      <c r="BR112" s="103"/>
      <c r="BS112" s="103"/>
      <c r="BT112" s="103"/>
      <c r="BU112" s="103"/>
      <c r="BV112" s="103"/>
      <c r="BW112" s="103"/>
      <c r="BX112" s="103"/>
      <c r="BY112" s="103"/>
      <c r="BZ112" s="103"/>
      <c r="CA112" s="103"/>
      <c r="CB112" s="103"/>
      <c r="CC112" s="103">
        <f t="shared" ref="CC112:CP112" si="280">+CC103/CC87</f>
        <v>0.31915088297190958</v>
      </c>
      <c r="CD112" s="103">
        <f t="shared" si="280"/>
        <v>0.32451654147354964</v>
      </c>
      <c r="CE112" s="103">
        <f t="shared" si="280"/>
        <v>0.27768890561776605</v>
      </c>
      <c r="CF112" s="103">
        <f t="shared" si="280"/>
        <v>0.13681810208735309</v>
      </c>
      <c r="CG112" s="103">
        <f t="shared" si="280"/>
        <v>0.3377679793218793</v>
      </c>
      <c r="CH112" s="103">
        <f t="shared" si="280"/>
        <v>0.33865838325567638</v>
      </c>
      <c r="CI112" s="103">
        <f t="shared" si="280"/>
        <v>0.34123640022640084</v>
      </c>
      <c r="CJ112" s="103">
        <f t="shared" si="280"/>
        <v>0.32536147467964094</v>
      </c>
      <c r="CK112" s="103">
        <f t="shared" si="280"/>
        <v>0.31439267330703924</v>
      </c>
      <c r="CL112" s="103">
        <f t="shared" si="280"/>
        <v>0.29862617498192334</v>
      </c>
      <c r="CM112" s="103">
        <f t="shared" si="280"/>
        <v>0.24628977704148547</v>
      </c>
      <c r="CN112" s="103">
        <f t="shared" si="280"/>
        <v>0.32889923511805785</v>
      </c>
      <c r="CO112" s="103">
        <f t="shared" si="280"/>
        <v>0.34030823205112143</v>
      </c>
      <c r="CP112" s="103">
        <f t="shared" si="280"/>
        <v>0.38051948051948054</v>
      </c>
      <c r="CQ112" s="103">
        <f t="shared" ref="CQ112:CR112" si="281">+CQ103/CQ87</f>
        <v>0.33496038034865294</v>
      </c>
      <c r="CR112" s="103">
        <f t="shared" si="281"/>
        <v>0.36091112214498511</v>
      </c>
      <c r="CS112" s="103">
        <f t="shared" ref="CS112:CX112" si="282">+CS103/CS87</f>
        <v>0.23923875847991835</v>
      </c>
      <c r="CT112" s="103">
        <f t="shared" si="282"/>
        <v>0</v>
      </c>
      <c r="CU112" s="103">
        <f t="shared" si="282"/>
        <v>0</v>
      </c>
      <c r="CV112" s="103">
        <f t="shared" si="282"/>
        <v>0</v>
      </c>
      <c r="CW112" s="103">
        <f t="shared" si="282"/>
        <v>0</v>
      </c>
      <c r="CX112" s="103">
        <f t="shared" si="282"/>
        <v>0</v>
      </c>
      <c r="CY112" s="103"/>
      <c r="CZ112" s="103"/>
      <c r="DA112" s="105"/>
      <c r="DB112" s="103">
        <f>DB103/DB$87</f>
        <v>0.28262701070805235</v>
      </c>
      <c r="DC112" s="103"/>
      <c r="DD112" s="103"/>
      <c r="DE112" s="103">
        <f>DE103/DE$87</f>
        <v>-0.94485835925986572</v>
      </c>
      <c r="DF112" s="103"/>
      <c r="DG112" s="103"/>
      <c r="DH112" s="103"/>
      <c r="DI112" s="103"/>
      <c r="DJ112" s="103"/>
      <c r="DK112" s="103">
        <f>DK103/DK87</f>
        <v>-0.51841082325349086</v>
      </c>
      <c r="DL112" s="103"/>
      <c r="DM112" s="103"/>
      <c r="DN112" s="103"/>
      <c r="DO112" s="103"/>
      <c r="DP112" s="103"/>
      <c r="DQ112" s="103"/>
      <c r="DR112" s="103"/>
      <c r="DS112" s="103"/>
      <c r="DT112" s="103"/>
      <c r="DU112" s="103"/>
      <c r="DV112" s="103"/>
      <c r="DW112" s="103"/>
      <c r="DX112" s="103"/>
      <c r="DY112" s="103"/>
      <c r="DZ112" s="103"/>
      <c r="EA112" s="103"/>
      <c r="EC112" s="106"/>
    </row>
    <row r="113" spans="2:140" s="101" customFormat="1" ht="12.75" customHeight="1">
      <c r="B113" s="102" t="s">
        <v>77</v>
      </c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4"/>
      <c r="Z113" s="103">
        <f>Z102/Z101</f>
        <v>-0.15541835213966362</v>
      </c>
      <c r="AA113" s="103">
        <f>AA102/AA101</f>
        <v>-0.28600395133617551</v>
      </c>
      <c r="AB113" s="103">
        <f>AB102/AB101</f>
        <v>-0.24472722469288008</v>
      </c>
      <c r="AC113" s="103">
        <f>AC102/AC101</f>
        <v>-0.25460470388211959</v>
      </c>
      <c r="AD113" s="103"/>
      <c r="AE113" s="103">
        <f>AE102/AE101</f>
        <v>0.25</v>
      </c>
      <c r="AF113" s="103">
        <f>AF102/AF101</f>
        <v>-0.11633127555519923</v>
      </c>
      <c r="AG113" s="103">
        <f>AG102/AG101</f>
        <v>-0.14636614535418585</v>
      </c>
      <c r="AH113" s="103">
        <v>0.26</v>
      </c>
      <c r="AI113" s="103">
        <f t="shared" ref="AI113:AQ113" si="283">AI102/AI101</f>
        <v>-0.17071193553001762</v>
      </c>
      <c r="AJ113" s="103">
        <f t="shared" si="283"/>
        <v>-0.21215918420256663</v>
      </c>
      <c r="AK113" s="103">
        <f t="shared" si="283"/>
        <v>0.31900000000000001</v>
      </c>
      <c r="AL113" s="103">
        <f t="shared" si="283"/>
        <v>0.11741554608068216</v>
      </c>
      <c r="AM113" s="103">
        <f t="shared" si="283"/>
        <v>0.23912599550745359</v>
      </c>
      <c r="AN113" s="103">
        <f t="shared" si="283"/>
        <v>-0.13938989513822686</v>
      </c>
      <c r="AO113" s="103">
        <f t="shared" si="283"/>
        <v>-0.16246395484385548</v>
      </c>
      <c r="AP113" s="103">
        <f t="shared" si="283"/>
        <v>-8.529977276699878E-2</v>
      </c>
      <c r="AQ113" s="103">
        <f t="shared" si="283"/>
        <v>-0.19732641660015962</v>
      </c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03"/>
      <c r="BK113" s="103"/>
      <c r="BL113" s="103"/>
      <c r="BM113" s="103"/>
      <c r="BN113" s="103"/>
      <c r="BO113" s="103"/>
      <c r="BP113" s="103"/>
      <c r="BQ113" s="103"/>
      <c r="BR113" s="103"/>
      <c r="BS113" s="103"/>
      <c r="BT113" s="103"/>
      <c r="BU113" s="103"/>
      <c r="BV113" s="103"/>
      <c r="BW113" s="103"/>
      <c r="BX113" s="103"/>
      <c r="BY113" s="103"/>
      <c r="BZ113" s="103"/>
      <c r="CA113" s="103"/>
      <c r="CB113" s="103"/>
      <c r="CC113" s="103">
        <f t="shared" ref="CC113:CP113" si="284">+CC102/CC101</f>
        <v>0.14362877485882641</v>
      </c>
      <c r="CD113" s="103">
        <f t="shared" si="284"/>
        <v>0.10015510746731664</v>
      </c>
      <c r="CE113" s="103">
        <f t="shared" si="284"/>
        <v>0.14339622641509434</v>
      </c>
      <c r="CF113" s="103">
        <f t="shared" si="284"/>
        <v>0.26657263751763044</v>
      </c>
      <c r="CG113" s="103">
        <f t="shared" si="284"/>
        <v>0.13018794048551291</v>
      </c>
      <c r="CH113" s="103">
        <f t="shared" si="284"/>
        <v>4.2851170568561872E-2</v>
      </c>
      <c r="CI113" s="103">
        <f t="shared" si="284"/>
        <v>0.13995878903154224</v>
      </c>
      <c r="CJ113" s="103">
        <f t="shared" si="284"/>
        <v>0.13813759302958795</v>
      </c>
      <c r="CK113" s="103">
        <f t="shared" si="284"/>
        <v>0.13738077769625825</v>
      </c>
      <c r="CL113" s="103">
        <f t="shared" si="284"/>
        <v>0.15576451349141454</v>
      </c>
      <c r="CM113" s="103">
        <f t="shared" si="284"/>
        <v>0.20374916313322919</v>
      </c>
      <c r="CN113" s="103">
        <f t="shared" si="284"/>
        <v>0.14074717636837533</v>
      </c>
      <c r="CO113" s="103">
        <f t="shared" si="284"/>
        <v>0.15005476451259583</v>
      </c>
      <c r="CP113" s="103">
        <f t="shared" si="284"/>
        <v>-0.10741993236522777</v>
      </c>
      <c r="CQ113" s="103">
        <f t="shared" ref="CQ113:CR113" si="285">+CQ102/CQ101</f>
        <v>0.16073697585768743</v>
      </c>
      <c r="CR113" s="103">
        <f t="shared" si="285"/>
        <v>0.14068272498891679</v>
      </c>
      <c r="CS113" s="103">
        <f t="shared" ref="CS113:CX113" si="286">+CS102/CS101</f>
        <v>0.21954563258911086</v>
      </c>
      <c r="CT113" s="103" t="e">
        <f t="shared" si="286"/>
        <v>#DIV/0!</v>
      </c>
      <c r="CU113" s="103" t="e">
        <f t="shared" si="286"/>
        <v>#DIV/0!</v>
      </c>
      <c r="CV113" s="103" t="e">
        <f t="shared" si="286"/>
        <v>#DIV/0!</v>
      </c>
      <c r="CW113" s="103" t="e">
        <f t="shared" si="286"/>
        <v>#DIV/0!</v>
      </c>
      <c r="CX113" s="103" t="e">
        <f t="shared" si="286"/>
        <v>#DIV/0!</v>
      </c>
      <c r="CY113" s="103"/>
      <c r="CZ113" s="103"/>
      <c r="DA113" s="105"/>
      <c r="DB113" s="103">
        <f t="shared" ref="DB113:DK113" si="287">DB102/DB101</f>
        <v>0.32577076424297591</v>
      </c>
      <c r="DC113" s="103">
        <f t="shared" si="287"/>
        <v>-0.29904536604768989</v>
      </c>
      <c r="DD113" s="103">
        <f t="shared" si="287"/>
        <v>-0.22870625830244593</v>
      </c>
      <c r="DE113" s="103">
        <f t="shared" si="287"/>
        <v>-0.23040919461799261</v>
      </c>
      <c r="DF113" s="103">
        <f t="shared" si="287"/>
        <v>-0.23575806742383273</v>
      </c>
      <c r="DG113" s="103">
        <f t="shared" si="287"/>
        <v>-0.19156004200690113</v>
      </c>
      <c r="DH113" s="103">
        <f t="shared" si="287"/>
        <v>-0.26061883109681716</v>
      </c>
      <c r="DI113" s="103">
        <f t="shared" si="287"/>
        <v>0.25</v>
      </c>
      <c r="DJ113" s="103">
        <f t="shared" si="287"/>
        <v>0.25</v>
      </c>
      <c r="DK113" s="103">
        <f t="shared" si="287"/>
        <v>-0.1346635549999762</v>
      </c>
      <c r="DL113" s="103"/>
      <c r="DM113" s="103"/>
      <c r="DN113" s="103"/>
      <c r="DO113" s="103"/>
      <c r="DP113" s="103"/>
      <c r="DQ113" s="103"/>
      <c r="DR113" s="103"/>
      <c r="DS113" s="103"/>
      <c r="DT113" s="103"/>
      <c r="DU113" s="103"/>
      <c r="DV113" s="103"/>
      <c r="DW113" s="103"/>
      <c r="DX113" s="103"/>
      <c r="DY113" s="103"/>
      <c r="DZ113" s="103"/>
      <c r="EA113" s="103"/>
      <c r="EC113" s="106"/>
    </row>
    <row r="114" spans="2:140" s="81" customFormat="1" ht="12.75" customHeight="1">
      <c r="B114" s="98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92"/>
      <c r="Z114" s="82"/>
      <c r="AA114" s="92"/>
      <c r="AB114" s="82"/>
      <c r="AC114" s="85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82"/>
      <c r="AP114" s="82"/>
      <c r="AQ114" s="82"/>
      <c r="AR114" s="82"/>
      <c r="AS114" s="82"/>
      <c r="AT114" s="82"/>
      <c r="AU114" s="82"/>
      <c r="AV114" s="82"/>
      <c r="AW114" s="82"/>
      <c r="AX114" s="82"/>
      <c r="AY114" s="82"/>
      <c r="AZ114" s="82"/>
      <c r="BA114" s="82"/>
      <c r="BB114" s="82"/>
      <c r="BC114" s="82"/>
      <c r="BD114" s="82"/>
      <c r="BE114" s="82"/>
      <c r="BF114" s="82"/>
      <c r="BG114" s="82"/>
      <c r="BH114" s="82"/>
      <c r="BI114" s="82"/>
      <c r="BJ114" s="82"/>
      <c r="BK114" s="82"/>
      <c r="BL114" s="82"/>
      <c r="BM114" s="82"/>
      <c r="BN114" s="82"/>
      <c r="BO114" s="82"/>
      <c r="BP114" s="82"/>
      <c r="BQ114" s="82"/>
      <c r="BR114" s="82"/>
      <c r="BS114" s="82"/>
      <c r="BT114" s="82"/>
      <c r="BU114" s="82"/>
      <c r="BV114" s="82"/>
      <c r="BW114" s="82"/>
      <c r="BX114" s="82"/>
      <c r="BY114" s="82"/>
      <c r="BZ114" s="82"/>
      <c r="CA114" s="82"/>
      <c r="CB114" s="82"/>
      <c r="CC114" s="82"/>
      <c r="CD114" s="82"/>
      <c r="CE114" s="82"/>
      <c r="CF114" s="82"/>
      <c r="CG114" s="82"/>
      <c r="CH114" s="82"/>
      <c r="CI114" s="82"/>
      <c r="CJ114" s="82"/>
      <c r="CK114" s="82"/>
      <c r="CL114" s="82"/>
      <c r="CM114" s="82"/>
      <c r="CN114" s="82"/>
      <c r="CO114" s="82"/>
      <c r="CP114" s="82"/>
      <c r="CQ114" s="82"/>
      <c r="CR114" s="82"/>
      <c r="CS114" s="82"/>
      <c r="CT114" s="82"/>
      <c r="CU114" s="82"/>
      <c r="CV114" s="82"/>
      <c r="CW114" s="82"/>
      <c r="CX114" s="82"/>
      <c r="CY114" s="82"/>
      <c r="CZ114" s="82"/>
      <c r="DA114" s="73"/>
      <c r="DB114" s="82"/>
      <c r="DC114" s="82"/>
      <c r="DD114" s="82"/>
      <c r="DE114" s="82"/>
      <c r="DF114" s="82"/>
      <c r="DG114" s="82"/>
      <c r="DH114" s="82"/>
      <c r="DI114" s="82"/>
      <c r="DJ114" s="82"/>
      <c r="DK114" s="82"/>
      <c r="DL114" s="82"/>
      <c r="DM114" s="82"/>
      <c r="DN114" s="82"/>
      <c r="DO114" s="82"/>
      <c r="DP114" s="82"/>
      <c r="DQ114" s="82"/>
      <c r="DR114" s="82"/>
      <c r="DS114" s="82"/>
      <c r="DT114" s="82"/>
      <c r="DU114" s="82"/>
      <c r="DV114" s="82"/>
      <c r="DW114" s="82"/>
      <c r="DX114" s="82"/>
      <c r="DY114" s="82"/>
      <c r="DZ114" s="82"/>
      <c r="EA114" s="82"/>
      <c r="EC114" s="85"/>
    </row>
    <row r="115" spans="2:140" s="81" customFormat="1" ht="12.75" customHeight="1">
      <c r="B115" s="108"/>
      <c r="C115" s="99"/>
      <c r="D115" s="99"/>
      <c r="E115" s="99"/>
      <c r="F115" s="99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92"/>
      <c r="Z115" s="82"/>
      <c r="AA115" s="92"/>
      <c r="AB115" s="82"/>
      <c r="AC115" s="85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  <c r="AR115" s="82"/>
      <c r="AS115" s="82"/>
      <c r="AT115" s="82"/>
      <c r="AU115" s="82"/>
      <c r="AV115" s="82"/>
      <c r="AW115" s="82"/>
      <c r="AX115" s="82"/>
      <c r="AY115" s="82"/>
      <c r="AZ115" s="82"/>
      <c r="BA115" s="82"/>
      <c r="BB115" s="82"/>
      <c r="BC115" s="82"/>
      <c r="BD115" s="82"/>
      <c r="BE115" s="82"/>
      <c r="BF115" s="82"/>
      <c r="BG115" s="82"/>
      <c r="BH115" s="82"/>
      <c r="BI115" s="82"/>
      <c r="BJ115" s="82"/>
      <c r="BK115" s="82"/>
      <c r="BL115" s="82"/>
      <c r="BM115" s="82"/>
      <c r="BN115" s="82"/>
      <c r="BO115" s="82"/>
      <c r="BP115" s="82"/>
      <c r="BQ115" s="82"/>
      <c r="BR115" s="82"/>
      <c r="BS115" s="82"/>
      <c r="BT115" s="82"/>
      <c r="BU115" s="82"/>
      <c r="BV115" s="82"/>
      <c r="BW115" s="82"/>
      <c r="BX115" s="82"/>
      <c r="BY115" s="82"/>
      <c r="BZ115" s="82"/>
      <c r="CA115" s="82"/>
      <c r="CB115" s="82"/>
      <c r="CC115" s="82"/>
      <c r="CD115" s="82"/>
      <c r="CE115" s="82"/>
      <c r="CF115" s="82"/>
      <c r="CG115" s="82"/>
      <c r="CH115" s="82"/>
      <c r="CI115" s="82"/>
      <c r="CJ115" s="82"/>
      <c r="CK115" s="82"/>
      <c r="CL115" s="82"/>
      <c r="CM115" s="82"/>
      <c r="CN115" s="82"/>
      <c r="CO115" s="82"/>
      <c r="CP115" s="82"/>
      <c r="CQ115" s="82"/>
      <c r="CR115" s="82"/>
      <c r="CS115" s="82"/>
      <c r="CT115" s="82"/>
      <c r="CU115" s="82"/>
      <c r="CV115" s="82"/>
      <c r="CW115" s="82"/>
      <c r="CX115" s="82"/>
      <c r="CY115" s="82"/>
      <c r="CZ115" s="82"/>
      <c r="DA115" s="73"/>
      <c r="DB115" s="99"/>
      <c r="DC115" s="109"/>
      <c r="DD115" s="109"/>
      <c r="DE115" s="109"/>
      <c r="DF115" s="109"/>
      <c r="DG115" s="109"/>
      <c r="DH115" s="109"/>
      <c r="DI115" s="109"/>
      <c r="DJ115" s="109"/>
      <c r="DK115" s="109"/>
      <c r="DL115" s="109"/>
      <c r="DM115" s="109"/>
      <c r="DN115" s="109"/>
      <c r="DO115" s="109"/>
      <c r="DP115" s="82"/>
      <c r="DQ115" s="82"/>
      <c r="DR115" s="82"/>
      <c r="DS115" s="82"/>
      <c r="DT115" s="82"/>
      <c r="DU115" s="82"/>
      <c r="DV115" s="82"/>
      <c r="DW115" s="82"/>
      <c r="DX115" s="82"/>
      <c r="DY115" s="82"/>
      <c r="DZ115" s="82"/>
      <c r="EA115" s="82"/>
      <c r="EC115" s="85"/>
    </row>
    <row r="116" spans="2:140" s="8" customFormat="1" ht="12.75" customHeight="1">
      <c r="B116" s="34" t="s">
        <v>643</v>
      </c>
      <c r="C116" s="9"/>
      <c r="D116" s="9"/>
      <c r="E116" s="9"/>
      <c r="F116" s="9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6"/>
      <c r="Z116" s="24"/>
      <c r="AA116" s="26"/>
      <c r="AB116" s="24"/>
      <c r="AC116" s="28"/>
      <c r="AD116" s="24"/>
      <c r="AE116" s="24"/>
      <c r="AF116" s="24"/>
      <c r="AG116" s="24"/>
      <c r="AH116" s="24"/>
      <c r="AI116" s="24"/>
      <c r="AJ116" s="24"/>
      <c r="AK116" s="24"/>
      <c r="AL116" s="42">
        <f>+AL87/AH87-1</f>
        <v>3.4799453420143083</v>
      </c>
      <c r="AM116" s="42">
        <f>+AM87/AI87-1</f>
        <v>0.59650593990216638</v>
      </c>
      <c r="AN116" s="42" t="e">
        <f>+#REF!/AJ87-1</f>
        <v>#REF!</v>
      </c>
      <c r="AO116" s="42" t="e">
        <f>+#REF!/AK87-1</f>
        <v>#REF!</v>
      </c>
      <c r="AP116" s="42" t="e">
        <f>+#REF!/AL87-1</f>
        <v>#REF!</v>
      </c>
      <c r="AQ116" s="42" t="e">
        <f>+#REF!/AM87-1</f>
        <v>#REF!</v>
      </c>
      <c r="AR116" s="42" t="e">
        <f>+#REF!/#REF!-1</f>
        <v>#REF!</v>
      </c>
      <c r="AS116" s="42" t="e">
        <f>+#REF!/#REF!-1</f>
        <v>#REF!</v>
      </c>
      <c r="AT116" s="42" t="e">
        <f>+#REF!/#REF!-1</f>
        <v>#REF!</v>
      </c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42"/>
      <c r="BM116" s="42"/>
      <c r="BN116" s="42"/>
      <c r="BO116" s="42"/>
      <c r="BP116" s="42"/>
      <c r="BQ116" s="42"/>
      <c r="BR116" s="42"/>
      <c r="BS116" s="42"/>
      <c r="BT116" s="42"/>
      <c r="BU116" s="42"/>
      <c r="BV116" s="42"/>
      <c r="BW116" s="42"/>
      <c r="BX116" s="42"/>
      <c r="BY116" s="42"/>
      <c r="BZ116" s="42"/>
      <c r="CA116" s="42">
        <f t="shared" ref="CA116:CX116" si="288">+CA87/BW87-1</f>
        <v>0.11473742603550297</v>
      </c>
      <c r="CB116" s="42">
        <f t="shared" si="288"/>
        <v>-7.551020408163267E-2</v>
      </c>
      <c r="CC116" s="42">
        <f t="shared" si="288"/>
        <v>-0.11841574574493829</v>
      </c>
      <c r="CD116" s="42">
        <f t="shared" si="288"/>
        <v>5.4432086282440117E-2</v>
      </c>
      <c r="CE116" s="42">
        <f t="shared" si="288"/>
        <v>-0.11860330098697847</v>
      </c>
      <c r="CF116" s="42">
        <f t="shared" si="288"/>
        <v>4.8749080206033746E-2</v>
      </c>
      <c r="CG116" s="42">
        <f t="shared" si="288"/>
        <v>0.20358678744624403</v>
      </c>
      <c r="CH116" s="42">
        <f t="shared" si="288"/>
        <v>8.046987374140957E-2</v>
      </c>
      <c r="CI116" s="42">
        <f t="shared" si="288"/>
        <v>0.49628305260186312</v>
      </c>
      <c r="CJ116" s="42">
        <f t="shared" si="288"/>
        <v>0.27986318189791271</v>
      </c>
      <c r="CK116" s="42">
        <f t="shared" si="288"/>
        <v>0.1372206173027215</v>
      </c>
      <c r="CL116" s="42">
        <f t="shared" si="288"/>
        <v>2.2853339250055393E-2</v>
      </c>
      <c r="CM116" s="42">
        <f t="shared" si="288"/>
        <v>-8.8925224828627081E-2</v>
      </c>
      <c r="CN116" s="42">
        <f t="shared" si="288"/>
        <v>3.0288494483656558E-2</v>
      </c>
      <c r="CO116" s="42">
        <f t="shared" si="288"/>
        <v>6.7049936493080997E-2</v>
      </c>
      <c r="CP116" s="42">
        <f t="shared" si="288"/>
        <v>5.7845263919016565E-2</v>
      </c>
      <c r="CQ116" s="42">
        <f t="shared" si="288"/>
        <v>8.8907296196589991E-2</v>
      </c>
      <c r="CR116" s="42">
        <f t="shared" si="288"/>
        <v>7.1632856667775302E-2</v>
      </c>
      <c r="CS116" s="42">
        <f t="shared" si="288"/>
        <v>4.354090966044355E-2</v>
      </c>
      <c r="CT116" s="42">
        <f t="shared" si="288"/>
        <v>5.3747778537252433E-2</v>
      </c>
      <c r="CU116" s="42">
        <f t="shared" si="288"/>
        <v>4.9210142630744746E-2</v>
      </c>
      <c r="CV116" s="42">
        <f t="shared" si="288"/>
        <v>5.9038294438927386E-2</v>
      </c>
      <c r="CW116" s="42">
        <f t="shared" si="288"/>
        <v>4.2456474755358187E-2</v>
      </c>
      <c r="CX116" s="42">
        <f t="shared" si="288"/>
        <v>5.5649084444871155E-2</v>
      </c>
      <c r="CY116" s="42"/>
      <c r="CZ116" s="42"/>
      <c r="DA116" s="47"/>
      <c r="DB116" s="9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C116" s="28"/>
    </row>
    <row r="117" spans="2:140" s="8" customFormat="1" ht="12.75" customHeight="1">
      <c r="B117" s="34" t="s">
        <v>924</v>
      </c>
      <c r="C117" s="9"/>
      <c r="D117" s="9"/>
      <c r="E117" s="9"/>
      <c r="F117" s="9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6"/>
      <c r="Z117" s="24"/>
      <c r="AA117" s="26"/>
      <c r="AB117" s="24"/>
      <c r="AC117" s="28"/>
      <c r="AD117" s="24"/>
      <c r="AE117" s="24"/>
      <c r="AF117" s="24"/>
      <c r="AG117" s="24"/>
      <c r="AH117" s="24"/>
      <c r="AI117" s="24"/>
      <c r="AJ117" s="24"/>
      <c r="AK117" s="24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42"/>
      <c r="BK117" s="42"/>
      <c r="BL117" s="42"/>
      <c r="BM117" s="42"/>
      <c r="BN117" s="42"/>
      <c r="BO117" s="42"/>
      <c r="BP117" s="42"/>
      <c r="BQ117" s="42"/>
      <c r="BR117" s="42"/>
      <c r="BS117" s="42"/>
      <c r="BT117" s="42"/>
      <c r="BU117" s="42"/>
      <c r="BV117" s="42"/>
      <c r="BW117" s="42"/>
      <c r="BX117" s="42"/>
      <c r="BY117" s="42"/>
      <c r="BZ117" s="42"/>
      <c r="CA117" s="42"/>
      <c r="CB117" s="42"/>
      <c r="CC117" s="42"/>
      <c r="CD117" s="42"/>
      <c r="CE117" s="42"/>
      <c r="CF117" s="42"/>
      <c r="CG117" s="42"/>
      <c r="CH117" s="42"/>
      <c r="CI117" s="42"/>
      <c r="CJ117" s="42"/>
      <c r="CK117" s="42"/>
      <c r="CL117" s="42">
        <v>0.08</v>
      </c>
      <c r="CM117" s="42">
        <v>0.15</v>
      </c>
      <c r="CN117" s="42">
        <v>0.14000000000000001</v>
      </c>
      <c r="CO117" s="42">
        <v>0.08</v>
      </c>
      <c r="CP117" s="42">
        <v>0.13</v>
      </c>
      <c r="CQ117" s="42"/>
      <c r="CR117" s="42">
        <v>0.11</v>
      </c>
      <c r="CS117" s="42">
        <v>7.0000000000000007E-2</v>
      </c>
      <c r="CT117" s="42"/>
      <c r="CU117" s="42"/>
      <c r="CV117" s="42"/>
      <c r="CW117" s="42"/>
      <c r="CX117" s="42"/>
      <c r="CY117" s="42"/>
      <c r="CZ117" s="42"/>
      <c r="DA117" s="47"/>
      <c r="DB117" s="9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C117" s="28"/>
    </row>
    <row r="118" spans="2:140" s="81" customFormat="1" ht="12.75" customHeight="1">
      <c r="B118" s="98" t="s">
        <v>751</v>
      </c>
      <c r="C118" s="99"/>
      <c r="D118" s="99"/>
      <c r="E118" s="99"/>
      <c r="F118" s="99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92"/>
      <c r="Z118" s="82"/>
      <c r="AA118" s="92"/>
      <c r="AB118" s="82"/>
      <c r="AC118" s="85"/>
      <c r="AD118" s="82"/>
      <c r="AE118" s="82"/>
      <c r="AF118" s="82"/>
      <c r="AG118" s="82"/>
      <c r="AH118" s="82"/>
      <c r="AI118" s="82"/>
      <c r="AJ118" s="82"/>
      <c r="AK118" s="82"/>
      <c r="AL118" s="110"/>
      <c r="AM118" s="110"/>
      <c r="AN118" s="110"/>
      <c r="AO118" s="110"/>
      <c r="AP118" s="110"/>
      <c r="AQ118" s="110"/>
      <c r="AR118" s="110"/>
      <c r="AS118" s="110"/>
      <c r="AT118" s="110"/>
      <c r="AU118" s="110"/>
      <c r="AV118" s="110"/>
      <c r="AW118" s="110"/>
      <c r="AX118" s="110"/>
      <c r="AY118" s="110"/>
      <c r="AZ118" s="110"/>
      <c r="BA118" s="110"/>
      <c r="BB118" s="110"/>
      <c r="BC118" s="110"/>
      <c r="BD118" s="110"/>
      <c r="BE118" s="110"/>
      <c r="BF118" s="110"/>
      <c r="BG118" s="110"/>
      <c r="BH118" s="110"/>
      <c r="BI118" s="110"/>
      <c r="BJ118" s="110"/>
      <c r="BK118" s="110"/>
      <c r="BL118" s="110"/>
      <c r="BM118" s="110"/>
      <c r="BN118" s="110"/>
      <c r="BO118" s="110"/>
      <c r="BP118" s="110"/>
      <c r="BQ118" s="110"/>
      <c r="BR118" s="110"/>
      <c r="BS118" s="110"/>
      <c r="BT118" s="110"/>
      <c r="BU118" s="110"/>
      <c r="BV118" s="110"/>
      <c r="BW118" s="110"/>
      <c r="BX118" s="110"/>
      <c r="BY118" s="110"/>
      <c r="BZ118" s="110"/>
      <c r="CA118" s="110">
        <f t="shared" ref="CA118:CT118" si="289">+CA3/BW3-1</f>
        <v>0.44733362714852354</v>
      </c>
      <c r="CB118" s="110">
        <f t="shared" si="289"/>
        <v>0.28625664388762329</v>
      </c>
      <c r="CC118" s="110">
        <f t="shared" si="289"/>
        <v>0.21009771986970693</v>
      </c>
      <c r="CD118" s="110">
        <f t="shared" si="289"/>
        <v>0.28351012536162012</v>
      </c>
      <c r="CE118" s="110">
        <f t="shared" si="289"/>
        <v>0.18727161997563946</v>
      </c>
      <c r="CF118" s="110">
        <f t="shared" si="289"/>
        <v>0.23258559622195984</v>
      </c>
      <c r="CG118" s="110">
        <f t="shared" si="289"/>
        <v>0.22045760430686401</v>
      </c>
      <c r="CH118" s="110">
        <f t="shared" si="289"/>
        <v>0.14625594790884056</v>
      </c>
      <c r="CI118" s="110">
        <f t="shared" si="289"/>
        <v>0.23339317773788149</v>
      </c>
      <c r="CJ118" s="110">
        <f t="shared" si="289"/>
        <v>0.25766283524904221</v>
      </c>
      <c r="CK118" s="110">
        <f t="shared" si="289"/>
        <v>0.19673577415086019</v>
      </c>
      <c r="CL118" s="110">
        <f t="shared" si="289"/>
        <v>0.19073629014638405</v>
      </c>
      <c r="CM118" s="110">
        <f t="shared" si="289"/>
        <v>0.20503223123310454</v>
      </c>
      <c r="CN118" s="110">
        <f t="shared" si="289"/>
        <v>0.19402132520944404</v>
      </c>
      <c r="CO118" s="110">
        <f t="shared" si="289"/>
        <v>0.1680796166605234</v>
      </c>
      <c r="CP118" s="110">
        <f t="shared" si="289"/>
        <v>0.21247706422018342</v>
      </c>
      <c r="CQ118" s="110">
        <f t="shared" si="289"/>
        <v>0.19879206212251943</v>
      </c>
      <c r="CR118" s="110">
        <f t="shared" si="289"/>
        <v>0.15930473608674856</v>
      </c>
      <c r="CS118" s="110">
        <f t="shared" si="289"/>
        <v>0.17213632060586925</v>
      </c>
      <c r="CT118" s="110">
        <f t="shared" si="289"/>
        <v>0.10000000000000009</v>
      </c>
      <c r="CU118" s="110">
        <f t="shared" ref="CU118" si="290">+CU3/CQ3-1</f>
        <v>0.10000000000000009</v>
      </c>
      <c r="CV118" s="110">
        <f t="shared" ref="CV118" si="291">+CV3/CR3-1</f>
        <v>0.10000000000000009</v>
      </c>
      <c r="CW118" s="110">
        <f t="shared" ref="CW118" si="292">+CW3/CS3-1</f>
        <v>0.10000000000000009</v>
      </c>
      <c r="CX118" s="110">
        <f t="shared" ref="CX118" si="293">+CX3/CT3-1</f>
        <v>0.10000000000000009</v>
      </c>
      <c r="CY118" s="110"/>
      <c r="CZ118" s="110"/>
      <c r="DA118" s="73"/>
      <c r="DB118" s="99"/>
      <c r="DC118" s="109"/>
      <c r="DD118" s="109"/>
      <c r="DE118" s="109"/>
      <c r="DF118" s="109"/>
      <c r="DG118" s="109"/>
      <c r="DH118" s="109"/>
      <c r="DI118" s="109"/>
      <c r="DJ118" s="109"/>
      <c r="DK118" s="109"/>
      <c r="DL118" s="109"/>
      <c r="DM118" s="109"/>
      <c r="DN118" s="109"/>
      <c r="DO118" s="109"/>
      <c r="DP118" s="82"/>
      <c r="DQ118" s="82"/>
      <c r="DR118" s="82"/>
      <c r="DS118" s="82"/>
      <c r="DT118" s="82"/>
      <c r="DU118" s="82"/>
      <c r="DV118" s="82"/>
      <c r="DW118" s="82"/>
      <c r="DX118" s="82"/>
      <c r="DY118" s="82"/>
      <c r="DZ118" s="82"/>
      <c r="EA118" s="82"/>
      <c r="EC118" s="85"/>
    </row>
    <row r="119" spans="2:140" s="81" customFormat="1" ht="12.75" customHeight="1">
      <c r="B119" s="98" t="s">
        <v>663</v>
      </c>
      <c r="C119" s="99"/>
      <c r="D119" s="99"/>
      <c r="E119" s="99"/>
      <c r="F119" s="99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92"/>
      <c r="Z119" s="82"/>
      <c r="AA119" s="110"/>
      <c r="AB119" s="110"/>
      <c r="AC119" s="110"/>
      <c r="AD119" s="110">
        <f t="shared" ref="AD119:AT119" si="294">+AD9/Z9-1</f>
        <v>1.903225806451613</v>
      </c>
      <c r="AE119" s="110">
        <f t="shared" si="294"/>
        <v>6.8493150684931559E-2</v>
      </c>
      <c r="AF119" s="110">
        <f t="shared" si="294"/>
        <v>-8.9385474860335212E-2</v>
      </c>
      <c r="AG119" s="110">
        <f t="shared" si="294"/>
        <v>-4.0669856459330189E-2</v>
      </c>
      <c r="AH119" s="110">
        <f t="shared" si="294"/>
        <v>-8.666666666666667E-2</v>
      </c>
      <c r="AI119" s="110">
        <f t="shared" si="294"/>
        <v>-0.32820512820512826</v>
      </c>
      <c r="AJ119" s="110">
        <f t="shared" si="294"/>
        <v>-0.17791411042944782</v>
      </c>
      <c r="AK119" s="110">
        <f t="shared" si="294"/>
        <v>-0.22443890274314215</v>
      </c>
      <c r="AL119" s="110">
        <f t="shared" si="294"/>
        <v>-0.32603406326034068</v>
      </c>
      <c r="AM119" s="110">
        <f t="shared" si="294"/>
        <v>-0.11068702290076338</v>
      </c>
      <c r="AN119" s="110">
        <f t="shared" si="294"/>
        <v>-0.18283582089552242</v>
      </c>
      <c r="AO119" s="110">
        <f t="shared" si="294"/>
        <v>1.6077170418006492E-2</v>
      </c>
      <c r="AP119" s="110">
        <f t="shared" si="294"/>
        <v>-0.20216606498194944</v>
      </c>
      <c r="AQ119" s="110">
        <f t="shared" si="294"/>
        <v>-8.1545064377682386E-2</v>
      </c>
      <c r="AR119" s="110">
        <f t="shared" si="294"/>
        <v>0.26484018264840192</v>
      </c>
      <c r="AS119" s="110">
        <f t="shared" si="294"/>
        <v>0.40822784810126578</v>
      </c>
      <c r="AT119" s="110">
        <f t="shared" si="294"/>
        <v>0.23981900452488691</v>
      </c>
      <c r="AU119" s="110"/>
      <c r="AV119" s="110"/>
      <c r="AW119" s="110"/>
      <c r="AX119" s="110"/>
      <c r="AY119" s="110"/>
      <c r="AZ119" s="110"/>
      <c r="BA119" s="110"/>
      <c r="BB119" s="110"/>
      <c r="BC119" s="110"/>
      <c r="BD119" s="110"/>
      <c r="BE119" s="110"/>
      <c r="BF119" s="110"/>
      <c r="BG119" s="110"/>
      <c r="BH119" s="110"/>
      <c r="BI119" s="110"/>
      <c r="BJ119" s="110"/>
      <c r="BK119" s="110"/>
      <c r="BL119" s="110"/>
      <c r="BM119" s="110"/>
      <c r="BN119" s="110"/>
      <c r="BO119" s="110"/>
      <c r="BP119" s="110"/>
      <c r="BQ119" s="110"/>
      <c r="BR119" s="110"/>
      <c r="BS119" s="110"/>
      <c r="BT119" s="110"/>
      <c r="BU119" s="110"/>
      <c r="BV119" s="110"/>
      <c r="BW119" s="110"/>
      <c r="BX119" s="110"/>
      <c r="BY119" s="110"/>
      <c r="BZ119" s="110"/>
      <c r="CA119" s="110">
        <f t="shared" ref="CA119:CT119" si="295">+CA9/BW9-1</f>
        <v>0.30906921241050123</v>
      </c>
      <c r="CB119" s="110">
        <f t="shared" si="295"/>
        <v>-0.2595936794582393</v>
      </c>
      <c r="CC119" s="110">
        <f t="shared" si="295"/>
        <v>-0.10075757575757571</v>
      </c>
      <c r="CD119" s="110">
        <f t="shared" si="295"/>
        <v>0.44011544011544013</v>
      </c>
      <c r="CE119" s="110">
        <f t="shared" si="295"/>
        <v>-0.16408386508659978</v>
      </c>
      <c r="CF119" s="110">
        <f t="shared" si="295"/>
        <v>0.88109756097560976</v>
      </c>
      <c r="CG119" s="110">
        <f t="shared" si="295"/>
        <v>0.67902274641954508</v>
      </c>
      <c r="CH119" s="110">
        <f t="shared" si="295"/>
        <v>0.53106212424849697</v>
      </c>
      <c r="CI119" s="110">
        <f t="shared" si="295"/>
        <v>0.59214830970556154</v>
      </c>
      <c r="CJ119" s="110">
        <f t="shared" si="295"/>
        <v>0.35656401944894656</v>
      </c>
      <c r="CK119" s="110">
        <f t="shared" si="295"/>
        <v>0.15102860010035113</v>
      </c>
      <c r="CL119" s="110">
        <f t="shared" si="295"/>
        <v>-3.7958115183246099E-2</v>
      </c>
      <c r="CM119" s="110">
        <f t="shared" si="295"/>
        <v>0.35068493150684921</v>
      </c>
      <c r="CN119" s="110">
        <f t="shared" si="295"/>
        <v>0.46833930704898452</v>
      </c>
      <c r="CO119" s="110">
        <f t="shared" si="295"/>
        <v>0.12685265911072352</v>
      </c>
      <c r="CP119" s="110">
        <f t="shared" si="295"/>
        <v>0.27278911564625852</v>
      </c>
      <c r="CQ119" s="110">
        <f t="shared" si="295"/>
        <v>0.1404665314401623</v>
      </c>
      <c r="CR119" s="110">
        <f t="shared" si="295"/>
        <v>8.1366965012203973E-3</v>
      </c>
      <c r="CS119" s="110">
        <f t="shared" si="295"/>
        <v>-0.10793036750483564</v>
      </c>
      <c r="CT119" s="110">
        <f t="shared" si="295"/>
        <v>3.0000000000000027E-2</v>
      </c>
      <c r="CU119" s="110">
        <f t="shared" ref="CU119" si="296">+CU9/CQ9-1</f>
        <v>3.0000000000000027E-2</v>
      </c>
      <c r="CV119" s="110">
        <f t="shared" ref="CV119" si="297">+CV9/CR9-1</f>
        <v>3.0000000000000027E-2</v>
      </c>
      <c r="CW119" s="110">
        <f t="shared" ref="CW119" si="298">+CW9/CS9-1</f>
        <v>3.0000000000000027E-2</v>
      </c>
      <c r="CX119" s="110">
        <f t="shared" ref="CX119" si="299">+CX9/CT9-1</f>
        <v>3.0000000000000027E-2</v>
      </c>
      <c r="CY119" s="110"/>
      <c r="CZ119" s="110"/>
      <c r="DA119" s="73"/>
      <c r="DB119" s="99"/>
      <c r="DC119" s="109"/>
      <c r="DD119" s="109"/>
      <c r="DE119" s="109"/>
      <c r="DF119" s="109"/>
      <c r="DG119" s="109"/>
      <c r="DH119" s="109"/>
      <c r="DI119" s="109"/>
      <c r="DJ119" s="109"/>
      <c r="DK119" s="109"/>
      <c r="DL119" s="109"/>
      <c r="DM119" s="109"/>
      <c r="DN119" s="109"/>
      <c r="DO119" s="109"/>
      <c r="DP119" s="82"/>
      <c r="DQ119" s="82"/>
      <c r="DR119" s="82"/>
      <c r="DS119" s="82"/>
      <c r="DT119" s="82"/>
      <c r="DU119" s="82"/>
      <c r="DV119" s="82"/>
      <c r="DW119" s="82"/>
      <c r="DX119" s="82"/>
      <c r="DY119" s="82"/>
      <c r="DZ119" s="82"/>
      <c r="EA119" s="82"/>
      <c r="EC119" s="85"/>
    </row>
    <row r="120" spans="2:140" s="81" customFormat="1" ht="12.75" customHeight="1">
      <c r="B120" s="98" t="s">
        <v>664</v>
      </c>
      <c r="C120" s="99"/>
      <c r="D120" s="99"/>
      <c r="E120" s="99"/>
      <c r="F120" s="99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92"/>
      <c r="Z120" s="82"/>
      <c r="AA120" s="110"/>
      <c r="AB120" s="110"/>
      <c r="AC120" s="110"/>
      <c r="AD120" s="110">
        <f t="shared" ref="AD120:AT120" si="300">+AD12/Z12-1</f>
        <v>0.85281385281385291</v>
      </c>
      <c r="AE120" s="110">
        <f t="shared" si="300"/>
        <v>-8.1300813008130079E-2</v>
      </c>
      <c r="AF120" s="110">
        <f t="shared" si="300"/>
        <v>-7.5581395348837233E-2</v>
      </c>
      <c r="AG120" s="110">
        <f t="shared" si="300"/>
        <v>4.6728971962617383E-3</v>
      </c>
      <c r="AH120" s="110">
        <f t="shared" si="300"/>
        <v>4.6728971962617383E-3</v>
      </c>
      <c r="AI120" s="110">
        <f t="shared" si="300"/>
        <v>0.11504424778761058</v>
      </c>
      <c r="AJ120" s="110">
        <f t="shared" si="300"/>
        <v>1.2578616352201255E-2</v>
      </c>
      <c r="AK120" s="110">
        <f t="shared" si="300"/>
        <v>7.441860465116279E-2</v>
      </c>
      <c r="AL120" s="110">
        <f t="shared" si="300"/>
        <v>-0.22558139534883725</v>
      </c>
      <c r="AM120" s="110">
        <f t="shared" si="300"/>
        <v>0.26587301587301582</v>
      </c>
      <c r="AN120" s="110">
        <f t="shared" si="300"/>
        <v>5.5900621118012417E-2</v>
      </c>
      <c r="AO120" s="110">
        <f t="shared" si="300"/>
        <v>-6.0606060606060552E-2</v>
      </c>
      <c r="AP120" s="110">
        <f t="shared" si="300"/>
        <v>-0.14414414414414412</v>
      </c>
      <c r="AQ120" s="110">
        <f t="shared" si="300"/>
        <v>-0.23510971786833856</v>
      </c>
      <c r="AR120" s="110">
        <f t="shared" si="300"/>
        <v>-0.14411764705882357</v>
      </c>
      <c r="AS120" s="110">
        <f t="shared" si="300"/>
        <v>-9.9078341013824844E-2</v>
      </c>
      <c r="AT120" s="110">
        <f t="shared" si="300"/>
        <v>-3.157894736842104E-2</v>
      </c>
      <c r="AU120" s="110"/>
      <c r="AV120" s="110"/>
      <c r="AW120" s="110"/>
      <c r="AX120" s="110"/>
      <c r="AY120" s="110"/>
      <c r="AZ120" s="110"/>
      <c r="BA120" s="110"/>
      <c r="BB120" s="110"/>
      <c r="BC120" s="110"/>
      <c r="BD120" s="110"/>
      <c r="BE120" s="110"/>
      <c r="BF120" s="110"/>
      <c r="BG120" s="110"/>
      <c r="BH120" s="110"/>
      <c r="BI120" s="110"/>
      <c r="BJ120" s="110"/>
      <c r="BK120" s="110"/>
      <c r="BL120" s="110"/>
      <c r="BM120" s="110"/>
      <c r="BN120" s="110"/>
      <c r="BO120" s="110"/>
      <c r="BP120" s="110"/>
      <c r="BQ120" s="110"/>
      <c r="BR120" s="110"/>
      <c r="BS120" s="110"/>
      <c r="BT120" s="110"/>
      <c r="BU120" s="110"/>
      <c r="BV120" s="110"/>
      <c r="BW120" s="110"/>
      <c r="BX120" s="110"/>
      <c r="BY120" s="110"/>
      <c r="BZ120" s="110"/>
      <c r="CA120" s="110"/>
      <c r="CB120" s="110"/>
      <c r="CC120" s="110"/>
      <c r="CD120" s="110"/>
      <c r="CE120" s="110"/>
      <c r="CF120" s="110"/>
      <c r="CG120" s="110"/>
      <c r="CH120" s="110"/>
      <c r="CI120" s="110"/>
      <c r="CJ120" s="110"/>
      <c r="CK120" s="110"/>
      <c r="CL120" s="110"/>
      <c r="CM120" s="110"/>
      <c r="CN120" s="110"/>
      <c r="CO120" s="110"/>
      <c r="CP120" s="110"/>
      <c r="CQ120" s="110"/>
      <c r="CR120" s="110"/>
      <c r="CS120" s="110"/>
      <c r="CT120" s="110"/>
      <c r="CU120" s="110"/>
      <c r="CV120" s="110"/>
      <c r="CW120" s="110"/>
      <c r="CX120" s="110"/>
      <c r="CY120" s="110"/>
      <c r="CZ120" s="110"/>
      <c r="DA120" s="73"/>
      <c r="DB120" s="99"/>
      <c r="DC120" s="109"/>
      <c r="DD120" s="109"/>
      <c r="DE120" s="109"/>
      <c r="DF120" s="109"/>
      <c r="DG120" s="109"/>
      <c r="DH120" s="109"/>
      <c r="DI120" s="109"/>
      <c r="DJ120" s="109"/>
      <c r="DK120" s="109"/>
      <c r="DL120" s="109"/>
      <c r="DM120" s="109"/>
      <c r="DN120" s="109"/>
      <c r="DO120" s="109"/>
      <c r="DP120" s="82"/>
      <c r="DQ120" s="82"/>
      <c r="DR120" s="82"/>
      <c r="DS120" s="82"/>
      <c r="DT120" s="82"/>
      <c r="DU120" s="82"/>
      <c r="DV120" s="82"/>
      <c r="DW120" s="82"/>
      <c r="DX120" s="82"/>
      <c r="DY120" s="82"/>
      <c r="DZ120" s="82"/>
      <c r="EA120" s="82"/>
      <c r="EC120" s="85"/>
    </row>
    <row r="121" spans="2:140" s="81" customFormat="1" ht="12.75" customHeight="1">
      <c r="B121" s="108"/>
      <c r="C121" s="99"/>
      <c r="D121" s="99"/>
      <c r="E121" s="99"/>
      <c r="F121" s="99"/>
      <c r="G121" s="82"/>
      <c r="H121" s="82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92"/>
      <c r="Z121" s="103"/>
      <c r="AA121" s="92"/>
      <c r="AB121" s="103"/>
      <c r="AC121" s="114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  <c r="BJ121" s="103"/>
      <c r="BK121" s="103"/>
      <c r="BL121" s="103"/>
      <c r="BM121" s="103"/>
      <c r="BN121" s="103"/>
      <c r="BO121" s="103"/>
      <c r="BP121" s="103"/>
      <c r="BQ121" s="103"/>
      <c r="BR121" s="103"/>
      <c r="BS121" s="103"/>
      <c r="BT121" s="103"/>
      <c r="BU121" s="103"/>
      <c r="BV121" s="103"/>
      <c r="BW121" s="103"/>
      <c r="BX121" s="103"/>
      <c r="BY121" s="103"/>
      <c r="BZ121" s="103"/>
      <c r="CA121" s="103"/>
      <c r="CB121" s="103"/>
      <c r="CC121" s="103"/>
      <c r="CD121" s="103"/>
      <c r="CE121" s="103"/>
      <c r="CF121" s="103"/>
      <c r="CG121" s="103"/>
      <c r="CH121" s="103"/>
      <c r="CI121" s="103"/>
      <c r="CJ121" s="103"/>
      <c r="CK121" s="103"/>
      <c r="CL121" s="103"/>
      <c r="CM121" s="103"/>
      <c r="CN121" s="103"/>
      <c r="CO121" s="103"/>
      <c r="CP121" s="103"/>
      <c r="CQ121" s="103"/>
      <c r="CR121" s="103"/>
      <c r="CS121" s="103"/>
      <c r="CT121" s="103"/>
      <c r="CU121" s="103"/>
      <c r="CV121" s="103"/>
      <c r="CW121" s="103"/>
      <c r="CX121" s="103"/>
      <c r="CY121" s="103"/>
      <c r="CZ121" s="103"/>
      <c r="DA121" s="73"/>
      <c r="DB121" s="99"/>
      <c r="DC121" s="82"/>
      <c r="DD121" s="82"/>
      <c r="DE121" s="103"/>
      <c r="DF121" s="103"/>
      <c r="DG121" s="103"/>
      <c r="DH121" s="103"/>
      <c r="DI121" s="103"/>
      <c r="DJ121" s="103"/>
      <c r="DK121" s="103"/>
      <c r="DL121" s="103"/>
      <c r="DM121" s="103"/>
      <c r="DN121" s="103"/>
      <c r="DO121" s="103"/>
      <c r="DP121" s="82"/>
      <c r="DQ121" s="82"/>
      <c r="DR121" s="82"/>
      <c r="DS121" s="82"/>
      <c r="DT121" s="82"/>
      <c r="DU121" s="82"/>
      <c r="DV121" s="82"/>
      <c r="DW121" s="82"/>
      <c r="DX121" s="82"/>
      <c r="DY121" s="82"/>
      <c r="DZ121" s="82"/>
      <c r="EA121" s="82"/>
      <c r="EC121" s="85"/>
    </row>
    <row r="122" spans="2:140" s="81" customFormat="1" ht="12.75" customHeight="1">
      <c r="B122" s="98" t="s">
        <v>944</v>
      </c>
      <c r="C122" s="99"/>
      <c r="D122" s="99"/>
      <c r="E122" s="99"/>
      <c r="F122" s="99"/>
      <c r="G122" s="82"/>
      <c r="H122" s="82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92"/>
      <c r="Z122" s="103"/>
      <c r="AA122" s="92"/>
      <c r="AB122" s="103"/>
      <c r="AC122" s="114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  <c r="BJ122" s="103"/>
      <c r="BK122" s="103"/>
      <c r="BL122" s="103"/>
      <c r="BM122" s="103"/>
      <c r="BN122" s="103"/>
      <c r="BO122" s="103"/>
      <c r="BP122" s="103"/>
      <c r="BQ122" s="103"/>
      <c r="BR122" s="103"/>
      <c r="BS122" s="103"/>
      <c r="BT122" s="103"/>
      <c r="BU122" s="103"/>
      <c r="BV122" s="103"/>
      <c r="BW122" s="103"/>
      <c r="BX122" s="103"/>
      <c r="BY122" s="103"/>
      <c r="BZ122" s="103"/>
      <c r="CA122" s="103"/>
      <c r="CB122" s="103"/>
      <c r="CC122" s="103"/>
      <c r="CD122" s="103"/>
      <c r="CE122" s="103"/>
      <c r="CF122" s="103"/>
      <c r="CG122" s="103"/>
      <c r="CH122" s="103"/>
      <c r="CI122" s="103"/>
      <c r="CJ122" s="114">
        <f>CJ123-CJ132</f>
        <v>-21297</v>
      </c>
      <c r="CK122" s="114">
        <f t="shared" ref="CK122:CP122" si="301">CK123-CK132</f>
        <v>0</v>
      </c>
      <c r="CL122" s="114">
        <f t="shared" si="301"/>
        <v>0</v>
      </c>
      <c r="CM122" s="114">
        <f t="shared" si="301"/>
        <v>-19069</v>
      </c>
      <c r="CN122" s="114">
        <f t="shared" si="301"/>
        <v>-29319</v>
      </c>
      <c r="CO122" s="114">
        <f t="shared" si="301"/>
        <v>-24780</v>
      </c>
      <c r="CP122" s="114">
        <f t="shared" si="301"/>
        <v>-27710</v>
      </c>
      <c r="CQ122" s="114">
        <f>+CQ123-CQ132</f>
        <v>-28320</v>
      </c>
      <c r="CR122" s="114">
        <f>+CR123-CR132</f>
        <v>-26077</v>
      </c>
      <c r="CS122" s="114">
        <f>+CS123-CS132</f>
        <v>-22963</v>
      </c>
      <c r="CT122" s="114"/>
      <c r="CU122" s="114"/>
      <c r="CV122" s="114"/>
      <c r="CW122" s="114"/>
      <c r="CX122" s="114"/>
      <c r="CY122" s="103"/>
      <c r="CZ122" s="103"/>
      <c r="DA122" s="73"/>
      <c r="DB122" s="99"/>
      <c r="DC122" s="82"/>
      <c r="DD122" s="82"/>
      <c r="DE122" s="103"/>
      <c r="DF122" s="103"/>
      <c r="DG122" s="103"/>
      <c r="DH122" s="103"/>
      <c r="DI122" s="103"/>
      <c r="DJ122" s="103"/>
      <c r="DK122" s="103"/>
      <c r="DL122" s="103"/>
      <c r="DM122" s="103"/>
      <c r="DN122" s="103"/>
      <c r="DO122" s="103"/>
      <c r="DP122" s="82"/>
      <c r="DQ122" s="82"/>
      <c r="DR122" s="82"/>
      <c r="DS122" s="82"/>
      <c r="DT122" s="82"/>
      <c r="DU122" s="82"/>
      <c r="DV122" s="82"/>
      <c r="DW122" s="82"/>
      <c r="DX122" s="85">
        <f>CP122</f>
        <v>-27710</v>
      </c>
      <c r="DY122" s="85">
        <f t="shared" ref="DY122:EJ122" si="302">DX122+DY103</f>
        <v>2166.3010000000068</v>
      </c>
      <c r="DZ122" s="85">
        <f t="shared" si="302"/>
        <v>32703.74077750001</v>
      </c>
      <c r="EA122" s="85">
        <f t="shared" si="302"/>
        <v>63084.097607331263</v>
      </c>
      <c r="EB122" s="85">
        <f t="shared" si="302"/>
        <v>89544.265697503259</v>
      </c>
      <c r="EC122" s="85">
        <f t="shared" si="302"/>
        <v>112998.60369996168</v>
      </c>
      <c r="ED122" s="85">
        <f t="shared" si="302"/>
        <v>133030.21808554127</v>
      </c>
      <c r="EE122" s="85">
        <f t="shared" si="302"/>
        <v>149927.01079305238</v>
      </c>
      <c r="EF122" s="85">
        <f t="shared" si="302"/>
        <v>165492.05273556497</v>
      </c>
      <c r="EG122" s="85">
        <f t="shared" si="302"/>
        <v>180180.80510513333</v>
      </c>
      <c r="EH122" s="85">
        <f t="shared" si="302"/>
        <v>194074.69093162214</v>
      </c>
      <c r="EI122" s="85">
        <f t="shared" si="302"/>
        <v>207414.35572567306</v>
      </c>
      <c r="EJ122" s="85">
        <f t="shared" si="302"/>
        <v>220508.06078259126</v>
      </c>
    </row>
    <row r="123" spans="2:140" s="81" customFormat="1" ht="12.75" customHeight="1">
      <c r="B123" s="98" t="s">
        <v>328</v>
      </c>
      <c r="C123" s="99"/>
      <c r="D123" s="99"/>
      <c r="E123" s="99"/>
      <c r="F123" s="99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92"/>
      <c r="Z123" s="82"/>
      <c r="AA123" s="92"/>
      <c r="AB123" s="82"/>
      <c r="AC123" s="85"/>
      <c r="AD123" s="82"/>
      <c r="AE123" s="82"/>
      <c r="AF123" s="82"/>
      <c r="AG123" s="82"/>
      <c r="AH123" s="82"/>
      <c r="AI123" s="82"/>
      <c r="AJ123" s="82"/>
      <c r="AK123" s="82"/>
      <c r="AL123" s="82"/>
      <c r="AM123" s="82"/>
      <c r="AN123" s="82"/>
      <c r="AO123" s="82"/>
      <c r="AP123" s="82"/>
      <c r="AQ123" s="82"/>
      <c r="AR123" s="82"/>
      <c r="AS123" s="82"/>
      <c r="AT123" s="82"/>
      <c r="AU123" s="82"/>
      <c r="AV123" s="82"/>
      <c r="AW123" s="82"/>
      <c r="AX123" s="82"/>
      <c r="AY123" s="82"/>
      <c r="AZ123" s="82"/>
      <c r="BA123" s="82"/>
      <c r="BB123" s="82"/>
      <c r="BC123" s="82"/>
      <c r="BD123" s="82"/>
      <c r="BE123" s="82"/>
      <c r="BF123" s="82"/>
      <c r="BG123" s="82"/>
      <c r="BH123" s="82"/>
      <c r="BI123" s="82"/>
      <c r="BJ123" s="82"/>
      <c r="BK123" s="82"/>
      <c r="BL123" s="82"/>
      <c r="BM123" s="82"/>
      <c r="BN123" s="82"/>
      <c r="BO123" s="82"/>
      <c r="BP123" s="82"/>
      <c r="BQ123" s="82"/>
      <c r="BR123" s="82"/>
      <c r="BS123" s="82"/>
      <c r="BT123" s="82"/>
      <c r="BU123" s="82"/>
      <c r="BV123" s="82"/>
      <c r="BW123" s="82"/>
      <c r="BX123" s="82"/>
      <c r="BY123" s="82"/>
      <c r="BZ123" s="82"/>
      <c r="CA123" s="82"/>
      <c r="CB123" s="82"/>
      <c r="CC123" s="82"/>
      <c r="CD123" s="82"/>
      <c r="CE123" s="82"/>
      <c r="CF123" s="82"/>
      <c r="CG123" s="82"/>
      <c r="CH123" s="82"/>
      <c r="CI123" s="82"/>
      <c r="CJ123" s="85">
        <f>9675+453+238</f>
        <v>10366</v>
      </c>
      <c r="CK123" s="82"/>
      <c r="CL123" s="82"/>
      <c r="CM123" s="85">
        <f>9707+680+1290</f>
        <v>11677</v>
      </c>
      <c r="CN123" s="85">
        <f>5660+718+1214</f>
        <v>7592</v>
      </c>
      <c r="CO123" s="85">
        <f>8605+168+1306</f>
        <v>10079</v>
      </c>
      <c r="CP123" s="85">
        <f>6841+252+252</f>
        <v>7345</v>
      </c>
      <c r="CQ123" s="85">
        <f>5579+40+280</f>
        <v>5899</v>
      </c>
      <c r="CR123" s="85">
        <f>11304+50+357</f>
        <v>11711</v>
      </c>
      <c r="CS123" s="85">
        <f>14593+575</f>
        <v>15168</v>
      </c>
      <c r="CT123" s="82"/>
      <c r="CU123" s="82"/>
      <c r="CV123" s="82"/>
      <c r="CW123" s="82"/>
      <c r="CX123" s="82"/>
      <c r="CY123" s="82"/>
      <c r="CZ123" s="82"/>
      <c r="DA123" s="73"/>
      <c r="DB123" s="99"/>
      <c r="DC123" s="82"/>
      <c r="DD123" s="82"/>
      <c r="DE123" s="82"/>
      <c r="DF123" s="82"/>
      <c r="DG123" s="82"/>
      <c r="DH123" s="82"/>
      <c r="DI123" s="82"/>
      <c r="DJ123" s="82"/>
      <c r="DK123" s="82"/>
      <c r="DL123" s="82"/>
      <c r="DM123" s="82"/>
      <c r="DN123" s="82"/>
      <c r="DO123" s="82"/>
      <c r="DP123" s="82"/>
      <c r="DQ123" s="82"/>
      <c r="DR123" s="82"/>
      <c r="DS123" s="82"/>
      <c r="DT123" s="82"/>
      <c r="DU123" s="82"/>
      <c r="DV123" s="82"/>
      <c r="DW123" s="82"/>
      <c r="DX123" s="82"/>
      <c r="DY123" s="82"/>
      <c r="DZ123" s="82"/>
      <c r="EA123" s="82"/>
      <c r="EC123" s="85"/>
    </row>
    <row r="124" spans="2:140" s="81" customFormat="1" ht="12.75" customHeight="1">
      <c r="B124" s="98" t="s">
        <v>807</v>
      </c>
      <c r="C124" s="99"/>
      <c r="D124" s="99"/>
      <c r="E124" s="99"/>
      <c r="F124" s="99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92"/>
      <c r="Z124" s="82"/>
      <c r="AA124" s="92"/>
      <c r="AB124" s="82"/>
      <c r="AC124" s="85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82"/>
      <c r="AP124" s="82"/>
      <c r="AQ124" s="82"/>
      <c r="AR124" s="82"/>
      <c r="AS124" s="82"/>
      <c r="AT124" s="82"/>
      <c r="AU124" s="82"/>
      <c r="AV124" s="82"/>
      <c r="AW124" s="82"/>
      <c r="AX124" s="82"/>
      <c r="AY124" s="82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M124" s="82"/>
      <c r="BN124" s="82"/>
      <c r="BO124" s="82"/>
      <c r="BP124" s="82"/>
      <c r="BQ124" s="82"/>
      <c r="BR124" s="82"/>
      <c r="BS124" s="82"/>
      <c r="BT124" s="82"/>
      <c r="BU124" s="82"/>
      <c r="BV124" s="82"/>
      <c r="BW124" s="82"/>
      <c r="BX124" s="82"/>
      <c r="BY124" s="82"/>
      <c r="BZ124" s="82"/>
      <c r="CA124" s="82"/>
      <c r="CB124" s="82"/>
      <c r="CC124" s="82"/>
      <c r="CD124" s="82"/>
      <c r="CE124" s="82"/>
      <c r="CF124" s="82"/>
      <c r="CG124" s="82"/>
      <c r="CH124" s="82"/>
      <c r="CI124" s="82"/>
      <c r="CJ124" s="85">
        <v>9643</v>
      </c>
      <c r="CK124" s="82"/>
      <c r="CL124" s="82"/>
      <c r="CM124" s="85">
        <v>10415</v>
      </c>
      <c r="CN124" s="85">
        <v>11030</v>
      </c>
      <c r="CO124" s="85">
        <v>10394</v>
      </c>
      <c r="CP124" s="85">
        <v>10349</v>
      </c>
      <c r="CQ124" s="85">
        <v>11366</v>
      </c>
      <c r="CR124" s="85">
        <v>11642</v>
      </c>
      <c r="CS124" s="85">
        <v>11381</v>
      </c>
      <c r="CT124" s="82"/>
      <c r="CU124" s="82"/>
      <c r="CV124" s="82"/>
      <c r="CW124" s="82"/>
      <c r="CX124" s="82"/>
      <c r="CY124" s="82"/>
      <c r="CZ124" s="82"/>
      <c r="DA124" s="73"/>
      <c r="DB124" s="99"/>
      <c r="DC124" s="82"/>
      <c r="DD124" s="82"/>
      <c r="DE124" s="82"/>
      <c r="DF124" s="82"/>
      <c r="DG124" s="82"/>
      <c r="DH124" s="82"/>
      <c r="DI124" s="82"/>
      <c r="DJ124" s="82"/>
      <c r="DK124" s="82"/>
      <c r="DL124" s="82"/>
      <c r="DM124" s="82"/>
      <c r="DN124" s="82"/>
      <c r="DO124" s="82"/>
      <c r="DP124" s="82"/>
      <c r="DQ124" s="82"/>
      <c r="DR124" s="82"/>
      <c r="DS124" s="82"/>
      <c r="DT124" s="82"/>
      <c r="DU124" s="82"/>
      <c r="DV124" s="82"/>
      <c r="DW124" s="82"/>
      <c r="DX124" s="82"/>
      <c r="DY124" s="82"/>
      <c r="DZ124" s="82"/>
      <c r="EA124" s="82"/>
      <c r="EC124" s="85"/>
    </row>
    <row r="125" spans="2:140" s="81" customFormat="1" ht="12.75" customHeight="1">
      <c r="B125" s="98" t="s">
        <v>808</v>
      </c>
      <c r="C125" s="99"/>
      <c r="D125" s="99"/>
      <c r="E125" s="99"/>
      <c r="F125" s="99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92"/>
      <c r="Z125" s="82"/>
      <c r="AA125" s="92"/>
      <c r="AB125" s="82"/>
      <c r="AC125" s="85"/>
      <c r="AD125" s="82"/>
      <c r="AE125" s="82"/>
      <c r="AF125" s="82"/>
      <c r="AG125" s="82"/>
      <c r="AH125" s="82"/>
      <c r="AI125" s="82"/>
      <c r="AJ125" s="82"/>
      <c r="AK125" s="82"/>
      <c r="AL125" s="82"/>
      <c r="AM125" s="82"/>
      <c r="AN125" s="82"/>
      <c r="AO125" s="82"/>
      <c r="AP125" s="82"/>
      <c r="AQ125" s="82"/>
      <c r="AR125" s="82"/>
      <c r="AS125" s="82"/>
      <c r="AT125" s="82"/>
      <c r="AU125" s="82"/>
      <c r="AV125" s="82"/>
      <c r="AW125" s="82"/>
      <c r="AX125" s="82"/>
      <c r="AY125" s="82"/>
      <c r="AZ125" s="82"/>
      <c r="BA125" s="82"/>
      <c r="BB125" s="82"/>
      <c r="BC125" s="82"/>
      <c r="BD125" s="82"/>
      <c r="BE125" s="82"/>
      <c r="BF125" s="82"/>
      <c r="BG125" s="82"/>
      <c r="BH125" s="82"/>
      <c r="BI125" s="82"/>
      <c r="BJ125" s="82"/>
      <c r="BK125" s="82"/>
      <c r="BL125" s="82"/>
      <c r="BM125" s="82"/>
      <c r="BN125" s="82"/>
      <c r="BO125" s="82"/>
      <c r="BP125" s="82"/>
      <c r="BQ125" s="82"/>
      <c r="BR125" s="82"/>
      <c r="BS125" s="82"/>
      <c r="BT125" s="82"/>
      <c r="BU125" s="82"/>
      <c r="BV125" s="82"/>
      <c r="BW125" s="82"/>
      <c r="BX125" s="82"/>
      <c r="BY125" s="82"/>
      <c r="BZ125" s="82"/>
      <c r="CA125" s="82"/>
      <c r="CB125" s="82"/>
      <c r="CC125" s="82"/>
      <c r="CD125" s="82"/>
      <c r="CE125" s="82"/>
      <c r="CF125" s="82"/>
      <c r="CG125" s="82"/>
      <c r="CH125" s="82"/>
      <c r="CI125" s="82"/>
      <c r="CJ125" s="85">
        <v>5535</v>
      </c>
      <c r="CK125" s="82"/>
      <c r="CL125" s="82"/>
      <c r="CM125" s="85">
        <v>5863</v>
      </c>
      <c r="CN125" s="85">
        <v>5930</v>
      </c>
      <c r="CO125" s="85">
        <v>6131</v>
      </c>
      <c r="CP125" s="85">
        <v>6358</v>
      </c>
      <c r="CQ125" s="85">
        <v>6510</v>
      </c>
      <c r="CR125" s="85">
        <v>6469</v>
      </c>
      <c r="CS125" s="85">
        <v>6244</v>
      </c>
      <c r="CT125" s="82"/>
      <c r="CU125" s="82"/>
      <c r="CV125" s="82"/>
      <c r="CW125" s="82"/>
      <c r="CX125" s="82"/>
      <c r="CY125" s="82"/>
      <c r="CZ125" s="82"/>
      <c r="DA125" s="73"/>
      <c r="DB125" s="99"/>
      <c r="DC125" s="82"/>
      <c r="DD125" s="82"/>
      <c r="DE125" s="82"/>
      <c r="DF125" s="82"/>
      <c r="DG125" s="82"/>
      <c r="DH125" s="82"/>
      <c r="DI125" s="82"/>
      <c r="DJ125" s="82"/>
      <c r="DK125" s="82"/>
      <c r="DL125" s="82"/>
      <c r="DM125" s="82"/>
      <c r="DN125" s="82"/>
      <c r="DO125" s="82"/>
      <c r="DP125" s="82"/>
      <c r="DQ125" s="82"/>
      <c r="DR125" s="82"/>
      <c r="DS125" s="82"/>
      <c r="DT125" s="82"/>
      <c r="DU125" s="82"/>
      <c r="DV125" s="82"/>
      <c r="DW125" s="82"/>
      <c r="DX125" s="82"/>
      <c r="DY125" s="82"/>
      <c r="DZ125" s="82"/>
      <c r="EA125" s="82"/>
      <c r="EC125" s="85"/>
    </row>
    <row r="126" spans="2:140" s="81" customFormat="1" ht="12.75" customHeight="1">
      <c r="B126" s="98" t="s">
        <v>809</v>
      </c>
      <c r="C126" s="99"/>
      <c r="D126" s="99"/>
      <c r="E126" s="99"/>
      <c r="F126" s="99"/>
      <c r="G126" s="82"/>
      <c r="H126" s="82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92"/>
      <c r="Z126" s="86"/>
      <c r="AA126" s="92"/>
      <c r="AB126" s="86"/>
      <c r="AC126" s="85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86"/>
      <c r="AS126" s="86"/>
      <c r="AT126" s="86"/>
      <c r="AU126" s="86"/>
      <c r="AV126" s="86"/>
      <c r="AW126" s="86"/>
      <c r="AX126" s="86"/>
      <c r="AY126" s="86"/>
      <c r="AZ126" s="86"/>
      <c r="BA126" s="86"/>
      <c r="BB126" s="86"/>
      <c r="BC126" s="86"/>
      <c r="BD126" s="86"/>
      <c r="BE126" s="86"/>
      <c r="BF126" s="86"/>
      <c r="BG126" s="86"/>
      <c r="BH126" s="86"/>
      <c r="BI126" s="86"/>
      <c r="BJ126" s="86"/>
      <c r="BK126" s="86"/>
      <c r="BL126" s="86"/>
      <c r="BM126" s="86"/>
      <c r="BN126" s="86"/>
      <c r="BO126" s="86"/>
      <c r="BP126" s="86"/>
      <c r="BQ126" s="86"/>
      <c r="BR126" s="86"/>
      <c r="BS126" s="86"/>
      <c r="BT126" s="86"/>
      <c r="BU126" s="86"/>
      <c r="BV126" s="86"/>
      <c r="BW126" s="86"/>
      <c r="BX126" s="86"/>
      <c r="BY126" s="86"/>
      <c r="BZ126" s="86"/>
      <c r="CA126" s="86"/>
      <c r="CB126" s="86"/>
      <c r="CC126" s="86"/>
      <c r="CD126" s="86"/>
      <c r="CE126" s="86"/>
      <c r="CF126" s="86"/>
      <c r="CG126" s="86"/>
      <c r="CH126" s="86"/>
      <c r="CI126" s="86"/>
      <c r="CJ126" s="85">
        <v>6810</v>
      </c>
      <c r="CK126" s="86"/>
      <c r="CL126" s="86"/>
      <c r="CM126" s="85">
        <v>6737</v>
      </c>
      <c r="CN126" s="85">
        <v>6639</v>
      </c>
      <c r="CO126" s="85">
        <v>6656</v>
      </c>
      <c r="CP126" s="85">
        <v>8368</v>
      </c>
      <c r="CQ126" s="85">
        <v>7950</v>
      </c>
      <c r="CR126" s="85">
        <v>8740</v>
      </c>
      <c r="CS126" s="85">
        <v>8143</v>
      </c>
      <c r="CT126" s="86"/>
      <c r="CU126" s="86"/>
      <c r="CV126" s="86"/>
      <c r="CW126" s="86"/>
      <c r="CX126" s="86"/>
      <c r="CY126" s="86"/>
      <c r="CZ126" s="86"/>
      <c r="DA126" s="73"/>
      <c r="DB126" s="99"/>
      <c r="DC126" s="82"/>
      <c r="DD126" s="82"/>
      <c r="DE126" s="86"/>
      <c r="DF126" s="86"/>
      <c r="DG126" s="86"/>
      <c r="DH126" s="86"/>
      <c r="DI126" s="86"/>
      <c r="DJ126" s="86"/>
      <c r="DK126" s="86"/>
      <c r="DL126" s="86"/>
      <c r="DM126" s="86"/>
      <c r="DN126" s="86"/>
      <c r="DO126" s="86"/>
      <c r="DP126" s="82"/>
      <c r="DQ126" s="82"/>
      <c r="DR126" s="82"/>
      <c r="DS126" s="82"/>
      <c r="DT126" s="82"/>
      <c r="DU126" s="82"/>
      <c r="DV126" s="82"/>
      <c r="DW126" s="82"/>
      <c r="DX126" s="82"/>
      <c r="DY126" s="82"/>
      <c r="DZ126" s="82"/>
      <c r="EA126" s="82"/>
      <c r="EC126" s="85"/>
    </row>
    <row r="127" spans="2:140" s="81" customFormat="1" ht="12.75" customHeight="1">
      <c r="B127" s="98" t="s">
        <v>810</v>
      </c>
      <c r="C127" s="99"/>
      <c r="D127" s="99"/>
      <c r="E127" s="99"/>
      <c r="F127" s="99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92"/>
      <c r="Z127" s="82"/>
      <c r="AA127" s="92"/>
      <c r="AB127" s="82"/>
      <c r="AC127" s="85"/>
      <c r="AD127" s="82"/>
      <c r="AE127" s="82"/>
      <c r="AF127" s="82"/>
      <c r="AG127" s="82"/>
      <c r="AH127" s="82"/>
      <c r="AI127" s="82"/>
      <c r="AJ127" s="82"/>
      <c r="AK127" s="82"/>
      <c r="AL127" s="82"/>
      <c r="AM127" s="82"/>
      <c r="AN127" s="82"/>
      <c r="AO127" s="82"/>
      <c r="AP127" s="82"/>
      <c r="AQ127" s="82"/>
      <c r="AR127" s="82"/>
      <c r="AS127" s="82"/>
      <c r="AT127" s="82"/>
      <c r="AU127" s="82"/>
      <c r="AV127" s="82"/>
      <c r="AW127" s="82"/>
      <c r="AX127" s="82"/>
      <c r="AY127" s="82"/>
      <c r="AZ127" s="82"/>
      <c r="BA127" s="82"/>
      <c r="BB127" s="82"/>
      <c r="BC127" s="82"/>
      <c r="BD127" s="82"/>
      <c r="BE127" s="82"/>
      <c r="BF127" s="82"/>
      <c r="BG127" s="82"/>
      <c r="BH127" s="82"/>
      <c r="BI127" s="82"/>
      <c r="BJ127" s="82"/>
      <c r="BK127" s="82"/>
      <c r="BL127" s="82"/>
      <c r="BM127" s="82"/>
      <c r="BN127" s="82"/>
      <c r="BO127" s="82"/>
      <c r="BP127" s="82"/>
      <c r="BQ127" s="82"/>
      <c r="BR127" s="82"/>
      <c r="BS127" s="82"/>
      <c r="BT127" s="82"/>
      <c r="BU127" s="82"/>
      <c r="BV127" s="82"/>
      <c r="BW127" s="82"/>
      <c r="BX127" s="82"/>
      <c r="BY127" s="82"/>
      <c r="BZ127" s="82"/>
      <c r="CA127" s="82"/>
      <c r="CB127" s="82"/>
      <c r="CC127" s="82"/>
      <c r="CD127" s="82"/>
      <c r="CE127" s="82"/>
      <c r="CF127" s="82"/>
      <c r="CG127" s="82"/>
      <c r="CH127" s="82"/>
      <c r="CI127" s="82"/>
      <c r="CJ127" s="85">
        <v>20059</v>
      </c>
      <c r="CK127" s="82"/>
      <c r="CL127" s="82"/>
      <c r="CM127" s="85">
        <v>21758</v>
      </c>
      <c r="CN127" s="85">
        <v>22231</v>
      </c>
      <c r="CO127" s="85">
        <v>22526</v>
      </c>
      <c r="CP127" s="85">
        <v>23051</v>
      </c>
      <c r="CQ127" s="85">
        <v>23045</v>
      </c>
      <c r="CR127" s="85">
        <v>23221</v>
      </c>
      <c r="CS127" s="85">
        <v>23446</v>
      </c>
      <c r="CT127" s="82"/>
      <c r="CU127" s="82"/>
      <c r="CV127" s="82"/>
      <c r="CW127" s="82"/>
      <c r="CX127" s="82"/>
      <c r="CY127" s="82"/>
      <c r="CZ127" s="82"/>
      <c r="DA127" s="73"/>
      <c r="DB127" s="99"/>
      <c r="DC127" s="82"/>
      <c r="DD127" s="82"/>
      <c r="DE127" s="82"/>
      <c r="DF127" s="82"/>
      <c r="DG127" s="82"/>
      <c r="DH127" s="82"/>
      <c r="DI127" s="82"/>
      <c r="DJ127" s="82"/>
      <c r="DK127" s="82"/>
      <c r="DL127" s="82"/>
      <c r="DM127" s="82"/>
      <c r="DN127" s="82"/>
      <c r="DO127" s="82"/>
      <c r="DP127" s="82"/>
      <c r="DQ127" s="82"/>
      <c r="DR127" s="82"/>
      <c r="DS127" s="82"/>
      <c r="DT127" s="82"/>
      <c r="DU127" s="82"/>
      <c r="DV127" s="82"/>
      <c r="DW127" s="82"/>
      <c r="DX127" s="82"/>
      <c r="DY127" s="82"/>
      <c r="DZ127" s="82"/>
      <c r="EA127" s="82"/>
      <c r="EC127" s="85"/>
    </row>
    <row r="128" spans="2:140" s="81" customFormat="1" ht="12.75" customHeight="1">
      <c r="B128" s="98" t="s">
        <v>811</v>
      </c>
      <c r="C128" s="99"/>
      <c r="D128" s="99"/>
      <c r="E128" s="99"/>
      <c r="F128" s="99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92"/>
      <c r="Z128" s="82"/>
      <c r="AA128" s="92"/>
      <c r="AB128" s="82"/>
      <c r="AC128" s="85"/>
      <c r="AD128" s="82"/>
      <c r="AE128" s="82"/>
      <c r="AF128" s="82"/>
      <c r="AG128" s="82"/>
      <c r="AH128" s="82"/>
      <c r="AI128" s="82"/>
      <c r="AJ128" s="82"/>
      <c r="AK128" s="82"/>
      <c r="AL128" s="82"/>
      <c r="AM128" s="82"/>
      <c r="AN128" s="82"/>
      <c r="AO128" s="82"/>
      <c r="AP128" s="82"/>
      <c r="AQ128" s="82"/>
      <c r="AR128" s="82"/>
      <c r="AS128" s="82"/>
      <c r="AT128" s="82"/>
      <c r="AU128" s="82"/>
      <c r="AV128" s="82"/>
      <c r="AW128" s="82"/>
      <c r="AX128" s="82"/>
      <c r="AY128" s="82"/>
      <c r="AZ128" s="82"/>
      <c r="BA128" s="82"/>
      <c r="BB128" s="82"/>
      <c r="BC128" s="82"/>
      <c r="BD128" s="82"/>
      <c r="BE128" s="82"/>
      <c r="BF128" s="82"/>
      <c r="BG128" s="82"/>
      <c r="BH128" s="82"/>
      <c r="BI128" s="82"/>
      <c r="BJ128" s="82"/>
      <c r="BK128" s="82"/>
      <c r="BL128" s="82"/>
      <c r="BM128" s="82"/>
      <c r="BN128" s="82"/>
      <c r="BO128" s="82"/>
      <c r="BP128" s="82"/>
      <c r="BQ128" s="82"/>
      <c r="BR128" s="82"/>
      <c r="BS128" s="82"/>
      <c r="BT128" s="82"/>
      <c r="BU128" s="82"/>
      <c r="BV128" s="82"/>
      <c r="BW128" s="82"/>
      <c r="BX128" s="82"/>
      <c r="BY128" s="82"/>
      <c r="BZ128" s="82"/>
      <c r="CA128" s="82"/>
      <c r="CB128" s="82"/>
      <c r="CC128" s="82"/>
      <c r="CD128" s="82"/>
      <c r="CE128" s="82"/>
      <c r="CF128" s="82"/>
      <c r="CG128" s="82"/>
      <c r="CH128" s="82"/>
      <c r="CI128" s="82"/>
      <c r="CJ128" s="85">
        <f>21213+22497</f>
        <v>43710</v>
      </c>
      <c r="CK128" s="82"/>
      <c r="CL128" s="82"/>
      <c r="CM128" s="85">
        <f>21209+19857</f>
        <v>41066</v>
      </c>
      <c r="CN128" s="85">
        <f>21195+19665</f>
        <v>40860</v>
      </c>
      <c r="CO128" s="85">
        <f>21183+19199</f>
        <v>40382</v>
      </c>
      <c r="CP128" s="85">
        <f>18011+21197</f>
        <v>39208</v>
      </c>
      <c r="CQ128" s="85">
        <f>21181+17572</f>
        <v>38753</v>
      </c>
      <c r="CR128" s="85">
        <f>21161+16984</f>
        <v>38145</v>
      </c>
      <c r="CS128" s="85">
        <f>21697+17010</f>
        <v>38707</v>
      </c>
      <c r="CT128" s="82"/>
      <c r="CU128" s="82"/>
      <c r="CV128" s="82"/>
      <c r="CW128" s="82"/>
      <c r="CX128" s="82"/>
      <c r="CY128" s="82"/>
      <c r="CZ128" s="82"/>
      <c r="DA128" s="73"/>
      <c r="DB128" s="99"/>
      <c r="DC128" s="82"/>
      <c r="DD128" s="82"/>
      <c r="DE128" s="82"/>
      <c r="DF128" s="82"/>
      <c r="DG128" s="82"/>
      <c r="DH128" s="82"/>
      <c r="DI128" s="82"/>
      <c r="DJ128" s="82"/>
      <c r="DK128" s="82"/>
      <c r="DL128" s="82"/>
      <c r="DM128" s="82"/>
      <c r="DN128" s="82"/>
      <c r="DO128" s="82"/>
      <c r="DP128" s="82"/>
      <c r="DQ128" s="82"/>
      <c r="DR128" s="82"/>
      <c r="DS128" s="82"/>
      <c r="DT128" s="82"/>
      <c r="DU128" s="82"/>
      <c r="DV128" s="82"/>
      <c r="DW128" s="82"/>
      <c r="DX128" s="82"/>
      <c r="DY128" s="82"/>
      <c r="DZ128" s="82"/>
      <c r="EA128" s="82"/>
      <c r="EC128" s="85"/>
    </row>
    <row r="129" spans="2:133" s="81" customFormat="1" ht="12.75" customHeight="1">
      <c r="B129" s="98" t="s">
        <v>812</v>
      </c>
      <c r="C129" s="99"/>
      <c r="D129" s="99"/>
      <c r="E129" s="99"/>
      <c r="F129" s="99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92"/>
      <c r="Z129" s="82"/>
      <c r="AA129" s="92"/>
      <c r="AB129" s="82"/>
      <c r="AC129" s="85"/>
      <c r="AD129" s="82"/>
      <c r="AE129" s="82"/>
      <c r="AF129" s="82"/>
      <c r="AG129" s="82"/>
      <c r="AH129" s="82"/>
      <c r="AI129" s="82"/>
      <c r="AJ129" s="82"/>
      <c r="AK129" s="82"/>
      <c r="AL129" s="82"/>
      <c r="AM129" s="82"/>
      <c r="AN129" s="82"/>
      <c r="AO129" s="82"/>
      <c r="AP129" s="82"/>
      <c r="AQ129" s="82"/>
      <c r="AR129" s="82"/>
      <c r="AS129" s="82"/>
      <c r="AT129" s="82"/>
      <c r="AU129" s="82"/>
      <c r="AV129" s="82"/>
      <c r="AW129" s="82"/>
      <c r="AX129" s="82"/>
      <c r="AY129" s="82"/>
      <c r="AZ129" s="82"/>
      <c r="BA129" s="82"/>
      <c r="BB129" s="82"/>
      <c r="BC129" s="82"/>
      <c r="BD129" s="82"/>
      <c r="BE129" s="82"/>
      <c r="BF129" s="82"/>
      <c r="BG129" s="82"/>
      <c r="BH129" s="82"/>
      <c r="BI129" s="82"/>
      <c r="BJ129" s="82"/>
      <c r="BK129" s="82"/>
      <c r="BL129" s="82"/>
      <c r="BM129" s="82"/>
      <c r="BN129" s="82"/>
      <c r="BO129" s="82"/>
      <c r="BP129" s="82"/>
      <c r="BQ129" s="82"/>
      <c r="BR129" s="82"/>
      <c r="BS129" s="82"/>
      <c r="BT129" s="82"/>
      <c r="BU129" s="82"/>
      <c r="BV129" s="82"/>
      <c r="BW129" s="82"/>
      <c r="BX129" s="82"/>
      <c r="BY129" s="82"/>
      <c r="BZ129" s="82"/>
      <c r="CA129" s="82"/>
      <c r="CB129" s="82"/>
      <c r="CC129" s="82"/>
      <c r="CD129" s="82"/>
      <c r="CE129" s="82"/>
      <c r="CF129" s="82"/>
      <c r="CG129" s="82"/>
      <c r="CH129" s="82"/>
      <c r="CI129" s="82"/>
      <c r="CJ129" s="85">
        <v>10972</v>
      </c>
      <c r="CK129" s="82"/>
      <c r="CL129" s="82"/>
      <c r="CM129" s="85">
        <v>10280</v>
      </c>
      <c r="CN129" s="85">
        <v>10187</v>
      </c>
      <c r="CO129" s="85">
        <v>10559</v>
      </c>
      <c r="CP129" s="85">
        <v>11996</v>
      </c>
      <c r="CQ129" s="85">
        <v>12326</v>
      </c>
      <c r="CR129" s="85">
        <v>12702</v>
      </c>
      <c r="CS129" s="85">
        <v>14443</v>
      </c>
      <c r="CT129" s="82"/>
      <c r="CU129" s="82"/>
      <c r="CV129" s="82"/>
      <c r="CW129" s="82"/>
      <c r="CX129" s="82"/>
      <c r="CY129" s="82"/>
      <c r="CZ129" s="82"/>
      <c r="DA129" s="73"/>
      <c r="DB129" s="99"/>
      <c r="DC129" s="82"/>
      <c r="DD129" s="82"/>
      <c r="DE129" s="82"/>
      <c r="DF129" s="82"/>
      <c r="DG129" s="82"/>
      <c r="DH129" s="82"/>
      <c r="DI129" s="82"/>
      <c r="DJ129" s="82"/>
      <c r="DK129" s="82"/>
      <c r="DL129" s="82"/>
      <c r="DM129" s="82"/>
      <c r="DN129" s="82"/>
      <c r="DO129" s="82"/>
      <c r="DP129" s="82"/>
      <c r="DQ129" s="82"/>
      <c r="DR129" s="82"/>
      <c r="DS129" s="82"/>
      <c r="DT129" s="82"/>
      <c r="DU129" s="82"/>
      <c r="DV129" s="82"/>
      <c r="DW129" s="82"/>
      <c r="DX129" s="82"/>
      <c r="DY129" s="82"/>
      <c r="DZ129" s="82"/>
      <c r="EA129" s="82"/>
      <c r="EC129" s="85"/>
    </row>
    <row r="130" spans="2:133" s="81" customFormat="1" ht="12.75" customHeight="1">
      <c r="B130" s="98" t="s">
        <v>806</v>
      </c>
      <c r="C130" s="99"/>
      <c r="D130" s="99"/>
      <c r="E130" s="99"/>
      <c r="F130" s="99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92"/>
      <c r="Z130" s="82"/>
      <c r="AA130" s="92"/>
      <c r="AB130" s="82"/>
      <c r="AC130" s="85"/>
      <c r="AD130" s="82"/>
      <c r="AE130" s="82"/>
      <c r="AF130" s="82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  <c r="AR130" s="82"/>
      <c r="AS130" s="82"/>
      <c r="AT130" s="82"/>
      <c r="AU130" s="82"/>
      <c r="AV130" s="82"/>
      <c r="AW130" s="82"/>
      <c r="AX130" s="82"/>
      <c r="AY130" s="82"/>
      <c r="AZ130" s="82"/>
      <c r="BA130" s="82"/>
      <c r="BB130" s="82"/>
      <c r="BC130" s="82"/>
      <c r="BD130" s="82"/>
      <c r="BE130" s="82"/>
      <c r="BF130" s="82"/>
      <c r="BG130" s="82"/>
      <c r="BH130" s="82"/>
      <c r="BI130" s="82"/>
      <c r="BJ130" s="82"/>
      <c r="BK130" s="82"/>
      <c r="BL130" s="82"/>
      <c r="BM130" s="82"/>
      <c r="BN130" s="82"/>
      <c r="BO130" s="82"/>
      <c r="BP130" s="82"/>
      <c r="BQ130" s="82"/>
      <c r="BR130" s="82"/>
      <c r="BS130" s="82"/>
      <c r="BT130" s="82"/>
      <c r="BU130" s="82"/>
      <c r="BV130" s="82"/>
      <c r="BW130" s="82"/>
      <c r="BX130" s="82"/>
      <c r="BY130" s="82"/>
      <c r="BZ130" s="82"/>
      <c r="CA130" s="82"/>
      <c r="CB130" s="82"/>
      <c r="CC130" s="82"/>
      <c r="CD130" s="82"/>
      <c r="CE130" s="82"/>
      <c r="CF130" s="82"/>
      <c r="CG130" s="82"/>
      <c r="CH130" s="82"/>
      <c r="CI130" s="82"/>
      <c r="CJ130" s="85">
        <f>SUM(CJ123:CJ129)</f>
        <v>107095</v>
      </c>
      <c r="CK130" s="82"/>
      <c r="CL130" s="82"/>
      <c r="CM130" s="85">
        <f t="shared" ref="CM130:CR130" si="303">SUM(CM123:CM129)</f>
        <v>107796</v>
      </c>
      <c r="CN130" s="85">
        <f t="shared" si="303"/>
        <v>104469</v>
      </c>
      <c r="CO130" s="85">
        <f t="shared" si="303"/>
        <v>106727</v>
      </c>
      <c r="CP130" s="85">
        <f t="shared" si="303"/>
        <v>106675</v>
      </c>
      <c r="CQ130" s="85">
        <f t="shared" si="303"/>
        <v>105849</v>
      </c>
      <c r="CR130" s="85">
        <f t="shared" si="303"/>
        <v>112630</v>
      </c>
      <c r="CS130" s="85">
        <f>SUM(CS123:CS129)</f>
        <v>117532</v>
      </c>
      <c r="CT130" s="82"/>
      <c r="CU130" s="82"/>
      <c r="CV130" s="82"/>
      <c r="CW130" s="82"/>
      <c r="CX130" s="82"/>
      <c r="CY130" s="82"/>
      <c r="CZ130" s="82"/>
      <c r="DA130" s="73"/>
      <c r="DB130" s="99"/>
      <c r="DC130" s="82"/>
      <c r="DD130" s="82"/>
      <c r="DE130" s="82"/>
      <c r="DF130" s="82"/>
      <c r="DG130" s="82"/>
      <c r="DH130" s="82"/>
      <c r="DI130" s="82"/>
      <c r="DJ130" s="82"/>
      <c r="DK130" s="82"/>
      <c r="DL130" s="82"/>
      <c r="DM130" s="82"/>
      <c r="DN130" s="82"/>
      <c r="DO130" s="82"/>
      <c r="DP130" s="82"/>
      <c r="DQ130" s="82"/>
      <c r="DR130" s="82"/>
      <c r="DS130" s="82"/>
      <c r="DT130" s="82"/>
      <c r="DU130" s="82"/>
      <c r="DV130" s="82"/>
      <c r="DW130" s="82"/>
      <c r="DX130" s="82"/>
      <c r="DY130" s="82"/>
      <c r="DZ130" s="82"/>
      <c r="EA130" s="82"/>
      <c r="EC130" s="85"/>
    </row>
    <row r="131" spans="2:133" s="81" customFormat="1" ht="12.75" customHeight="1">
      <c r="B131" s="108"/>
      <c r="C131" s="99"/>
      <c r="D131" s="99"/>
      <c r="E131" s="99"/>
      <c r="F131" s="99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92"/>
      <c r="Z131" s="82"/>
      <c r="AA131" s="92"/>
      <c r="AB131" s="82"/>
      <c r="AC131" s="85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  <c r="AR131" s="82"/>
      <c r="AS131" s="82"/>
      <c r="AT131" s="82"/>
      <c r="AU131" s="82"/>
      <c r="AV131" s="82"/>
      <c r="AW131" s="82"/>
      <c r="AX131" s="82"/>
      <c r="AY131" s="82"/>
      <c r="AZ131" s="82"/>
      <c r="BA131" s="82"/>
      <c r="BB131" s="82"/>
      <c r="BC131" s="82"/>
      <c r="BD131" s="82"/>
      <c r="BE131" s="82"/>
      <c r="BF131" s="82"/>
      <c r="BG131" s="82"/>
      <c r="BH131" s="82"/>
      <c r="BI131" s="82"/>
      <c r="BJ131" s="82"/>
      <c r="BK131" s="82"/>
      <c r="BL131" s="82"/>
      <c r="BM131" s="82"/>
      <c r="BN131" s="82"/>
      <c r="BO131" s="82"/>
      <c r="BP131" s="82"/>
      <c r="BQ131" s="82"/>
      <c r="BR131" s="82"/>
      <c r="BS131" s="82"/>
      <c r="BT131" s="82"/>
      <c r="BU131" s="82"/>
      <c r="BV131" s="82"/>
      <c r="BW131" s="82"/>
      <c r="BX131" s="82"/>
      <c r="BY131" s="82"/>
      <c r="BZ131" s="82"/>
      <c r="CA131" s="82"/>
      <c r="CB131" s="82"/>
      <c r="CC131" s="82"/>
      <c r="CD131" s="82"/>
      <c r="CE131" s="82"/>
      <c r="CF131" s="82"/>
      <c r="CG131" s="82"/>
      <c r="CH131" s="82"/>
      <c r="CI131" s="82"/>
      <c r="CJ131" s="82"/>
      <c r="CK131" s="82"/>
      <c r="CL131" s="82"/>
      <c r="CM131" s="82"/>
      <c r="CN131" s="82"/>
      <c r="CO131" s="82"/>
      <c r="CP131" s="82"/>
      <c r="CQ131" s="82"/>
      <c r="CR131" s="82"/>
      <c r="CS131" s="82"/>
      <c r="CT131" s="82"/>
      <c r="CU131" s="82"/>
      <c r="CV131" s="82"/>
      <c r="CW131" s="82"/>
      <c r="CX131" s="82"/>
      <c r="CY131" s="82"/>
      <c r="CZ131" s="82"/>
      <c r="DA131" s="73"/>
      <c r="DB131" s="99"/>
      <c r="DC131" s="82"/>
      <c r="DD131" s="82"/>
      <c r="DE131" s="82"/>
      <c r="DF131" s="82"/>
      <c r="DG131" s="82"/>
      <c r="DH131" s="82"/>
      <c r="DI131" s="82"/>
      <c r="DJ131" s="82"/>
      <c r="DK131" s="82"/>
      <c r="DL131" s="82"/>
      <c r="DM131" s="82"/>
      <c r="DN131" s="82"/>
      <c r="DO131" s="82"/>
      <c r="DP131" s="82"/>
      <c r="DQ131" s="82"/>
      <c r="DR131" s="82"/>
      <c r="DS131" s="82"/>
      <c r="DT131" s="82"/>
      <c r="DU131" s="82"/>
      <c r="DV131" s="82"/>
      <c r="DW131" s="82"/>
      <c r="DX131" s="82"/>
      <c r="DY131" s="82"/>
      <c r="DZ131" s="82"/>
      <c r="EA131" s="82"/>
      <c r="EC131" s="85"/>
    </row>
    <row r="132" spans="2:133" s="90" customFormat="1" ht="12.75" customHeight="1">
      <c r="B132" s="111" t="s">
        <v>329</v>
      </c>
      <c r="C132" s="91"/>
      <c r="D132" s="91"/>
      <c r="E132" s="91"/>
      <c r="F132" s="91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92"/>
      <c r="Z132" s="85"/>
      <c r="AA132" s="92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  <c r="AZ132" s="85"/>
      <c r="BA132" s="85"/>
      <c r="BB132" s="85"/>
      <c r="BC132" s="85"/>
      <c r="BD132" s="85"/>
      <c r="BE132" s="85"/>
      <c r="BF132" s="85"/>
      <c r="BG132" s="85"/>
      <c r="BH132" s="85"/>
      <c r="BI132" s="85"/>
      <c r="BJ132" s="85"/>
      <c r="BK132" s="85"/>
      <c r="BL132" s="85"/>
      <c r="BM132" s="85"/>
      <c r="BN132" s="85"/>
      <c r="BO132" s="85"/>
      <c r="BP132" s="85"/>
      <c r="BQ132" s="85"/>
      <c r="BR132" s="85"/>
      <c r="BS132" s="85"/>
      <c r="BT132" s="85"/>
      <c r="BU132" s="85"/>
      <c r="BV132" s="85"/>
      <c r="BW132" s="85"/>
      <c r="BX132" s="85"/>
      <c r="BY132" s="85"/>
      <c r="BZ132" s="85"/>
      <c r="CA132" s="85"/>
      <c r="CB132" s="85"/>
      <c r="CC132" s="85"/>
      <c r="CD132" s="85"/>
      <c r="CE132" s="85"/>
      <c r="CF132" s="85"/>
      <c r="CG132" s="85"/>
      <c r="CH132" s="85"/>
      <c r="CI132" s="85"/>
      <c r="CJ132" s="85">
        <f>2979+28684</f>
        <v>31663</v>
      </c>
      <c r="CK132" s="85"/>
      <c r="CL132" s="85"/>
      <c r="CM132" s="85">
        <f>2672+28074</f>
        <v>30746</v>
      </c>
      <c r="CN132" s="85">
        <f>2839+34072</f>
        <v>36911</v>
      </c>
      <c r="CO132" s="85">
        <f>887+33972</f>
        <v>34859</v>
      </c>
      <c r="CP132" s="85">
        <f>1372+33683</f>
        <v>35055</v>
      </c>
      <c r="CQ132" s="85">
        <f>31142+3077</f>
        <v>34219</v>
      </c>
      <c r="CR132" s="85">
        <f>3071+34717</f>
        <v>37788</v>
      </c>
      <c r="CS132" s="85">
        <f>3149+34982</f>
        <v>38131</v>
      </c>
      <c r="CT132" s="85"/>
      <c r="CU132" s="85"/>
      <c r="CV132" s="85"/>
      <c r="CW132" s="85"/>
      <c r="CX132" s="85"/>
      <c r="CY132" s="85"/>
      <c r="CZ132" s="85"/>
      <c r="DA132" s="93"/>
      <c r="DB132" s="91"/>
      <c r="DC132" s="85"/>
      <c r="DD132" s="85"/>
      <c r="DE132" s="85"/>
      <c r="DF132" s="85"/>
      <c r="DG132" s="85"/>
      <c r="DH132" s="85"/>
      <c r="DI132" s="85"/>
      <c r="DJ132" s="85"/>
      <c r="DK132" s="85"/>
      <c r="DL132" s="85"/>
      <c r="DM132" s="85"/>
      <c r="DN132" s="85"/>
      <c r="DO132" s="85"/>
      <c r="DP132" s="85"/>
      <c r="DQ132" s="85"/>
      <c r="DR132" s="85"/>
      <c r="DS132" s="85"/>
      <c r="DT132" s="85"/>
      <c r="DU132" s="85"/>
      <c r="DV132" s="85"/>
      <c r="DW132" s="85"/>
      <c r="DX132" s="85"/>
      <c r="DY132" s="85"/>
      <c r="DZ132" s="85"/>
      <c r="EA132" s="85"/>
      <c r="EC132" s="85"/>
    </row>
    <row r="133" spans="2:133" s="90" customFormat="1" ht="12.75" customHeight="1">
      <c r="B133" s="111" t="s">
        <v>813</v>
      </c>
      <c r="C133" s="91"/>
      <c r="D133" s="91"/>
      <c r="E133" s="91"/>
      <c r="F133" s="91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92"/>
      <c r="Z133" s="85"/>
      <c r="AA133" s="92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85"/>
      <c r="AZ133" s="85"/>
      <c r="BA133" s="85"/>
      <c r="BB133" s="85"/>
      <c r="BC133" s="85"/>
      <c r="BD133" s="85"/>
      <c r="BE133" s="85"/>
      <c r="BF133" s="85"/>
      <c r="BG133" s="85"/>
      <c r="BH133" s="85"/>
      <c r="BI133" s="85"/>
      <c r="BJ133" s="85"/>
      <c r="BK133" s="85"/>
      <c r="BL133" s="85"/>
      <c r="BM133" s="85"/>
      <c r="BN133" s="85"/>
      <c r="BO133" s="85"/>
      <c r="BP133" s="85"/>
      <c r="BQ133" s="85"/>
      <c r="BR133" s="85"/>
      <c r="BS133" s="85"/>
      <c r="BT133" s="85"/>
      <c r="BU133" s="85"/>
      <c r="BV133" s="85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85"/>
      <c r="CH133" s="85"/>
      <c r="CI133" s="85"/>
      <c r="CJ133" s="85">
        <v>3482</v>
      </c>
      <c r="CK133" s="85"/>
      <c r="CL133" s="85"/>
      <c r="CM133" s="85">
        <v>3680</v>
      </c>
      <c r="CN133" s="85">
        <v>3442</v>
      </c>
      <c r="CO133" s="85">
        <v>3509</v>
      </c>
      <c r="CP133" s="85">
        <v>3922</v>
      </c>
      <c r="CQ133" s="85">
        <v>3514</v>
      </c>
      <c r="CR133" s="85">
        <v>3519</v>
      </c>
      <c r="CS133" s="85">
        <v>3586</v>
      </c>
      <c r="CT133" s="85"/>
      <c r="CU133" s="85"/>
      <c r="CV133" s="85"/>
      <c r="CW133" s="85"/>
      <c r="CX133" s="85"/>
      <c r="CY133" s="85"/>
      <c r="CZ133" s="85"/>
      <c r="DA133" s="93"/>
      <c r="DB133" s="91"/>
      <c r="DC133" s="85"/>
      <c r="DD133" s="85"/>
      <c r="DE133" s="85"/>
      <c r="DF133" s="85"/>
      <c r="DG133" s="85"/>
      <c r="DH133" s="85"/>
      <c r="DI133" s="85"/>
      <c r="DJ133" s="85"/>
      <c r="DK133" s="85"/>
      <c r="DL133" s="85"/>
      <c r="DM133" s="85"/>
      <c r="DN133" s="85"/>
      <c r="DO133" s="85"/>
      <c r="DP133" s="85"/>
      <c r="DQ133" s="85"/>
      <c r="DR133" s="85"/>
      <c r="DS133" s="85"/>
      <c r="DT133" s="85"/>
      <c r="DU133" s="85"/>
      <c r="DV133" s="85"/>
      <c r="DW133" s="85"/>
      <c r="DX133" s="85"/>
      <c r="DY133" s="85"/>
      <c r="DZ133" s="85"/>
      <c r="EA133" s="85"/>
      <c r="EC133" s="85"/>
    </row>
    <row r="134" spans="2:133" s="90" customFormat="1" ht="12.75" customHeight="1">
      <c r="B134" s="111" t="s">
        <v>814</v>
      </c>
      <c r="C134" s="91"/>
      <c r="D134" s="91"/>
      <c r="E134" s="91"/>
      <c r="F134" s="91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92"/>
      <c r="Z134" s="85"/>
      <c r="AA134" s="92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>
        <v>13501</v>
      </c>
      <c r="CK134" s="85"/>
      <c r="CL134" s="85"/>
      <c r="CM134" s="85">
        <v>13000</v>
      </c>
      <c r="CN134" s="85">
        <v>13747</v>
      </c>
      <c r="CO134" s="85">
        <v>14840</v>
      </c>
      <c r="CP134" s="85">
        <v>15766</v>
      </c>
      <c r="CQ134" s="85">
        <v>14102</v>
      </c>
      <c r="CR134" s="85">
        <v>14712</v>
      </c>
      <c r="CS134" s="85">
        <v>16539</v>
      </c>
      <c r="CT134" s="85"/>
      <c r="CU134" s="85"/>
      <c r="CV134" s="85"/>
      <c r="CW134" s="85"/>
      <c r="CX134" s="85"/>
      <c r="CY134" s="85"/>
      <c r="CZ134" s="85"/>
      <c r="DA134" s="93"/>
      <c r="DB134" s="91"/>
      <c r="DC134" s="85"/>
      <c r="DD134" s="85"/>
      <c r="DE134" s="85"/>
      <c r="DF134" s="85"/>
      <c r="DG134" s="85"/>
      <c r="DH134" s="85"/>
      <c r="DI134" s="85"/>
      <c r="DJ134" s="85"/>
      <c r="DK134" s="85"/>
      <c r="DL134" s="85"/>
      <c r="DM134" s="85"/>
      <c r="DN134" s="85"/>
      <c r="DO134" s="85"/>
      <c r="DP134" s="85"/>
      <c r="DQ134" s="85"/>
      <c r="DR134" s="85"/>
      <c r="DS134" s="85"/>
      <c r="DT134" s="85"/>
      <c r="DU134" s="85"/>
      <c r="DV134" s="85"/>
      <c r="DW134" s="85"/>
      <c r="DX134" s="85"/>
      <c r="DY134" s="85"/>
      <c r="DZ134" s="85"/>
      <c r="EA134" s="85"/>
      <c r="EC134" s="85"/>
    </row>
    <row r="135" spans="2:133" s="90" customFormat="1" ht="12.75" customHeight="1">
      <c r="B135" s="111" t="s">
        <v>471</v>
      </c>
      <c r="C135" s="91"/>
      <c r="D135" s="91"/>
      <c r="E135" s="91"/>
      <c r="F135" s="91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92"/>
      <c r="Z135" s="85"/>
      <c r="AA135" s="92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  <c r="AZ135" s="85"/>
      <c r="BA135" s="85"/>
      <c r="BB135" s="85"/>
      <c r="BC135" s="85"/>
      <c r="BD135" s="85"/>
      <c r="BE135" s="85"/>
      <c r="BF135" s="85"/>
      <c r="BG135" s="85"/>
      <c r="BH135" s="85"/>
      <c r="BI135" s="85"/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  <c r="CC135" s="85"/>
      <c r="CD135" s="85"/>
      <c r="CE135" s="85"/>
      <c r="CF135" s="85"/>
      <c r="CG135" s="85"/>
      <c r="CH135" s="85"/>
      <c r="CI135" s="85"/>
      <c r="CJ135" s="85">
        <f>1438+2974</f>
        <v>4412</v>
      </c>
      <c r="CK135" s="85"/>
      <c r="CL135" s="85"/>
      <c r="CM135" s="85">
        <f>1872+1442</f>
        <v>3314</v>
      </c>
      <c r="CN135" s="85">
        <f>1489+996</f>
        <v>2485</v>
      </c>
      <c r="CO135" s="85">
        <f>1981+1018</f>
        <v>2999</v>
      </c>
      <c r="CP135" s="85">
        <f>2649+871</f>
        <v>3520</v>
      </c>
      <c r="CQ135" s="85">
        <f>2398+922</f>
        <v>3320</v>
      </c>
      <c r="CR135" s="85">
        <v>2777</v>
      </c>
      <c r="CS135" s="85">
        <f>4330+864</f>
        <v>5194</v>
      </c>
      <c r="CT135" s="85"/>
      <c r="CU135" s="85"/>
      <c r="CV135" s="85"/>
      <c r="CW135" s="85"/>
      <c r="CX135" s="85"/>
      <c r="CY135" s="85"/>
      <c r="CZ135" s="85"/>
      <c r="DA135" s="93"/>
      <c r="DB135" s="91"/>
      <c r="DC135" s="85"/>
      <c r="DD135" s="85"/>
      <c r="DE135" s="85"/>
      <c r="DF135" s="85"/>
      <c r="DG135" s="85"/>
      <c r="DH135" s="85"/>
      <c r="DI135" s="85"/>
      <c r="DJ135" s="85"/>
      <c r="DK135" s="85"/>
      <c r="DL135" s="85"/>
      <c r="DM135" s="85"/>
      <c r="DN135" s="85"/>
      <c r="DO135" s="85"/>
      <c r="DP135" s="85"/>
      <c r="DQ135" s="85"/>
      <c r="DR135" s="85"/>
      <c r="DS135" s="85"/>
      <c r="DT135" s="85"/>
      <c r="DU135" s="85"/>
      <c r="DV135" s="85"/>
      <c r="DW135" s="85"/>
      <c r="DX135" s="85"/>
      <c r="DY135" s="85"/>
      <c r="DZ135" s="85"/>
      <c r="EA135" s="85"/>
      <c r="EC135" s="85"/>
    </row>
    <row r="136" spans="2:133" s="90" customFormat="1" ht="12.75" customHeight="1">
      <c r="B136" s="111" t="s">
        <v>815</v>
      </c>
      <c r="C136" s="91"/>
      <c r="D136" s="91"/>
      <c r="E136" s="91"/>
      <c r="F136" s="91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92"/>
      <c r="Z136" s="85"/>
      <c r="AA136" s="92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85"/>
      <c r="AZ136" s="85"/>
      <c r="BA136" s="85"/>
      <c r="BB136" s="85"/>
      <c r="BC136" s="85"/>
      <c r="BD136" s="85"/>
      <c r="BE136" s="85"/>
      <c r="BF136" s="85"/>
      <c r="BG136" s="85"/>
      <c r="BH136" s="85"/>
      <c r="BI136" s="85"/>
      <c r="BJ136" s="85"/>
      <c r="BK136" s="85"/>
      <c r="BL136" s="85"/>
      <c r="BM136" s="85"/>
      <c r="BN136" s="85"/>
      <c r="BO136" s="85"/>
      <c r="BP136" s="85"/>
      <c r="BQ136" s="85"/>
      <c r="BR136" s="85"/>
      <c r="BS136" s="85"/>
      <c r="BT136" s="85"/>
      <c r="BU136" s="85"/>
      <c r="BV136" s="85"/>
      <c r="BW136" s="85"/>
      <c r="BX136" s="85"/>
      <c r="BY136" s="85"/>
      <c r="BZ136" s="85"/>
      <c r="CA136" s="85"/>
      <c r="CB136" s="85"/>
      <c r="CC136" s="85"/>
      <c r="CD136" s="85"/>
      <c r="CE136" s="85"/>
      <c r="CF136" s="85"/>
      <c r="CG136" s="85"/>
      <c r="CH136" s="85"/>
      <c r="CI136" s="85"/>
      <c r="CJ136" s="85">
        <v>1768</v>
      </c>
      <c r="CK136" s="85"/>
      <c r="CL136" s="85"/>
      <c r="CM136" s="85">
        <v>1907</v>
      </c>
      <c r="CN136" s="85">
        <v>1877</v>
      </c>
      <c r="CO136" s="85">
        <v>1877</v>
      </c>
      <c r="CP136" s="85">
        <v>1985</v>
      </c>
      <c r="CQ136" s="85">
        <v>2008</v>
      </c>
      <c r="CR136" s="85">
        <v>1981</v>
      </c>
      <c r="CS136" s="85">
        <v>1982</v>
      </c>
      <c r="CT136" s="85"/>
      <c r="CU136" s="85"/>
      <c r="CV136" s="85"/>
      <c r="CW136" s="85"/>
      <c r="CX136" s="85"/>
      <c r="CY136" s="85"/>
      <c r="CZ136" s="85"/>
      <c r="DA136" s="93"/>
      <c r="DB136" s="91"/>
      <c r="DC136" s="85"/>
      <c r="DD136" s="85"/>
      <c r="DE136" s="85"/>
      <c r="DF136" s="85"/>
      <c r="DG136" s="85"/>
      <c r="DH136" s="85"/>
      <c r="DI136" s="85"/>
      <c r="DJ136" s="85"/>
      <c r="DK136" s="85"/>
      <c r="DL136" s="85"/>
      <c r="DM136" s="85"/>
      <c r="DN136" s="85"/>
      <c r="DO136" s="85"/>
      <c r="DP136" s="85"/>
      <c r="DQ136" s="85"/>
      <c r="DR136" s="85"/>
      <c r="DS136" s="85"/>
      <c r="DT136" s="85"/>
      <c r="DU136" s="85"/>
      <c r="DV136" s="85"/>
      <c r="DW136" s="85"/>
      <c r="DX136" s="85"/>
      <c r="DY136" s="85"/>
      <c r="DZ136" s="85"/>
      <c r="EA136" s="85"/>
      <c r="EC136" s="85"/>
    </row>
    <row r="137" spans="2:133" s="90" customFormat="1" ht="12.75" customHeight="1">
      <c r="B137" s="111" t="s">
        <v>816</v>
      </c>
      <c r="C137" s="91"/>
      <c r="D137" s="91"/>
      <c r="E137" s="91"/>
      <c r="F137" s="91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92"/>
      <c r="Z137" s="85"/>
      <c r="AA137" s="92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5"/>
      <c r="BB137" s="85"/>
      <c r="BC137" s="85"/>
      <c r="BD137" s="85"/>
      <c r="BE137" s="85"/>
      <c r="BF137" s="85"/>
      <c r="BG137" s="85"/>
      <c r="BH137" s="85"/>
      <c r="BI137" s="85"/>
      <c r="BJ137" s="85"/>
      <c r="BK137" s="85"/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  <c r="BV137" s="85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85"/>
      <c r="CH137" s="85"/>
      <c r="CI137" s="85"/>
      <c r="CJ137" s="85">
        <v>8951</v>
      </c>
      <c r="CK137" s="85"/>
      <c r="CL137" s="85"/>
      <c r="CM137" s="85">
        <v>8244</v>
      </c>
      <c r="CN137" s="85">
        <v>7265</v>
      </c>
      <c r="CO137" s="85">
        <v>7343</v>
      </c>
      <c r="CP137" s="85">
        <v>8792</v>
      </c>
      <c r="CQ137" s="85">
        <v>8262</v>
      </c>
      <c r="CR137" s="85">
        <f>876+7329</f>
        <v>8205</v>
      </c>
      <c r="CS137" s="85">
        <v>7540</v>
      </c>
      <c r="CT137" s="85"/>
      <c r="CU137" s="85"/>
      <c r="CV137" s="85"/>
      <c r="CW137" s="85"/>
      <c r="CX137" s="85"/>
      <c r="CY137" s="85"/>
      <c r="CZ137" s="85"/>
      <c r="DA137" s="93"/>
      <c r="DB137" s="91"/>
      <c r="DC137" s="85"/>
      <c r="DD137" s="85"/>
      <c r="DE137" s="85"/>
      <c r="DF137" s="85"/>
      <c r="DG137" s="85"/>
      <c r="DH137" s="85"/>
      <c r="DI137" s="85"/>
      <c r="DJ137" s="85"/>
      <c r="DK137" s="85"/>
      <c r="DL137" s="85"/>
      <c r="DM137" s="85"/>
      <c r="DN137" s="85"/>
      <c r="DO137" s="85"/>
      <c r="DP137" s="85"/>
      <c r="DQ137" s="85"/>
      <c r="DR137" s="85"/>
      <c r="DS137" s="85"/>
      <c r="DT137" s="85"/>
      <c r="DU137" s="85"/>
      <c r="DV137" s="85"/>
      <c r="DW137" s="85"/>
      <c r="DX137" s="85"/>
      <c r="DY137" s="85"/>
      <c r="DZ137" s="85"/>
      <c r="EA137" s="85"/>
      <c r="EC137" s="85"/>
    </row>
    <row r="138" spans="2:133" s="90" customFormat="1" ht="12.75" customHeight="1">
      <c r="B138" s="111" t="s">
        <v>817</v>
      </c>
      <c r="C138" s="91"/>
      <c r="D138" s="91"/>
      <c r="E138" s="91"/>
      <c r="F138" s="91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92"/>
      <c r="Z138" s="85"/>
      <c r="AA138" s="92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  <c r="AZ138" s="85"/>
      <c r="BA138" s="85"/>
      <c r="BB138" s="85"/>
      <c r="BC138" s="85"/>
      <c r="BD138" s="85"/>
      <c r="BE138" s="85"/>
      <c r="BF138" s="85"/>
      <c r="BG138" s="85"/>
      <c r="BH138" s="85"/>
      <c r="BI138" s="85"/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>
        <v>43318</v>
      </c>
      <c r="CK138" s="85"/>
      <c r="CL138" s="85"/>
      <c r="CM138" s="85">
        <v>46905</v>
      </c>
      <c r="CN138" s="85">
        <v>38742</v>
      </c>
      <c r="CO138" s="85">
        <v>41300</v>
      </c>
      <c r="CP138" s="85">
        <v>37635</v>
      </c>
      <c r="CQ138" s="85">
        <v>40424</v>
      </c>
      <c r="CR138" s="85">
        <v>43648</v>
      </c>
      <c r="CS138" s="85">
        <v>44560</v>
      </c>
      <c r="CT138" s="85"/>
      <c r="CU138" s="85"/>
      <c r="CV138" s="85"/>
      <c r="CW138" s="85"/>
      <c r="CX138" s="85"/>
      <c r="CY138" s="85"/>
      <c r="CZ138" s="85"/>
      <c r="DA138" s="93"/>
      <c r="DB138" s="91"/>
      <c r="DC138" s="85"/>
      <c r="DD138" s="85"/>
      <c r="DE138" s="85"/>
      <c r="DF138" s="85"/>
      <c r="DG138" s="85"/>
      <c r="DH138" s="85"/>
      <c r="DI138" s="85"/>
      <c r="DJ138" s="85"/>
      <c r="DK138" s="85"/>
      <c r="DL138" s="85"/>
      <c r="DM138" s="85"/>
      <c r="DN138" s="85"/>
      <c r="DO138" s="85"/>
      <c r="DP138" s="85"/>
      <c r="DQ138" s="85"/>
      <c r="DR138" s="85"/>
      <c r="DS138" s="85"/>
      <c r="DT138" s="85"/>
      <c r="DU138" s="85"/>
      <c r="DV138" s="85"/>
      <c r="DW138" s="85"/>
      <c r="DX138" s="85"/>
      <c r="DY138" s="85"/>
      <c r="DZ138" s="85"/>
      <c r="EA138" s="85"/>
      <c r="EC138" s="85"/>
    </row>
    <row r="139" spans="2:133" s="90" customFormat="1" ht="12.75" customHeight="1">
      <c r="B139" s="111" t="s">
        <v>818</v>
      </c>
      <c r="C139" s="91"/>
      <c r="D139" s="91"/>
      <c r="E139" s="91"/>
      <c r="F139" s="91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92"/>
      <c r="Z139" s="85"/>
      <c r="AA139" s="92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85"/>
      <c r="AZ139" s="85"/>
      <c r="BA139" s="85"/>
      <c r="BB139" s="85"/>
      <c r="BC139" s="85"/>
      <c r="BD139" s="85"/>
      <c r="BE139" s="85"/>
      <c r="BF139" s="85"/>
      <c r="BG139" s="85"/>
      <c r="BH139" s="85"/>
      <c r="BI139" s="85"/>
      <c r="BJ139" s="85"/>
      <c r="BK139" s="85"/>
      <c r="BL139" s="85"/>
      <c r="BM139" s="85"/>
      <c r="BN139" s="85"/>
      <c r="BO139" s="85"/>
      <c r="BP139" s="85"/>
      <c r="BQ139" s="85"/>
      <c r="BR139" s="85"/>
      <c r="BS139" s="85"/>
      <c r="BT139" s="85"/>
      <c r="BU139" s="85"/>
      <c r="BV139" s="85"/>
      <c r="BW139" s="85"/>
      <c r="BX139" s="85"/>
      <c r="BY139" s="85"/>
      <c r="BZ139" s="85"/>
      <c r="CA139" s="85"/>
      <c r="CB139" s="85"/>
      <c r="CC139" s="85"/>
      <c r="CD139" s="85"/>
      <c r="CE139" s="85"/>
      <c r="CF139" s="85"/>
      <c r="CG139" s="85"/>
      <c r="CH139" s="85"/>
      <c r="CI139" s="85"/>
      <c r="CJ139" s="85">
        <f>SUM(CJ132:CJ138)</f>
        <v>107095</v>
      </c>
      <c r="CK139" s="85"/>
      <c r="CL139" s="85"/>
      <c r="CM139" s="85">
        <f t="shared" ref="CM139:CR139" si="304">SUM(CM132:CM138)</f>
        <v>107796</v>
      </c>
      <c r="CN139" s="85">
        <f t="shared" si="304"/>
        <v>104469</v>
      </c>
      <c r="CO139" s="85">
        <f t="shared" si="304"/>
        <v>106727</v>
      </c>
      <c r="CP139" s="85">
        <f t="shared" si="304"/>
        <v>106675</v>
      </c>
      <c r="CQ139" s="85">
        <f t="shared" si="304"/>
        <v>105849</v>
      </c>
      <c r="CR139" s="85">
        <f t="shared" si="304"/>
        <v>112630</v>
      </c>
      <c r="CS139" s="85">
        <f>SUM(CS132:CS138)</f>
        <v>117532</v>
      </c>
      <c r="CT139" s="85"/>
      <c r="CU139" s="85"/>
      <c r="CV139" s="85"/>
      <c r="CW139" s="85"/>
      <c r="CX139" s="85"/>
      <c r="CY139" s="85"/>
      <c r="CZ139" s="85"/>
      <c r="DA139" s="93"/>
      <c r="DB139" s="91"/>
      <c r="DC139" s="85"/>
      <c r="DD139" s="85"/>
      <c r="DE139" s="85"/>
      <c r="DF139" s="85"/>
      <c r="DG139" s="85"/>
      <c r="DH139" s="85"/>
      <c r="DI139" s="85"/>
      <c r="DJ139" s="85"/>
      <c r="DK139" s="85"/>
      <c r="DL139" s="85"/>
      <c r="DM139" s="85"/>
      <c r="DN139" s="85"/>
      <c r="DO139" s="85"/>
      <c r="DP139" s="85"/>
      <c r="DQ139" s="85"/>
      <c r="DR139" s="85"/>
      <c r="DS139" s="85"/>
      <c r="DT139" s="85"/>
      <c r="DU139" s="85"/>
      <c r="DV139" s="85"/>
      <c r="DW139" s="85"/>
      <c r="DX139" s="85"/>
      <c r="DY139" s="85"/>
      <c r="DZ139" s="85"/>
      <c r="EA139" s="85"/>
      <c r="EC139" s="85"/>
    </row>
    <row r="140" spans="2:133" s="81" customFormat="1" ht="12.75" customHeight="1">
      <c r="B140" s="108"/>
      <c r="C140" s="99"/>
      <c r="D140" s="99"/>
      <c r="E140" s="99"/>
      <c r="F140" s="99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92"/>
      <c r="Z140" s="82"/>
      <c r="AA140" s="92"/>
      <c r="AB140" s="82"/>
      <c r="AC140" s="85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  <c r="AQ140" s="82"/>
      <c r="AR140" s="82"/>
      <c r="AS140" s="82"/>
      <c r="AT140" s="82"/>
      <c r="AU140" s="82"/>
      <c r="AV140" s="82"/>
      <c r="AW140" s="82"/>
      <c r="AX140" s="82"/>
      <c r="AY140" s="82"/>
      <c r="AZ140" s="82"/>
      <c r="BA140" s="82"/>
      <c r="BB140" s="82"/>
      <c r="BC140" s="82"/>
      <c r="BD140" s="82"/>
      <c r="BE140" s="82"/>
      <c r="BF140" s="82"/>
      <c r="BG140" s="82"/>
      <c r="BH140" s="82"/>
      <c r="BI140" s="82"/>
      <c r="BJ140" s="82"/>
      <c r="BK140" s="82"/>
      <c r="BL140" s="82"/>
      <c r="BM140" s="82"/>
      <c r="BN140" s="82"/>
      <c r="BO140" s="82"/>
      <c r="BP140" s="82"/>
      <c r="BQ140" s="82"/>
      <c r="BR140" s="82"/>
      <c r="BS140" s="82"/>
      <c r="BT140" s="82"/>
      <c r="BU140" s="82"/>
      <c r="BV140" s="82"/>
      <c r="BW140" s="82"/>
      <c r="BX140" s="82"/>
      <c r="BY140" s="82"/>
      <c r="BZ140" s="82"/>
      <c r="CA140" s="82"/>
      <c r="CB140" s="82"/>
      <c r="CC140" s="82"/>
      <c r="CD140" s="82"/>
      <c r="CE140" s="82"/>
      <c r="CF140" s="82"/>
      <c r="CG140" s="82"/>
      <c r="CH140" s="82"/>
      <c r="CI140" s="82"/>
      <c r="CJ140" s="82"/>
      <c r="CK140" s="82"/>
      <c r="CL140" s="82"/>
      <c r="CM140" s="82"/>
      <c r="CN140" s="82"/>
      <c r="CO140" s="82"/>
      <c r="CP140" s="82"/>
      <c r="CQ140" s="82"/>
      <c r="CR140" s="82"/>
      <c r="CS140" s="82"/>
      <c r="CT140" s="82"/>
      <c r="CU140" s="82"/>
      <c r="CV140" s="82"/>
      <c r="CW140" s="82"/>
      <c r="CX140" s="82"/>
      <c r="CY140" s="82"/>
      <c r="CZ140" s="82"/>
      <c r="DA140" s="73"/>
      <c r="DB140" s="99"/>
      <c r="DC140" s="82"/>
      <c r="DD140" s="82"/>
      <c r="DE140" s="82"/>
      <c r="DF140" s="82"/>
      <c r="DG140" s="82"/>
      <c r="DH140" s="82"/>
      <c r="DI140" s="82"/>
      <c r="DJ140" s="82"/>
      <c r="DK140" s="82"/>
      <c r="DL140" s="82"/>
      <c r="DM140" s="82"/>
      <c r="DN140" s="82"/>
      <c r="DO140" s="82"/>
      <c r="DP140" s="82"/>
      <c r="DQ140" s="82"/>
      <c r="DR140" s="82"/>
      <c r="DS140" s="82"/>
      <c r="DT140" s="82"/>
      <c r="DU140" s="82"/>
      <c r="DV140" s="82"/>
      <c r="DW140" s="82"/>
      <c r="DX140" s="82"/>
      <c r="DY140" s="82"/>
      <c r="DZ140" s="82"/>
      <c r="EA140" s="82"/>
      <c r="EC140" s="85"/>
    </row>
    <row r="141" spans="2:133" s="81" customFormat="1" ht="12.75" customHeight="1">
      <c r="B141" s="98" t="s">
        <v>951</v>
      </c>
      <c r="C141" s="99"/>
      <c r="D141" s="99"/>
      <c r="E141" s="99"/>
      <c r="F141" s="99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92"/>
      <c r="Z141" s="82"/>
      <c r="AA141" s="92"/>
      <c r="AB141" s="82"/>
      <c r="AC141" s="85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  <c r="AQ141" s="82"/>
      <c r="AR141" s="82"/>
      <c r="AS141" s="82"/>
      <c r="AT141" s="82"/>
      <c r="AU141" s="82"/>
      <c r="AV141" s="82"/>
      <c r="AW141" s="82"/>
      <c r="AX141" s="82"/>
      <c r="AY141" s="82"/>
      <c r="AZ141" s="82"/>
      <c r="BA141" s="82"/>
      <c r="BB141" s="82"/>
      <c r="BC141" s="82"/>
      <c r="BD141" s="82"/>
      <c r="BE141" s="82"/>
      <c r="BF141" s="82"/>
      <c r="BG141" s="82"/>
      <c r="BH141" s="82"/>
      <c r="BI141" s="82"/>
      <c r="BJ141" s="82"/>
      <c r="BK141" s="82"/>
      <c r="BL141" s="82"/>
      <c r="BM141" s="82"/>
      <c r="BN141" s="82"/>
      <c r="BO141" s="82"/>
      <c r="BP141" s="82"/>
      <c r="BQ141" s="82"/>
      <c r="BR141" s="82"/>
      <c r="BS141" s="82"/>
      <c r="BT141" s="82"/>
      <c r="BU141" s="82"/>
      <c r="BV141" s="82"/>
      <c r="BW141" s="82"/>
      <c r="BX141" s="82"/>
      <c r="BY141" s="82"/>
      <c r="BZ141" s="82"/>
      <c r="CA141" s="82"/>
      <c r="CB141" s="82"/>
      <c r="CC141" s="82"/>
      <c r="CD141" s="82"/>
      <c r="CE141" s="82"/>
      <c r="CF141" s="82"/>
      <c r="CG141" s="82"/>
      <c r="CH141" s="82"/>
      <c r="CI141" s="82"/>
      <c r="CJ141" s="82"/>
      <c r="CK141" s="82"/>
      <c r="CL141" s="82"/>
      <c r="CM141" s="85">
        <f t="shared" ref="CM141:CP141" si="305">+CM103</f>
        <v>3568</v>
      </c>
      <c r="CN141" s="85">
        <f t="shared" si="305"/>
        <v>4945</v>
      </c>
      <c r="CO141" s="85">
        <f t="shared" si="305"/>
        <v>5432</v>
      </c>
      <c r="CP141" s="85">
        <f t="shared" si="305"/>
        <v>5567</v>
      </c>
      <c r="CQ141" s="85">
        <f>+CQ103</f>
        <v>5284</v>
      </c>
      <c r="CR141" s="85">
        <f>+CR103</f>
        <v>5815</v>
      </c>
      <c r="CS141" s="85">
        <f>+CS103</f>
        <v>3985</v>
      </c>
      <c r="CT141" s="82"/>
      <c r="CU141" s="82"/>
      <c r="CV141" s="82"/>
      <c r="CW141" s="82"/>
      <c r="CX141" s="82"/>
      <c r="CY141" s="82"/>
      <c r="CZ141" s="82"/>
      <c r="DA141" s="73"/>
      <c r="DB141" s="99"/>
      <c r="DC141" s="82"/>
      <c r="DD141" s="82"/>
      <c r="DE141" s="82"/>
      <c r="DF141" s="82"/>
      <c r="DG141" s="82"/>
      <c r="DH141" s="82"/>
      <c r="DI141" s="82"/>
      <c r="DJ141" s="82"/>
      <c r="DK141" s="82"/>
      <c r="DL141" s="82"/>
      <c r="DM141" s="82"/>
      <c r="DN141" s="82"/>
      <c r="DO141" s="82"/>
      <c r="DP141" s="82"/>
      <c r="DQ141" s="82"/>
      <c r="DR141" s="82"/>
      <c r="DS141" s="82"/>
      <c r="DT141" s="82"/>
      <c r="DU141" s="82"/>
      <c r="DV141" s="82"/>
      <c r="DW141" s="82"/>
      <c r="DX141" s="82"/>
      <c r="DY141" s="82"/>
      <c r="DZ141" s="82"/>
      <c r="EA141" s="82"/>
      <c r="EC141" s="85"/>
    </row>
    <row r="142" spans="2:133" s="81" customFormat="1" ht="12.75" customHeight="1">
      <c r="B142" s="98" t="s">
        <v>952</v>
      </c>
      <c r="C142" s="99"/>
      <c r="D142" s="99"/>
      <c r="E142" s="99"/>
      <c r="F142" s="99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92"/>
      <c r="Z142" s="82"/>
      <c r="AA142" s="92"/>
      <c r="AB142" s="82"/>
      <c r="AC142" s="85"/>
      <c r="AD142" s="82"/>
      <c r="AE142" s="82"/>
      <c r="AF142" s="82"/>
      <c r="AG142" s="82"/>
      <c r="AH142" s="82"/>
      <c r="AI142" s="82"/>
      <c r="AJ142" s="82"/>
      <c r="AK142" s="82"/>
      <c r="AL142" s="82"/>
      <c r="AM142" s="82"/>
      <c r="AN142" s="82"/>
      <c r="AO142" s="82"/>
      <c r="AP142" s="82"/>
      <c r="AQ142" s="82"/>
      <c r="AR142" s="82"/>
      <c r="AS142" s="82"/>
      <c r="AT142" s="82"/>
      <c r="AU142" s="82"/>
      <c r="AV142" s="82"/>
      <c r="AW142" s="82"/>
      <c r="AX142" s="82"/>
      <c r="AY142" s="82"/>
      <c r="AZ142" s="82"/>
      <c r="BA142" s="82"/>
      <c r="BB142" s="82"/>
      <c r="BC142" s="82"/>
      <c r="BD142" s="82"/>
      <c r="BE142" s="82"/>
      <c r="BF142" s="82"/>
      <c r="BG142" s="82"/>
      <c r="BH142" s="82"/>
      <c r="BI142" s="82"/>
      <c r="BJ142" s="82"/>
      <c r="BK142" s="82"/>
      <c r="BL142" s="82"/>
      <c r="BM142" s="82"/>
      <c r="BN142" s="82"/>
      <c r="BO142" s="82"/>
      <c r="BP142" s="82"/>
      <c r="BQ142" s="82"/>
      <c r="BR142" s="82"/>
      <c r="BS142" s="82"/>
      <c r="BT142" s="82"/>
      <c r="BU142" s="82"/>
      <c r="BV142" s="82"/>
      <c r="BW142" s="82"/>
      <c r="BX142" s="82"/>
      <c r="BY142" s="82"/>
      <c r="BZ142" s="82"/>
      <c r="CA142" s="82"/>
      <c r="CB142" s="82"/>
      <c r="CC142" s="82"/>
      <c r="CD142" s="82"/>
      <c r="CE142" s="82"/>
      <c r="CF142" s="82"/>
      <c r="CG142" s="82"/>
      <c r="CH142" s="82"/>
      <c r="CI142" s="82"/>
      <c r="CJ142" s="82"/>
      <c r="CK142" s="82"/>
      <c r="CL142" s="82"/>
      <c r="CM142" s="85">
        <v>2825</v>
      </c>
      <c r="CN142" s="85">
        <f>-3147-CM142</f>
        <v>-5972</v>
      </c>
      <c r="CO142" s="85">
        <f>1603-CN142-CM142+13</f>
        <v>4763</v>
      </c>
      <c r="CP142" s="85">
        <f>377-CO142-CN142-CM142</f>
        <v>-1239</v>
      </c>
      <c r="CQ142" s="85">
        <v>4767</v>
      </c>
      <c r="CR142" s="85">
        <f>10228-CQ142</f>
        <v>5461</v>
      </c>
      <c r="CS142" s="85">
        <f>13389-CR142-CQ142</f>
        <v>3161</v>
      </c>
      <c r="CT142" s="82"/>
      <c r="CU142" s="82"/>
      <c r="CV142" s="82"/>
      <c r="CW142" s="82"/>
      <c r="CX142" s="82"/>
      <c r="CY142" s="82"/>
      <c r="CZ142" s="82"/>
      <c r="DA142" s="73"/>
      <c r="DB142" s="99"/>
      <c r="DC142" s="82"/>
      <c r="DD142" s="82"/>
      <c r="DE142" s="82"/>
      <c r="DF142" s="82"/>
      <c r="DG142" s="82"/>
      <c r="DH142" s="82"/>
      <c r="DI142" s="82"/>
      <c r="DJ142" s="82"/>
      <c r="DK142" s="82"/>
      <c r="DL142" s="82"/>
      <c r="DM142" s="82"/>
      <c r="DN142" s="82"/>
      <c r="DO142" s="82"/>
      <c r="DP142" s="82"/>
      <c r="DQ142" s="82"/>
      <c r="DR142" s="82"/>
      <c r="DS142" s="82"/>
      <c r="DT142" s="82"/>
      <c r="DU142" s="82"/>
      <c r="DV142" s="82"/>
      <c r="DW142" s="82"/>
      <c r="DX142" s="82"/>
      <c r="DY142" s="82"/>
      <c r="DZ142" s="82"/>
      <c r="EA142" s="82"/>
      <c r="EC142" s="85"/>
    </row>
    <row r="143" spans="2:133" s="81" customFormat="1" ht="12.75" customHeight="1">
      <c r="B143" s="98" t="s">
        <v>85</v>
      </c>
      <c r="C143" s="99"/>
      <c r="D143" s="99"/>
      <c r="E143" s="99"/>
      <c r="F143" s="99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92"/>
      <c r="Z143" s="82"/>
      <c r="AA143" s="92"/>
      <c r="AB143" s="82"/>
      <c r="AC143" s="85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2"/>
      <c r="AT143" s="82"/>
      <c r="AU143" s="82"/>
      <c r="AV143" s="82"/>
      <c r="AW143" s="82"/>
      <c r="AX143" s="82"/>
      <c r="AY143" s="82"/>
      <c r="AZ143" s="82"/>
      <c r="BA143" s="82"/>
      <c r="BB143" s="82"/>
      <c r="BC143" s="82"/>
      <c r="BD143" s="82"/>
      <c r="BE143" s="82"/>
      <c r="BF143" s="82"/>
      <c r="BG143" s="82"/>
      <c r="BH143" s="82"/>
      <c r="BI143" s="82"/>
      <c r="BJ143" s="82"/>
      <c r="BK143" s="82"/>
      <c r="BL143" s="82"/>
      <c r="BM143" s="82"/>
      <c r="BN143" s="82"/>
      <c r="BO143" s="82"/>
      <c r="BP143" s="82"/>
      <c r="BQ143" s="82"/>
      <c r="BR143" s="82"/>
      <c r="BS143" s="82"/>
      <c r="BT143" s="82"/>
      <c r="BU143" s="82"/>
      <c r="BV143" s="82"/>
      <c r="BW143" s="82"/>
      <c r="BX143" s="82"/>
      <c r="BY143" s="82"/>
      <c r="BZ143" s="82"/>
      <c r="CA143" s="82"/>
      <c r="CB143" s="82"/>
      <c r="CC143" s="82"/>
      <c r="CD143" s="82"/>
      <c r="CE143" s="82"/>
      <c r="CF143" s="82"/>
      <c r="CG143" s="82"/>
      <c r="CH143" s="82"/>
      <c r="CI143" s="82"/>
      <c r="CJ143" s="82"/>
      <c r="CK143" s="82"/>
      <c r="CL143" s="82"/>
      <c r="CM143" s="85">
        <v>543</v>
      </c>
      <c r="CN143" s="85">
        <f>1020-CM143</f>
        <v>477</v>
      </c>
      <c r="CO143" s="85">
        <f>1582-CN143-CM143</f>
        <v>562</v>
      </c>
      <c r="CP143" s="85">
        <f>2044-CO143-CN143-CM143</f>
        <v>462</v>
      </c>
      <c r="CQ143" s="85">
        <v>473</v>
      </c>
      <c r="CR143" s="85">
        <f>1087-CQ143</f>
        <v>614</v>
      </c>
      <c r="CS143" s="85">
        <f>1720-CR143-CQ143</f>
        <v>633</v>
      </c>
      <c r="CT143" s="82"/>
      <c r="CU143" s="82"/>
      <c r="CV143" s="82"/>
      <c r="CW143" s="82"/>
      <c r="CX143" s="82"/>
      <c r="CY143" s="82"/>
      <c r="CZ143" s="82"/>
      <c r="DA143" s="73"/>
      <c r="DB143" s="99"/>
      <c r="DC143" s="82"/>
      <c r="DD143" s="82"/>
      <c r="DE143" s="82"/>
      <c r="DF143" s="82"/>
      <c r="DG143" s="82"/>
      <c r="DH143" s="82"/>
      <c r="DI143" s="82"/>
      <c r="DJ143" s="82"/>
      <c r="DK143" s="82"/>
      <c r="DL143" s="82"/>
      <c r="DM143" s="82"/>
      <c r="DN143" s="82"/>
      <c r="DO143" s="82"/>
      <c r="DP143" s="82"/>
      <c r="DQ143" s="82"/>
      <c r="DR143" s="82"/>
      <c r="DS143" s="82"/>
      <c r="DT143" s="82"/>
      <c r="DU143" s="82"/>
      <c r="DV143" s="82"/>
      <c r="DW143" s="82"/>
      <c r="DX143" s="82"/>
      <c r="DY143" s="82"/>
      <c r="DZ143" s="82"/>
      <c r="EA143" s="82"/>
      <c r="EC143" s="85"/>
    </row>
    <row r="144" spans="2:133" s="81" customFormat="1" ht="12.75" customHeight="1">
      <c r="B144" s="98" t="s">
        <v>84</v>
      </c>
      <c r="C144" s="99"/>
      <c r="D144" s="99"/>
      <c r="E144" s="99"/>
      <c r="F144" s="99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92"/>
      <c r="Z144" s="82"/>
      <c r="AA144" s="92"/>
      <c r="AB144" s="82"/>
      <c r="AC144" s="85"/>
      <c r="AD144" s="82"/>
      <c r="AE144" s="82"/>
      <c r="AF144" s="82"/>
      <c r="AG144" s="82"/>
      <c r="AH144" s="82"/>
      <c r="AI144" s="82"/>
      <c r="AJ144" s="82"/>
      <c r="AK144" s="82"/>
      <c r="AL144" s="82"/>
      <c r="AM144" s="82"/>
      <c r="AN144" s="82"/>
      <c r="AO144" s="82"/>
      <c r="AP144" s="82"/>
      <c r="AQ144" s="82"/>
      <c r="AR144" s="82"/>
      <c r="AS144" s="82"/>
      <c r="AT144" s="82"/>
      <c r="AU144" s="82"/>
      <c r="AV144" s="82"/>
      <c r="AW144" s="82"/>
      <c r="AX144" s="82"/>
      <c r="AY144" s="82"/>
      <c r="AZ144" s="82"/>
      <c r="BA144" s="82"/>
      <c r="BB144" s="82"/>
      <c r="BC144" s="82"/>
      <c r="BD144" s="82"/>
      <c r="BE144" s="82"/>
      <c r="BF144" s="82"/>
      <c r="BG144" s="82"/>
      <c r="BH144" s="82"/>
      <c r="BI144" s="82"/>
      <c r="BJ144" s="82"/>
      <c r="BK144" s="82"/>
      <c r="BL144" s="82"/>
      <c r="BM144" s="82"/>
      <c r="BN144" s="82"/>
      <c r="BO144" s="82"/>
      <c r="BP144" s="82"/>
      <c r="BQ144" s="82"/>
      <c r="BR144" s="82"/>
      <c r="BS144" s="82"/>
      <c r="BT144" s="82"/>
      <c r="BU144" s="82"/>
      <c r="BV144" s="82"/>
      <c r="BW144" s="82"/>
      <c r="BX144" s="82"/>
      <c r="BY144" s="82"/>
      <c r="BZ144" s="82"/>
      <c r="CA144" s="82"/>
      <c r="CB144" s="82"/>
      <c r="CC144" s="82"/>
      <c r="CD144" s="82"/>
      <c r="CE144" s="82"/>
      <c r="CF144" s="82"/>
      <c r="CG144" s="82"/>
      <c r="CH144" s="82"/>
      <c r="CI144" s="82"/>
      <c r="CJ144" s="82"/>
      <c r="CK144" s="82"/>
      <c r="CL144" s="82"/>
      <c r="CM144" s="85">
        <v>448</v>
      </c>
      <c r="CN144" s="85">
        <f>874-CM144</f>
        <v>426</v>
      </c>
      <c r="CO144" s="85">
        <f>1326-CN144-CM144</f>
        <v>452</v>
      </c>
      <c r="CP144" s="85">
        <f>1828-CO144-CN144-CM144</f>
        <v>502</v>
      </c>
      <c r="CQ144" s="85">
        <v>511</v>
      </c>
      <c r="CR144" s="85">
        <f>1029-CQ144</f>
        <v>518</v>
      </c>
      <c r="CS144" s="85">
        <f>1582-CR144-CQ144</f>
        <v>553</v>
      </c>
      <c r="CT144" s="82"/>
      <c r="CU144" s="82"/>
      <c r="CV144" s="82"/>
      <c r="CW144" s="82"/>
      <c r="CX144" s="82"/>
      <c r="CY144" s="82"/>
      <c r="CZ144" s="82"/>
      <c r="DA144" s="73"/>
      <c r="DB144" s="99"/>
      <c r="DC144" s="82"/>
      <c r="DD144" s="82"/>
      <c r="DE144" s="82"/>
      <c r="DF144" s="82"/>
      <c r="DG144" s="82"/>
      <c r="DH144" s="82"/>
      <c r="DI144" s="82"/>
      <c r="DJ144" s="82"/>
      <c r="DK144" s="82"/>
      <c r="DL144" s="82"/>
      <c r="DM144" s="82"/>
      <c r="DN144" s="82"/>
      <c r="DO144" s="82"/>
      <c r="DP144" s="82"/>
      <c r="DQ144" s="82"/>
      <c r="DR144" s="82"/>
      <c r="DS144" s="82"/>
      <c r="DT144" s="82"/>
      <c r="DU144" s="82"/>
      <c r="DV144" s="82"/>
      <c r="DW144" s="82"/>
      <c r="DX144" s="82"/>
      <c r="DY144" s="82"/>
      <c r="DZ144" s="82"/>
      <c r="EA144" s="82"/>
      <c r="EC144" s="85"/>
    </row>
    <row r="145" spans="2:133" s="81" customFormat="1" ht="12.75" customHeight="1">
      <c r="B145" s="98" t="s">
        <v>957</v>
      </c>
      <c r="C145" s="99"/>
      <c r="D145" s="99"/>
      <c r="E145" s="99"/>
      <c r="F145" s="99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92"/>
      <c r="Z145" s="82"/>
      <c r="AA145" s="92"/>
      <c r="AB145" s="82"/>
      <c r="AC145" s="85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82"/>
      <c r="AO145" s="82"/>
      <c r="AP145" s="82"/>
      <c r="AQ145" s="82"/>
      <c r="AR145" s="82"/>
      <c r="AS145" s="82"/>
      <c r="AT145" s="82"/>
      <c r="AU145" s="82"/>
      <c r="AV145" s="82"/>
      <c r="AW145" s="82"/>
      <c r="AX145" s="82"/>
      <c r="AY145" s="82"/>
      <c r="AZ145" s="82"/>
      <c r="BA145" s="82"/>
      <c r="BB145" s="82"/>
      <c r="BC145" s="82"/>
      <c r="BD145" s="82"/>
      <c r="BE145" s="82"/>
      <c r="BF145" s="82"/>
      <c r="BG145" s="82"/>
      <c r="BH145" s="82"/>
      <c r="BI145" s="82"/>
      <c r="BJ145" s="82"/>
      <c r="BK145" s="82"/>
      <c r="BL145" s="82"/>
      <c r="BM145" s="82"/>
      <c r="BN145" s="82"/>
      <c r="BO145" s="82"/>
      <c r="BP145" s="82"/>
      <c r="BQ145" s="82"/>
      <c r="BR145" s="82"/>
      <c r="BS145" s="82"/>
      <c r="BT145" s="82"/>
      <c r="BU145" s="82"/>
      <c r="BV145" s="82"/>
      <c r="BW145" s="82"/>
      <c r="BX145" s="82"/>
      <c r="BY145" s="82"/>
      <c r="BZ145" s="82"/>
      <c r="CA145" s="82"/>
      <c r="CB145" s="82"/>
      <c r="CC145" s="82"/>
      <c r="CD145" s="82"/>
      <c r="CE145" s="82"/>
      <c r="CF145" s="82"/>
      <c r="CG145" s="82"/>
      <c r="CH145" s="82"/>
      <c r="CI145" s="82"/>
      <c r="CJ145" s="82"/>
      <c r="CK145" s="82"/>
      <c r="CL145" s="82"/>
      <c r="CM145" s="85">
        <f>-450+1192</f>
        <v>742</v>
      </c>
      <c r="CN145" s="85">
        <f>-274+10217-CM145+1192</f>
        <v>10393</v>
      </c>
      <c r="CO145" s="85">
        <f>-240+10217+1192-CN145-CM145</f>
        <v>34</v>
      </c>
      <c r="CP145" s="85">
        <f>792-340+10217+1192-CO145-CN145-CM145</f>
        <v>692</v>
      </c>
      <c r="CQ145" s="85">
        <f>-143+656</f>
        <v>513</v>
      </c>
      <c r="CR145" s="85">
        <f>-200+656-CQ145</f>
        <v>-57</v>
      </c>
      <c r="CS145" s="85">
        <f>-169+1350+750+656-CR145-CQ145</f>
        <v>2131</v>
      </c>
      <c r="CT145" s="82"/>
      <c r="CU145" s="82"/>
      <c r="CV145" s="82"/>
      <c r="CW145" s="82"/>
      <c r="CX145" s="82"/>
      <c r="CY145" s="82"/>
      <c r="CZ145" s="82"/>
      <c r="DA145" s="73"/>
      <c r="DB145" s="99"/>
      <c r="DC145" s="82"/>
      <c r="DD145" s="82"/>
      <c r="DE145" s="82"/>
      <c r="DF145" s="82"/>
      <c r="DG145" s="82"/>
      <c r="DH145" s="82"/>
      <c r="DI145" s="82"/>
      <c r="DJ145" s="82"/>
      <c r="DK145" s="82"/>
      <c r="DL145" s="82"/>
      <c r="DM145" s="82"/>
      <c r="DN145" s="82"/>
      <c r="DO145" s="82"/>
      <c r="DP145" s="82"/>
      <c r="DQ145" s="82"/>
      <c r="DR145" s="82"/>
      <c r="DS145" s="82"/>
      <c r="DT145" s="82"/>
      <c r="DU145" s="82"/>
      <c r="DV145" s="82"/>
      <c r="DW145" s="82"/>
      <c r="DX145" s="82"/>
      <c r="DY145" s="82"/>
      <c r="DZ145" s="82"/>
      <c r="EA145" s="82"/>
      <c r="EC145" s="85"/>
    </row>
    <row r="146" spans="2:133" s="81" customFormat="1" ht="12.75" customHeight="1">
      <c r="B146" s="98" t="s">
        <v>956</v>
      </c>
      <c r="C146" s="99"/>
      <c r="D146" s="99"/>
      <c r="E146" s="99"/>
      <c r="F146" s="99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92"/>
      <c r="Z146" s="82"/>
      <c r="AA146" s="92"/>
      <c r="AB146" s="82"/>
      <c r="AC146" s="85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2"/>
      <c r="AT146" s="82"/>
      <c r="AU146" s="82"/>
      <c r="AV146" s="82"/>
      <c r="AW146" s="82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  <c r="BK146" s="82"/>
      <c r="BL146" s="82"/>
      <c r="BM146" s="82"/>
      <c r="BN146" s="82"/>
      <c r="BO146" s="82"/>
      <c r="BP146" s="82"/>
      <c r="BQ146" s="82"/>
      <c r="BR146" s="82"/>
      <c r="BS146" s="82"/>
      <c r="BT146" s="82"/>
      <c r="BU146" s="82"/>
      <c r="BV146" s="82"/>
      <c r="BW146" s="82"/>
      <c r="BX146" s="82"/>
      <c r="BY146" s="82"/>
      <c r="BZ146" s="82"/>
      <c r="CA146" s="82"/>
      <c r="CB146" s="82"/>
      <c r="CC146" s="82"/>
      <c r="CD146" s="82"/>
      <c r="CE146" s="82"/>
      <c r="CF146" s="82"/>
      <c r="CG146" s="82"/>
      <c r="CH146" s="82"/>
      <c r="CI146" s="82"/>
      <c r="CJ146" s="82"/>
      <c r="CK146" s="82"/>
      <c r="CL146" s="82"/>
      <c r="CM146" s="85">
        <v>-277</v>
      </c>
      <c r="CN146" s="85">
        <f>-632-CM146</f>
        <v>-355</v>
      </c>
      <c r="CO146" s="85">
        <f>-968-CN146-CM146</f>
        <v>-336</v>
      </c>
      <c r="CP146" s="85">
        <f>-1899-CO146-CN146-CM146</f>
        <v>-931</v>
      </c>
      <c r="CQ146" s="85">
        <v>-51</v>
      </c>
      <c r="CR146" s="85">
        <f>-232-CQ146</f>
        <v>-181</v>
      </c>
      <c r="CS146" s="85">
        <f>-633-CR146-CQ146</f>
        <v>-401</v>
      </c>
      <c r="CT146" s="82"/>
      <c r="CU146" s="82"/>
      <c r="CV146" s="82"/>
      <c r="CW146" s="82"/>
      <c r="CX146" s="82"/>
      <c r="CY146" s="82"/>
      <c r="CZ146" s="82"/>
      <c r="DA146" s="73"/>
      <c r="DB146" s="99"/>
      <c r="DC146" s="82"/>
      <c r="DD146" s="82"/>
      <c r="DE146" s="82"/>
      <c r="DF146" s="82"/>
      <c r="DG146" s="82"/>
      <c r="DH146" s="82"/>
      <c r="DI146" s="82"/>
      <c r="DJ146" s="82"/>
      <c r="DK146" s="82"/>
      <c r="DL146" s="82"/>
      <c r="DM146" s="82"/>
      <c r="DN146" s="82"/>
      <c r="DO146" s="82"/>
      <c r="DP146" s="82"/>
      <c r="DQ146" s="82"/>
      <c r="DR146" s="82"/>
      <c r="DS146" s="82"/>
      <c r="DT146" s="82"/>
      <c r="DU146" s="82"/>
      <c r="DV146" s="82"/>
      <c r="DW146" s="82"/>
      <c r="DX146" s="82"/>
      <c r="DY146" s="82"/>
      <c r="DZ146" s="82"/>
      <c r="EA146" s="82"/>
      <c r="EC146" s="85"/>
    </row>
    <row r="147" spans="2:133" s="81" customFormat="1" ht="12.75" customHeight="1">
      <c r="B147" s="98" t="s">
        <v>955</v>
      </c>
      <c r="C147" s="99"/>
      <c r="D147" s="99"/>
      <c r="E147" s="99"/>
      <c r="F147" s="99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92"/>
      <c r="Z147" s="82"/>
      <c r="AA147" s="92"/>
      <c r="AB147" s="82"/>
      <c r="AC147" s="85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  <c r="AR147" s="82"/>
      <c r="AS147" s="82"/>
      <c r="AT147" s="82"/>
      <c r="AU147" s="82"/>
      <c r="AV147" s="82"/>
      <c r="AW147" s="82"/>
      <c r="AX147" s="82"/>
      <c r="AY147" s="82"/>
      <c r="AZ147" s="82"/>
      <c r="BA147" s="82"/>
      <c r="BB147" s="82"/>
      <c r="BC147" s="82"/>
      <c r="BD147" s="82"/>
      <c r="BE147" s="82"/>
      <c r="BF147" s="82"/>
      <c r="BG147" s="82"/>
      <c r="BH147" s="82"/>
      <c r="BI147" s="82"/>
      <c r="BJ147" s="82"/>
      <c r="BK147" s="82"/>
      <c r="BL147" s="82"/>
      <c r="BM147" s="82"/>
      <c r="BN147" s="82"/>
      <c r="BO147" s="82"/>
      <c r="BP147" s="82"/>
      <c r="BQ147" s="82"/>
      <c r="BR147" s="82"/>
      <c r="BS147" s="82"/>
      <c r="BT147" s="82"/>
      <c r="BU147" s="82"/>
      <c r="BV147" s="82"/>
      <c r="BW147" s="82"/>
      <c r="BX147" s="82"/>
      <c r="BY147" s="82"/>
      <c r="BZ147" s="82"/>
      <c r="CA147" s="82"/>
      <c r="CB147" s="82"/>
      <c r="CC147" s="82"/>
      <c r="CD147" s="82"/>
      <c r="CE147" s="82"/>
      <c r="CF147" s="82"/>
      <c r="CG147" s="82"/>
      <c r="CH147" s="82"/>
      <c r="CI147" s="82"/>
      <c r="CJ147" s="82"/>
      <c r="CK147" s="82"/>
      <c r="CL147" s="82"/>
      <c r="CM147" s="85">
        <v>145</v>
      </c>
      <c r="CN147" s="85">
        <f>314-CM147</f>
        <v>169</v>
      </c>
      <c r="CO147" s="85">
        <f>478-CN147-CM147</f>
        <v>164</v>
      </c>
      <c r="CP147" s="85">
        <f>645-CO147-CN147-CM147</f>
        <v>167</v>
      </c>
      <c r="CQ147" s="85">
        <v>176</v>
      </c>
      <c r="CR147" s="85">
        <f>379-CQ147</f>
        <v>203</v>
      </c>
      <c r="CS147" s="85">
        <f>574-CR147-CQ147</f>
        <v>195</v>
      </c>
      <c r="CT147" s="82"/>
      <c r="CU147" s="82"/>
      <c r="CV147" s="82"/>
      <c r="CW147" s="82"/>
      <c r="CX147" s="82"/>
      <c r="CY147" s="82"/>
      <c r="CZ147" s="82"/>
      <c r="DA147" s="73"/>
      <c r="DB147" s="99"/>
      <c r="DC147" s="82"/>
      <c r="DD147" s="82"/>
      <c r="DE147" s="82"/>
      <c r="DF147" s="82"/>
      <c r="DG147" s="82"/>
      <c r="DH147" s="82"/>
      <c r="DI147" s="82"/>
      <c r="DJ147" s="82"/>
      <c r="DK147" s="82"/>
      <c r="DL147" s="82"/>
      <c r="DM147" s="82"/>
      <c r="DN147" s="82"/>
      <c r="DO147" s="82"/>
      <c r="DP147" s="82"/>
      <c r="DQ147" s="82"/>
      <c r="DR147" s="82"/>
      <c r="DS147" s="82"/>
      <c r="DT147" s="82"/>
      <c r="DU147" s="82"/>
      <c r="DV147" s="82"/>
      <c r="DW147" s="82"/>
      <c r="DX147" s="82"/>
      <c r="DY147" s="82"/>
      <c r="DZ147" s="82"/>
      <c r="EA147" s="82"/>
      <c r="EC147" s="85"/>
    </row>
    <row r="148" spans="2:133" s="81" customFormat="1" ht="12.75" customHeight="1">
      <c r="B148" s="98" t="s">
        <v>79</v>
      </c>
      <c r="C148" s="99"/>
      <c r="D148" s="99"/>
      <c r="E148" s="99"/>
      <c r="F148" s="99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92"/>
      <c r="Z148" s="82"/>
      <c r="AA148" s="92"/>
      <c r="AB148" s="82"/>
      <c r="AC148" s="85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  <c r="AR148" s="82"/>
      <c r="AS148" s="82"/>
      <c r="AT148" s="82"/>
      <c r="AU148" s="82"/>
      <c r="AV148" s="82"/>
      <c r="AW148" s="82"/>
      <c r="AX148" s="82"/>
      <c r="AY148" s="82"/>
      <c r="AZ148" s="82"/>
      <c r="BA148" s="82"/>
      <c r="BB148" s="82"/>
      <c r="BC148" s="82"/>
      <c r="BD148" s="82"/>
      <c r="BE148" s="82"/>
      <c r="BF148" s="82"/>
      <c r="BG148" s="82"/>
      <c r="BH148" s="82"/>
      <c r="BI148" s="82"/>
      <c r="BJ148" s="82"/>
      <c r="BK148" s="82"/>
      <c r="BL148" s="82"/>
      <c r="BM148" s="82"/>
      <c r="BN148" s="82"/>
      <c r="BO148" s="82"/>
      <c r="BP148" s="82"/>
      <c r="BQ148" s="82"/>
      <c r="BR148" s="82"/>
      <c r="BS148" s="82"/>
      <c r="BT148" s="82"/>
      <c r="BU148" s="82"/>
      <c r="BV148" s="82"/>
      <c r="BW148" s="82"/>
      <c r="BX148" s="82"/>
      <c r="BY148" s="82"/>
      <c r="BZ148" s="82"/>
      <c r="CA148" s="82"/>
      <c r="CB148" s="82"/>
      <c r="CC148" s="82"/>
      <c r="CD148" s="82"/>
      <c r="CE148" s="82"/>
      <c r="CF148" s="82"/>
      <c r="CG148" s="82"/>
      <c r="CH148" s="82"/>
      <c r="CI148" s="82"/>
      <c r="CJ148" s="82"/>
      <c r="CK148" s="82"/>
      <c r="CL148" s="82"/>
      <c r="CM148" s="85">
        <v>-197</v>
      </c>
      <c r="CN148" s="85">
        <f>5-CM148</f>
        <v>202</v>
      </c>
      <c r="CO148" s="85">
        <f>-94-CN148-CM148</f>
        <v>-99</v>
      </c>
      <c r="CP148" s="85">
        <f>355-CO148-CN148-CM148</f>
        <v>449</v>
      </c>
      <c r="CQ148" s="85">
        <v>83</v>
      </c>
      <c r="CR148" s="85">
        <f>174-CQ148</f>
        <v>91</v>
      </c>
      <c r="CS148" s="85">
        <f>611-CR148-CQ148</f>
        <v>437</v>
      </c>
      <c r="CT148" s="82"/>
      <c r="CU148" s="82"/>
      <c r="CV148" s="82"/>
      <c r="CW148" s="82"/>
      <c r="CX148" s="82"/>
      <c r="CY148" s="82"/>
      <c r="CZ148" s="82"/>
      <c r="DA148" s="73"/>
      <c r="DB148" s="99"/>
      <c r="DC148" s="82"/>
      <c r="DD148" s="82"/>
      <c r="DE148" s="82"/>
      <c r="DF148" s="82"/>
      <c r="DG148" s="82"/>
      <c r="DH148" s="82"/>
      <c r="DI148" s="82"/>
      <c r="DJ148" s="82"/>
      <c r="DK148" s="82"/>
      <c r="DL148" s="82"/>
      <c r="DM148" s="82"/>
      <c r="DN148" s="82"/>
      <c r="DO148" s="82"/>
      <c r="DP148" s="82"/>
      <c r="DQ148" s="82"/>
      <c r="DR148" s="82"/>
      <c r="DS148" s="82"/>
      <c r="DT148" s="82"/>
      <c r="DU148" s="82"/>
      <c r="DV148" s="82"/>
      <c r="DW148" s="82"/>
      <c r="DX148" s="82"/>
      <c r="DY148" s="82"/>
      <c r="DZ148" s="82"/>
      <c r="EA148" s="82"/>
      <c r="EC148" s="85"/>
    </row>
    <row r="149" spans="2:133" s="81" customFormat="1" ht="12.75" customHeight="1">
      <c r="B149" s="98" t="s">
        <v>954</v>
      </c>
      <c r="C149" s="99"/>
      <c r="D149" s="99"/>
      <c r="E149" s="99"/>
      <c r="F149" s="99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92"/>
      <c r="Z149" s="82"/>
      <c r="AA149" s="92"/>
      <c r="AB149" s="82"/>
      <c r="AC149" s="85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M149" s="82"/>
      <c r="BN149" s="82"/>
      <c r="BO149" s="82"/>
      <c r="BP149" s="82"/>
      <c r="BQ149" s="82"/>
      <c r="BR149" s="82"/>
      <c r="BS149" s="82"/>
      <c r="BT149" s="82"/>
      <c r="BU149" s="82"/>
      <c r="BV149" s="82"/>
      <c r="BW149" s="82"/>
      <c r="BX149" s="82"/>
      <c r="BY149" s="82"/>
      <c r="BZ149" s="82"/>
      <c r="CA149" s="82"/>
      <c r="CB149" s="82"/>
      <c r="CC149" s="82"/>
      <c r="CD149" s="82"/>
      <c r="CE149" s="82"/>
      <c r="CF149" s="82"/>
      <c r="CG149" s="82"/>
      <c r="CH149" s="82"/>
      <c r="CI149" s="82"/>
      <c r="CJ149" s="82"/>
      <c r="CK149" s="82"/>
      <c r="CL149" s="82"/>
      <c r="CM149" s="85">
        <v>-2890</v>
      </c>
      <c r="CN149" s="85">
        <f>-4526-CM149</f>
        <v>-1636</v>
      </c>
      <c r="CO149" s="85">
        <f>-2349-CN149-CM149</f>
        <v>2177</v>
      </c>
      <c r="CP149" s="85">
        <f>-1148-816-380+1783+214+456-2314-CO149-CN149-CM149</f>
        <v>144</v>
      </c>
      <c r="CQ149" s="85">
        <v>-3382</v>
      </c>
      <c r="CR149" s="85">
        <f>-4394-CQ149</f>
        <v>-1012</v>
      </c>
      <c r="CS149" s="85">
        <f>-1812-CR149-CQ149</f>
        <v>2582</v>
      </c>
      <c r="CT149" s="82"/>
      <c r="CU149" s="82"/>
      <c r="CV149" s="82"/>
      <c r="CW149" s="82"/>
      <c r="CX149" s="82"/>
      <c r="CY149" s="82"/>
      <c r="CZ149" s="82"/>
      <c r="DA149" s="73"/>
      <c r="DB149" s="99"/>
      <c r="DC149" s="82"/>
      <c r="DD149" s="82"/>
      <c r="DE149" s="82"/>
      <c r="DF149" s="82"/>
      <c r="DG149" s="82"/>
      <c r="DH149" s="82"/>
      <c r="DI149" s="82"/>
      <c r="DJ149" s="82"/>
      <c r="DK149" s="82"/>
      <c r="DL149" s="82"/>
      <c r="DM149" s="82"/>
      <c r="DN149" s="82"/>
      <c r="DO149" s="82"/>
      <c r="DP149" s="82"/>
      <c r="DQ149" s="82"/>
      <c r="DR149" s="82"/>
      <c r="DS149" s="82"/>
      <c r="DT149" s="82"/>
      <c r="DU149" s="82"/>
      <c r="DV149" s="82"/>
      <c r="DW149" s="82"/>
      <c r="DX149" s="82"/>
      <c r="DY149" s="82"/>
      <c r="DZ149" s="82"/>
      <c r="EA149" s="82"/>
      <c r="EC149" s="85"/>
    </row>
    <row r="150" spans="2:133" s="81" customFormat="1" ht="12.75" customHeight="1">
      <c r="B150" s="98" t="s">
        <v>953</v>
      </c>
      <c r="C150" s="99"/>
      <c r="D150" s="99"/>
      <c r="E150" s="99"/>
      <c r="F150" s="99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92"/>
      <c r="Z150" s="82"/>
      <c r="AA150" s="92"/>
      <c r="AB150" s="82"/>
      <c r="AC150" s="85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82"/>
      <c r="AP150" s="82"/>
      <c r="AQ150" s="82"/>
      <c r="AR150" s="82"/>
      <c r="AS150" s="82"/>
      <c r="AT150" s="82"/>
      <c r="AU150" s="82"/>
      <c r="AV150" s="82"/>
      <c r="AW150" s="82"/>
      <c r="AX150" s="82"/>
      <c r="AY150" s="82"/>
      <c r="AZ150" s="82"/>
      <c r="BA150" s="82"/>
      <c r="BB150" s="82"/>
      <c r="BC150" s="82"/>
      <c r="BD150" s="82"/>
      <c r="BE150" s="82"/>
      <c r="BF150" s="82"/>
      <c r="BG150" s="82"/>
      <c r="BH150" s="82"/>
      <c r="BI150" s="82"/>
      <c r="BJ150" s="82"/>
      <c r="BK150" s="82"/>
      <c r="BL150" s="82"/>
      <c r="BM150" s="82"/>
      <c r="BN150" s="82"/>
      <c r="BO150" s="82"/>
      <c r="BP150" s="82"/>
      <c r="BQ150" s="82"/>
      <c r="BR150" s="82"/>
      <c r="BS150" s="82"/>
      <c r="BT150" s="82"/>
      <c r="BU150" s="82"/>
      <c r="BV150" s="82"/>
      <c r="BW150" s="82"/>
      <c r="BX150" s="82"/>
      <c r="BY150" s="82"/>
      <c r="BZ150" s="82"/>
      <c r="CA150" s="82"/>
      <c r="CB150" s="82"/>
      <c r="CC150" s="82"/>
      <c r="CD150" s="82"/>
      <c r="CE150" s="82"/>
      <c r="CF150" s="82"/>
      <c r="CG150" s="82"/>
      <c r="CH150" s="82"/>
      <c r="CI150" s="82"/>
      <c r="CJ150" s="82"/>
      <c r="CK150" s="82"/>
      <c r="CL150" s="82"/>
      <c r="CM150" s="85">
        <f t="shared" ref="CM150:CS150" si="306">SUM(CM142:CM149)</f>
        <v>1339</v>
      </c>
      <c r="CN150" s="85">
        <f t="shared" si="306"/>
        <v>3704</v>
      </c>
      <c r="CO150" s="85">
        <f t="shared" si="306"/>
        <v>7717</v>
      </c>
      <c r="CP150" s="85">
        <f t="shared" si="306"/>
        <v>246</v>
      </c>
      <c r="CQ150" s="85">
        <f t="shared" si="306"/>
        <v>3090</v>
      </c>
      <c r="CR150" s="85">
        <f t="shared" si="306"/>
        <v>5637</v>
      </c>
      <c r="CS150" s="85">
        <f t="shared" si="306"/>
        <v>9291</v>
      </c>
      <c r="CT150" s="82"/>
      <c r="CU150" s="82"/>
      <c r="CV150" s="82"/>
      <c r="CW150" s="82"/>
      <c r="CX150" s="82"/>
      <c r="CY150" s="82"/>
      <c r="CZ150" s="82"/>
      <c r="DA150" s="73"/>
      <c r="DB150" s="99"/>
      <c r="DC150" s="82"/>
      <c r="DD150" s="82"/>
      <c r="DE150" s="82"/>
      <c r="DF150" s="82"/>
      <c r="DG150" s="82"/>
      <c r="DH150" s="82"/>
      <c r="DI150" s="82"/>
      <c r="DJ150" s="82"/>
      <c r="DK150" s="82"/>
      <c r="DL150" s="82"/>
      <c r="DM150" s="82"/>
      <c r="DN150" s="82"/>
      <c r="DO150" s="82"/>
      <c r="DP150" s="82"/>
      <c r="DQ150" s="82"/>
      <c r="DR150" s="82"/>
      <c r="DS150" s="82"/>
      <c r="DT150" s="82"/>
      <c r="DU150" s="82"/>
      <c r="DV150" s="82"/>
      <c r="DW150" s="82"/>
      <c r="DX150" s="82"/>
      <c r="DY150" s="82"/>
      <c r="DZ150" s="82"/>
      <c r="EA150" s="82"/>
      <c r="EC150" s="85"/>
    </row>
    <row r="151" spans="2:133" s="81" customFormat="1" ht="12.75" customHeight="1">
      <c r="B151" s="108"/>
      <c r="C151" s="99"/>
      <c r="D151" s="99"/>
      <c r="E151" s="99"/>
      <c r="F151" s="99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92"/>
      <c r="Z151" s="82"/>
      <c r="AA151" s="92"/>
      <c r="AB151" s="82"/>
      <c r="AC151" s="85"/>
      <c r="AD151" s="82"/>
      <c r="AE151" s="82"/>
      <c r="AF151" s="82"/>
      <c r="AG151" s="82"/>
      <c r="AH151" s="82"/>
      <c r="AI151" s="82"/>
      <c r="AJ151" s="82"/>
      <c r="AK151" s="82"/>
      <c r="AL151" s="82"/>
      <c r="AM151" s="82"/>
      <c r="AN151" s="82"/>
      <c r="AO151" s="82"/>
      <c r="AP151" s="82"/>
      <c r="AQ151" s="82"/>
      <c r="AR151" s="82"/>
      <c r="AS151" s="82"/>
      <c r="AT151" s="82"/>
      <c r="AU151" s="82"/>
      <c r="AV151" s="82"/>
      <c r="AW151" s="82"/>
      <c r="AX151" s="82"/>
      <c r="AY151" s="82"/>
      <c r="AZ151" s="82"/>
      <c r="BA151" s="82"/>
      <c r="BB151" s="82"/>
      <c r="BC151" s="82"/>
      <c r="BD151" s="82"/>
      <c r="BE151" s="82"/>
      <c r="BF151" s="82"/>
      <c r="BG151" s="82"/>
      <c r="BH151" s="82"/>
      <c r="BI151" s="82"/>
      <c r="BJ151" s="82"/>
      <c r="BK151" s="82"/>
      <c r="BL151" s="82"/>
      <c r="BM151" s="82"/>
      <c r="BN151" s="82"/>
      <c r="BO151" s="82"/>
      <c r="BP151" s="82"/>
      <c r="BQ151" s="82"/>
      <c r="BR151" s="82"/>
      <c r="BS151" s="82"/>
      <c r="BT151" s="82"/>
      <c r="BU151" s="82"/>
      <c r="BV151" s="82"/>
      <c r="BW151" s="82"/>
      <c r="BX151" s="82"/>
      <c r="BY151" s="82"/>
      <c r="BZ151" s="82"/>
      <c r="CA151" s="82"/>
      <c r="CB151" s="82"/>
      <c r="CC151" s="82"/>
      <c r="CD151" s="82"/>
      <c r="CE151" s="82"/>
      <c r="CF151" s="82"/>
      <c r="CG151" s="82"/>
      <c r="CH151" s="82"/>
      <c r="CI151" s="82"/>
      <c r="CJ151" s="82"/>
      <c r="CK151" s="82"/>
      <c r="CL151" s="82"/>
      <c r="CM151" s="82"/>
      <c r="CN151" s="82"/>
      <c r="CO151" s="82"/>
      <c r="CP151" s="82"/>
      <c r="CQ151" s="82"/>
      <c r="CR151" s="82"/>
      <c r="CS151" s="82"/>
      <c r="CT151" s="82"/>
      <c r="CU151" s="82"/>
      <c r="CV151" s="82"/>
      <c r="CW151" s="82"/>
      <c r="CX151" s="82"/>
      <c r="CY151" s="82"/>
      <c r="CZ151" s="82"/>
      <c r="DA151" s="73"/>
      <c r="DB151" s="99"/>
      <c r="DC151" s="82"/>
      <c r="DD151" s="82"/>
      <c r="DE151" s="82"/>
      <c r="DF151" s="82"/>
      <c r="DG151" s="82"/>
      <c r="DH151" s="82"/>
      <c r="DI151" s="82"/>
      <c r="DJ151" s="82"/>
      <c r="DK151" s="82"/>
      <c r="DL151" s="82"/>
      <c r="DM151" s="82"/>
      <c r="DN151" s="82"/>
      <c r="DO151" s="82"/>
      <c r="DP151" s="82"/>
      <c r="DQ151" s="82"/>
      <c r="DR151" s="82"/>
      <c r="DS151" s="82"/>
      <c r="DT151" s="82"/>
      <c r="DU151" s="82"/>
      <c r="DV151" s="82"/>
      <c r="DW151" s="82"/>
      <c r="DX151" s="82"/>
      <c r="DY151" s="82"/>
      <c r="DZ151" s="82"/>
      <c r="EA151" s="82"/>
      <c r="EC151" s="85"/>
    </row>
    <row r="152" spans="2:133" s="81" customFormat="1" ht="12.75" customHeight="1">
      <c r="B152" s="98" t="s">
        <v>959</v>
      </c>
      <c r="C152" s="99"/>
      <c r="D152" s="99"/>
      <c r="E152" s="99"/>
      <c r="F152" s="99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92"/>
      <c r="Z152" s="82"/>
      <c r="AA152" s="92"/>
      <c r="AB152" s="82"/>
      <c r="AC152" s="85"/>
      <c r="AD152" s="82"/>
      <c r="AE152" s="82"/>
      <c r="AF152" s="82"/>
      <c r="AG152" s="82"/>
      <c r="AH152" s="82"/>
      <c r="AI152" s="82"/>
      <c r="AJ152" s="82"/>
      <c r="AK152" s="82"/>
      <c r="AL152" s="82"/>
      <c r="AM152" s="82"/>
      <c r="AN152" s="82"/>
      <c r="AO152" s="82"/>
      <c r="AP152" s="82"/>
      <c r="AQ152" s="82"/>
      <c r="AR152" s="82"/>
      <c r="AS152" s="82"/>
      <c r="AT152" s="82"/>
      <c r="AU152" s="82"/>
      <c r="AV152" s="82"/>
      <c r="AW152" s="82"/>
      <c r="AX152" s="82"/>
      <c r="AY152" s="82"/>
      <c r="AZ152" s="82"/>
      <c r="BA152" s="82"/>
      <c r="BB152" s="82"/>
      <c r="BC152" s="82"/>
      <c r="BD152" s="82"/>
      <c r="BE152" s="82"/>
      <c r="BF152" s="82"/>
      <c r="BG152" s="82"/>
      <c r="BH152" s="82"/>
      <c r="BI152" s="82"/>
      <c r="BJ152" s="82"/>
      <c r="BK152" s="82"/>
      <c r="BL152" s="82"/>
      <c r="BM152" s="82"/>
      <c r="BN152" s="82"/>
      <c r="BO152" s="82"/>
      <c r="BP152" s="82"/>
      <c r="BQ152" s="82"/>
      <c r="BR152" s="82"/>
      <c r="BS152" s="82"/>
      <c r="BT152" s="82"/>
      <c r="BU152" s="82"/>
      <c r="BV152" s="82"/>
      <c r="BW152" s="82"/>
      <c r="BX152" s="82"/>
      <c r="BY152" s="82"/>
      <c r="BZ152" s="82"/>
      <c r="CA152" s="82"/>
      <c r="CB152" s="82"/>
      <c r="CC152" s="82"/>
      <c r="CD152" s="82"/>
      <c r="CE152" s="82"/>
      <c r="CF152" s="82"/>
      <c r="CG152" s="82"/>
      <c r="CH152" s="82"/>
      <c r="CI152" s="82"/>
      <c r="CJ152" s="82"/>
      <c r="CK152" s="82"/>
      <c r="CL152" s="82"/>
      <c r="CM152" s="85">
        <v>-1007</v>
      </c>
      <c r="CN152" s="85">
        <f>-1972-CM152</f>
        <v>-965</v>
      </c>
      <c r="CO152" s="85">
        <f>-2874-CN152-CM152</f>
        <v>-902</v>
      </c>
      <c r="CP152" s="85">
        <f>-3863-CO152-CN152-CM152</f>
        <v>-989</v>
      </c>
      <c r="CQ152" s="85">
        <v>-861</v>
      </c>
      <c r="CR152" s="85">
        <f>-1652-CQ152</f>
        <v>-791</v>
      </c>
      <c r="CS152" s="85">
        <f>-2435-CR152-CQ152</f>
        <v>-783</v>
      </c>
      <c r="CT152" s="82"/>
      <c r="CU152" s="82"/>
      <c r="CV152" s="82"/>
      <c r="CW152" s="82"/>
      <c r="CX152" s="82"/>
      <c r="CY152" s="82"/>
      <c r="CZ152" s="82"/>
      <c r="DA152" s="73"/>
      <c r="DB152" s="99"/>
      <c r="DC152" s="82"/>
      <c r="DD152" s="82"/>
      <c r="DE152" s="82"/>
      <c r="DF152" s="82"/>
      <c r="DG152" s="82"/>
      <c r="DH152" s="82"/>
      <c r="DI152" s="82"/>
      <c r="DJ152" s="82"/>
      <c r="DK152" s="82"/>
      <c r="DL152" s="82"/>
      <c r="DM152" s="82"/>
      <c r="DN152" s="82"/>
      <c r="DO152" s="82"/>
      <c r="DP152" s="82"/>
      <c r="DQ152" s="82"/>
      <c r="DR152" s="82"/>
      <c r="DS152" s="82"/>
      <c r="DT152" s="82"/>
      <c r="DU152" s="82"/>
      <c r="DV152" s="82"/>
      <c r="DW152" s="82"/>
      <c r="DX152" s="82"/>
      <c r="DY152" s="82"/>
      <c r="DZ152" s="82"/>
      <c r="EA152" s="82"/>
      <c r="EC152" s="85"/>
    </row>
    <row r="153" spans="2:133" s="81" customFormat="1" ht="12.75" customHeight="1">
      <c r="B153" s="98" t="s">
        <v>960</v>
      </c>
      <c r="C153" s="99"/>
      <c r="D153" s="99"/>
      <c r="E153" s="99"/>
      <c r="F153" s="99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92"/>
      <c r="Z153" s="82"/>
      <c r="AA153" s="92"/>
      <c r="AB153" s="82"/>
      <c r="AC153" s="85"/>
      <c r="AD153" s="82"/>
      <c r="AE153" s="82"/>
      <c r="AF153" s="82"/>
      <c r="AG153" s="82"/>
      <c r="AH153" s="82"/>
      <c r="AI153" s="82"/>
      <c r="AJ153" s="82"/>
      <c r="AK153" s="82"/>
      <c r="AL153" s="82"/>
      <c r="AM153" s="82"/>
      <c r="AN153" s="82"/>
      <c r="AO153" s="82"/>
      <c r="AP153" s="82"/>
      <c r="AQ153" s="82"/>
      <c r="AR153" s="82"/>
      <c r="AS153" s="82"/>
      <c r="AT153" s="82"/>
      <c r="AU153" s="82"/>
      <c r="AV153" s="82"/>
      <c r="AW153" s="82"/>
      <c r="AX153" s="82"/>
      <c r="AY153" s="82"/>
      <c r="AZ153" s="82"/>
      <c r="BA153" s="82"/>
      <c r="BB153" s="82"/>
      <c r="BC153" s="82"/>
      <c r="BD153" s="82"/>
      <c r="BE153" s="82"/>
      <c r="BF153" s="82"/>
      <c r="BG153" s="82"/>
      <c r="BH153" s="82"/>
      <c r="BI153" s="82"/>
      <c r="BJ153" s="82"/>
      <c r="BK153" s="82"/>
      <c r="BL153" s="82"/>
      <c r="BM153" s="82"/>
      <c r="BN153" s="82"/>
      <c r="BO153" s="82"/>
      <c r="BP153" s="82"/>
      <c r="BQ153" s="82"/>
      <c r="BR153" s="82"/>
      <c r="BS153" s="82"/>
      <c r="BT153" s="82"/>
      <c r="BU153" s="82"/>
      <c r="BV153" s="82"/>
      <c r="BW153" s="82"/>
      <c r="BX153" s="82"/>
      <c r="BY153" s="82"/>
      <c r="BZ153" s="82"/>
      <c r="CA153" s="82"/>
      <c r="CB153" s="82"/>
      <c r="CC153" s="82"/>
      <c r="CD153" s="82"/>
      <c r="CE153" s="82"/>
      <c r="CF153" s="82"/>
      <c r="CG153" s="82"/>
      <c r="CH153" s="82"/>
      <c r="CI153" s="82"/>
      <c r="CJ153" s="82"/>
      <c r="CK153" s="82"/>
      <c r="CL153" s="82"/>
      <c r="CM153" s="85">
        <f>-562+500</f>
        <v>-62</v>
      </c>
      <c r="CN153" s="85">
        <f>-587+785-CM153</f>
        <v>260</v>
      </c>
      <c r="CO153" s="85">
        <f>-704+1489-CN153-CM153</f>
        <v>587</v>
      </c>
      <c r="CP153" s="85">
        <f>-955+1145+1658-CO153-CN153-CM153</f>
        <v>1063</v>
      </c>
      <c r="CQ153" s="85">
        <f>-15+260</f>
        <v>245</v>
      </c>
      <c r="CR153" s="85">
        <f>-64+320-CQ153</f>
        <v>11</v>
      </c>
      <c r="CS153" s="85">
        <f>-64+370-CR153-CQ153</f>
        <v>50</v>
      </c>
      <c r="CT153" s="82"/>
      <c r="CU153" s="82"/>
      <c r="CV153" s="82"/>
      <c r="CW153" s="82"/>
      <c r="CX153" s="82"/>
      <c r="CY153" s="82"/>
      <c r="CZ153" s="82"/>
      <c r="DA153" s="73"/>
      <c r="DB153" s="99"/>
      <c r="DC153" s="82"/>
      <c r="DD153" s="82"/>
      <c r="DE153" s="82"/>
      <c r="DF153" s="82"/>
      <c r="DG153" s="82"/>
      <c r="DH153" s="82"/>
      <c r="DI153" s="82"/>
      <c r="DJ153" s="82"/>
      <c r="DK153" s="82"/>
      <c r="DL153" s="82"/>
      <c r="DM153" s="82"/>
      <c r="DN153" s="82"/>
      <c r="DO153" s="82"/>
      <c r="DP153" s="82"/>
      <c r="DQ153" s="82"/>
      <c r="DR153" s="82"/>
      <c r="DS153" s="82"/>
      <c r="DT153" s="82"/>
      <c r="DU153" s="82"/>
      <c r="DV153" s="82"/>
      <c r="DW153" s="82"/>
      <c r="DX153" s="82"/>
      <c r="DY153" s="82"/>
      <c r="DZ153" s="82"/>
      <c r="EA153" s="82"/>
      <c r="EC153" s="85"/>
    </row>
    <row r="154" spans="2:133" s="81" customFormat="1" ht="12.75" customHeight="1">
      <c r="B154" s="98" t="s">
        <v>961</v>
      </c>
      <c r="C154" s="99"/>
      <c r="D154" s="99"/>
      <c r="E154" s="99"/>
      <c r="F154" s="99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92"/>
      <c r="Z154" s="82"/>
      <c r="AA154" s="92"/>
      <c r="AB154" s="82"/>
      <c r="AC154" s="85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  <c r="AQ154" s="82"/>
      <c r="AR154" s="82"/>
      <c r="AS154" s="82"/>
      <c r="AT154" s="82"/>
      <c r="AU154" s="82"/>
      <c r="AV154" s="82"/>
      <c r="AW154" s="82"/>
      <c r="AX154" s="82"/>
      <c r="AY154" s="82"/>
      <c r="AZ154" s="82"/>
      <c r="BA154" s="82"/>
      <c r="BB154" s="82"/>
      <c r="BC154" s="82"/>
      <c r="BD154" s="82"/>
      <c r="BE154" s="82"/>
      <c r="BF154" s="82"/>
      <c r="BG154" s="82"/>
      <c r="BH154" s="82"/>
      <c r="BI154" s="82"/>
      <c r="BJ154" s="82"/>
      <c r="BK154" s="82"/>
      <c r="BL154" s="82"/>
      <c r="BM154" s="82"/>
      <c r="BN154" s="82"/>
      <c r="BO154" s="82"/>
      <c r="BP154" s="82"/>
      <c r="BQ154" s="82"/>
      <c r="BR154" s="82"/>
      <c r="BS154" s="82"/>
      <c r="BT154" s="82"/>
      <c r="BU154" s="82"/>
      <c r="BV154" s="82"/>
      <c r="BW154" s="82"/>
      <c r="BX154" s="82"/>
      <c r="BY154" s="82"/>
      <c r="BZ154" s="82"/>
      <c r="CA154" s="82"/>
      <c r="CB154" s="82"/>
      <c r="CC154" s="82"/>
      <c r="CD154" s="82"/>
      <c r="CE154" s="82"/>
      <c r="CF154" s="82"/>
      <c r="CG154" s="82"/>
      <c r="CH154" s="82"/>
      <c r="CI154" s="82"/>
      <c r="CJ154" s="82"/>
      <c r="CK154" s="82"/>
      <c r="CL154" s="82"/>
      <c r="CM154" s="85">
        <v>-1327</v>
      </c>
      <c r="CN154" s="85">
        <f>-10705-1327-CM154</f>
        <v>-10705</v>
      </c>
      <c r="CO154" s="85">
        <f>-10705-1327-CN154-CM154</f>
        <v>0</v>
      </c>
      <c r="CP154" s="85">
        <f>-10705-1327-CO154-CN154-CM154</f>
        <v>0</v>
      </c>
      <c r="CQ154" s="85">
        <v>-746</v>
      </c>
      <c r="CR154" s="85">
        <f>-746-CQ154</f>
        <v>0</v>
      </c>
      <c r="CS154" s="85">
        <f>-1344-1301-746-700-CR154-CQ154</f>
        <v>-3345</v>
      </c>
      <c r="CT154" s="82"/>
      <c r="CU154" s="82"/>
      <c r="CV154" s="82"/>
      <c r="CW154" s="82"/>
      <c r="CX154" s="82"/>
      <c r="CY154" s="82"/>
      <c r="CZ154" s="82"/>
      <c r="DA154" s="73"/>
      <c r="DB154" s="99"/>
      <c r="DC154" s="82"/>
      <c r="DD154" s="82"/>
      <c r="DE154" s="82"/>
      <c r="DF154" s="82"/>
      <c r="DG154" s="82"/>
      <c r="DH154" s="82"/>
      <c r="DI154" s="82"/>
      <c r="DJ154" s="82"/>
      <c r="DK154" s="82"/>
      <c r="DL154" s="82"/>
      <c r="DM154" s="82"/>
      <c r="DN154" s="82"/>
      <c r="DO154" s="82"/>
      <c r="DP154" s="82"/>
      <c r="DQ154" s="82"/>
      <c r="DR154" s="82"/>
      <c r="DS154" s="82"/>
      <c r="DT154" s="82"/>
      <c r="DU154" s="82"/>
      <c r="DV154" s="82"/>
      <c r="DW154" s="82"/>
      <c r="DX154" s="82"/>
      <c r="DY154" s="82"/>
      <c r="DZ154" s="82"/>
      <c r="EA154" s="82"/>
      <c r="EC154" s="85"/>
    </row>
    <row r="155" spans="2:133" s="81" customFormat="1" ht="12.75" customHeight="1">
      <c r="B155" s="98" t="s">
        <v>79</v>
      </c>
      <c r="C155" s="99"/>
      <c r="D155" s="99"/>
      <c r="E155" s="99"/>
      <c r="F155" s="99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92"/>
      <c r="Z155" s="82"/>
      <c r="AA155" s="92"/>
      <c r="AB155" s="82"/>
      <c r="AC155" s="85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  <c r="AQ155" s="82"/>
      <c r="AR155" s="82"/>
      <c r="AS155" s="82"/>
      <c r="AT155" s="82"/>
      <c r="AU155" s="82"/>
      <c r="AV155" s="82"/>
      <c r="AW155" s="82"/>
      <c r="AX155" s="82"/>
      <c r="AY155" s="82"/>
      <c r="AZ155" s="82"/>
      <c r="BA155" s="82"/>
      <c r="BB155" s="82"/>
      <c r="BC155" s="82"/>
      <c r="BD155" s="82"/>
      <c r="BE155" s="82"/>
      <c r="BF155" s="82"/>
      <c r="BG155" s="82"/>
      <c r="BH155" s="82"/>
      <c r="BI155" s="82"/>
      <c r="BJ155" s="82"/>
      <c r="BK155" s="82"/>
      <c r="BL155" s="82"/>
      <c r="BM155" s="82"/>
      <c r="BN155" s="82"/>
      <c r="BO155" s="82"/>
      <c r="BP155" s="82"/>
      <c r="BQ155" s="82"/>
      <c r="BR155" s="82"/>
      <c r="BS155" s="82"/>
      <c r="BT155" s="82"/>
      <c r="BU155" s="82"/>
      <c r="BV155" s="82"/>
      <c r="BW155" s="82"/>
      <c r="BX155" s="82"/>
      <c r="BY155" s="82"/>
      <c r="BZ155" s="82"/>
      <c r="CA155" s="82"/>
      <c r="CB155" s="82"/>
      <c r="CC155" s="82"/>
      <c r="CD155" s="82"/>
      <c r="CE155" s="82"/>
      <c r="CF155" s="82"/>
      <c r="CG155" s="82"/>
      <c r="CH155" s="82"/>
      <c r="CI155" s="82"/>
      <c r="CJ155" s="82"/>
      <c r="CK155" s="82"/>
      <c r="CL155" s="82"/>
      <c r="CM155" s="85">
        <v>37</v>
      </c>
      <c r="CN155" s="85">
        <f>4-CM155</f>
        <v>-33</v>
      </c>
      <c r="CO155" s="85">
        <f>-15-CN155-CM155</f>
        <v>-19</v>
      </c>
      <c r="CP155" s="85">
        <f>-36-CO155-CN155-CM155</f>
        <v>-21</v>
      </c>
      <c r="CQ155" s="85">
        <v>-14</v>
      </c>
      <c r="CR155" s="85">
        <f>-303-CQ155</f>
        <v>-289</v>
      </c>
      <c r="CS155" s="85">
        <f>-70-CR155-CQ155</f>
        <v>233</v>
      </c>
      <c r="CT155" s="82"/>
      <c r="CU155" s="82"/>
      <c r="CV155" s="82"/>
      <c r="CW155" s="82"/>
      <c r="CX155" s="82"/>
      <c r="CY155" s="82"/>
      <c r="CZ155" s="82"/>
      <c r="DA155" s="73"/>
      <c r="DB155" s="99"/>
      <c r="DC155" s="82"/>
      <c r="DD155" s="82"/>
      <c r="DE155" s="82"/>
      <c r="DF155" s="82"/>
      <c r="DG155" s="82"/>
      <c r="DH155" s="82"/>
      <c r="DI155" s="82"/>
      <c r="DJ155" s="82"/>
      <c r="DK155" s="82"/>
      <c r="DL155" s="82"/>
      <c r="DM155" s="82"/>
      <c r="DN155" s="82"/>
      <c r="DO155" s="82"/>
      <c r="DP155" s="82"/>
      <c r="DQ155" s="82"/>
      <c r="DR155" s="82"/>
      <c r="DS155" s="82"/>
      <c r="DT155" s="82"/>
      <c r="DU155" s="82"/>
      <c r="DV155" s="82"/>
      <c r="DW155" s="82"/>
      <c r="DX155" s="82"/>
      <c r="DY155" s="82"/>
      <c r="DZ155" s="82"/>
      <c r="EA155" s="82"/>
      <c r="EC155" s="85"/>
    </row>
    <row r="156" spans="2:133" s="81" customFormat="1" ht="12.75" customHeight="1">
      <c r="B156" s="98" t="s">
        <v>958</v>
      </c>
      <c r="C156" s="99"/>
      <c r="D156" s="99"/>
      <c r="E156" s="99"/>
      <c r="F156" s="99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92"/>
      <c r="Z156" s="82"/>
      <c r="AA156" s="92"/>
      <c r="AB156" s="82"/>
      <c r="AC156" s="85"/>
      <c r="AD156" s="82"/>
      <c r="AE156" s="82"/>
      <c r="AF156" s="82"/>
      <c r="AG156" s="82"/>
      <c r="AH156" s="82"/>
      <c r="AI156" s="82"/>
      <c r="AJ156" s="82"/>
      <c r="AK156" s="82"/>
      <c r="AL156" s="82"/>
      <c r="AM156" s="82"/>
      <c r="AN156" s="82"/>
      <c r="AO156" s="82"/>
      <c r="AP156" s="82"/>
      <c r="AQ156" s="82"/>
      <c r="AR156" s="82"/>
      <c r="AS156" s="82"/>
      <c r="AT156" s="82"/>
      <c r="AU156" s="82"/>
      <c r="AV156" s="82"/>
      <c r="AW156" s="82"/>
      <c r="AX156" s="82"/>
      <c r="AY156" s="82"/>
      <c r="AZ156" s="82"/>
      <c r="BA156" s="82"/>
      <c r="BB156" s="82"/>
      <c r="BC156" s="82"/>
      <c r="BD156" s="82"/>
      <c r="BE156" s="82"/>
      <c r="BF156" s="82"/>
      <c r="BG156" s="82"/>
      <c r="BH156" s="82"/>
      <c r="BI156" s="82"/>
      <c r="BJ156" s="82"/>
      <c r="BK156" s="82"/>
      <c r="BL156" s="82"/>
      <c r="BM156" s="82"/>
      <c r="BN156" s="82"/>
      <c r="BO156" s="82"/>
      <c r="BP156" s="82"/>
      <c r="BQ156" s="82"/>
      <c r="BR156" s="82"/>
      <c r="BS156" s="82"/>
      <c r="BT156" s="82"/>
      <c r="BU156" s="82"/>
      <c r="BV156" s="82"/>
      <c r="BW156" s="82"/>
      <c r="BX156" s="82"/>
      <c r="BY156" s="82"/>
      <c r="BZ156" s="82"/>
      <c r="CA156" s="82"/>
      <c r="CB156" s="82"/>
      <c r="CC156" s="82"/>
      <c r="CD156" s="82"/>
      <c r="CE156" s="82"/>
      <c r="CF156" s="82"/>
      <c r="CG156" s="82"/>
      <c r="CH156" s="82"/>
      <c r="CI156" s="82"/>
      <c r="CJ156" s="82"/>
      <c r="CK156" s="82"/>
      <c r="CL156" s="82"/>
      <c r="CM156" s="85">
        <f t="shared" ref="CM156:CS156" si="307">SUM(CM152:CM155)</f>
        <v>-2359</v>
      </c>
      <c r="CN156" s="85">
        <f t="shared" si="307"/>
        <v>-11443</v>
      </c>
      <c r="CO156" s="85">
        <f t="shared" si="307"/>
        <v>-334</v>
      </c>
      <c r="CP156" s="85">
        <f t="shared" si="307"/>
        <v>53</v>
      </c>
      <c r="CQ156" s="85">
        <f t="shared" si="307"/>
        <v>-1376</v>
      </c>
      <c r="CR156" s="85">
        <f t="shared" si="307"/>
        <v>-1069</v>
      </c>
      <c r="CS156" s="85">
        <f t="shared" si="307"/>
        <v>-3845</v>
      </c>
      <c r="CT156" s="82"/>
      <c r="CU156" s="82"/>
      <c r="CV156" s="82"/>
      <c r="CW156" s="82"/>
      <c r="CX156" s="82"/>
      <c r="CY156" s="82"/>
      <c r="CZ156" s="82"/>
      <c r="DA156" s="73"/>
      <c r="DB156" s="99"/>
      <c r="DC156" s="82"/>
      <c r="DD156" s="82"/>
      <c r="DE156" s="82"/>
      <c r="DF156" s="82"/>
      <c r="DG156" s="82"/>
      <c r="DH156" s="82"/>
      <c r="DI156" s="82"/>
      <c r="DJ156" s="82"/>
      <c r="DK156" s="82"/>
      <c r="DL156" s="82"/>
      <c r="DM156" s="82"/>
      <c r="DN156" s="82"/>
      <c r="DO156" s="82"/>
      <c r="DP156" s="82"/>
      <c r="DQ156" s="82"/>
      <c r="DR156" s="82"/>
      <c r="DS156" s="82"/>
      <c r="DT156" s="82"/>
      <c r="DU156" s="82"/>
      <c r="DV156" s="82"/>
      <c r="DW156" s="82"/>
      <c r="DX156" s="82"/>
      <c r="DY156" s="82"/>
      <c r="DZ156" s="82"/>
      <c r="EA156" s="82"/>
      <c r="EC156" s="85"/>
    </row>
    <row r="157" spans="2:133" s="81" customFormat="1" ht="12.75" customHeight="1">
      <c r="B157" s="108"/>
      <c r="C157" s="99"/>
      <c r="D157" s="99"/>
      <c r="E157" s="99"/>
      <c r="F157" s="99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92"/>
      <c r="Z157" s="82"/>
      <c r="AA157" s="92"/>
      <c r="AB157" s="82"/>
      <c r="AC157" s="85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82"/>
      <c r="AO157" s="82"/>
      <c r="AP157" s="82"/>
      <c r="AQ157" s="82"/>
      <c r="AR157" s="82"/>
      <c r="AS157" s="82"/>
      <c r="AT157" s="82"/>
      <c r="AU157" s="82"/>
      <c r="AV157" s="82"/>
      <c r="AW157" s="82"/>
      <c r="AX157" s="82"/>
      <c r="AY157" s="82"/>
      <c r="AZ157" s="82"/>
      <c r="BA157" s="82"/>
      <c r="BB157" s="82"/>
      <c r="BC157" s="82"/>
      <c r="BD157" s="82"/>
      <c r="BE157" s="82"/>
      <c r="BF157" s="82"/>
      <c r="BG157" s="82"/>
      <c r="BH157" s="82"/>
      <c r="BI157" s="82"/>
      <c r="BJ157" s="82"/>
      <c r="BK157" s="82"/>
      <c r="BL157" s="82"/>
      <c r="BM157" s="82"/>
      <c r="BN157" s="82"/>
      <c r="BO157" s="82"/>
      <c r="BP157" s="82"/>
      <c r="BQ157" s="82"/>
      <c r="BR157" s="82"/>
      <c r="BS157" s="82"/>
      <c r="BT157" s="82"/>
      <c r="BU157" s="82"/>
      <c r="BV157" s="82"/>
      <c r="BW157" s="82"/>
      <c r="BX157" s="82"/>
      <c r="BY157" s="82"/>
      <c r="BZ157" s="82"/>
      <c r="CA157" s="82"/>
      <c r="CB157" s="82"/>
      <c r="CC157" s="82"/>
      <c r="CD157" s="82"/>
      <c r="CE157" s="82"/>
      <c r="CF157" s="82"/>
      <c r="CG157" s="82"/>
      <c r="CH157" s="82"/>
      <c r="CI157" s="82"/>
      <c r="CJ157" s="82"/>
      <c r="CK157" s="82"/>
      <c r="CL157" s="82"/>
      <c r="CM157" s="82"/>
      <c r="CN157" s="82"/>
      <c r="CO157" s="82"/>
      <c r="CP157" s="82"/>
      <c r="CQ157" s="82"/>
      <c r="CR157" s="82"/>
      <c r="CS157" s="82"/>
      <c r="CT157" s="82"/>
      <c r="CU157" s="82"/>
      <c r="CV157" s="82"/>
      <c r="CW157" s="82"/>
      <c r="CX157" s="82"/>
      <c r="CY157" s="82"/>
      <c r="CZ157" s="82"/>
      <c r="DA157" s="73"/>
      <c r="DB157" s="99"/>
      <c r="DC157" s="82"/>
      <c r="DD157" s="82"/>
      <c r="DE157" s="82"/>
      <c r="DF157" s="82"/>
      <c r="DG157" s="82"/>
      <c r="DH157" s="82"/>
      <c r="DI157" s="82"/>
      <c r="DJ157" s="82"/>
      <c r="DK157" s="82"/>
      <c r="DL157" s="82"/>
      <c r="DM157" s="82"/>
      <c r="DN157" s="82"/>
      <c r="DO157" s="82"/>
      <c r="DP157" s="82"/>
      <c r="DQ157" s="82"/>
      <c r="DR157" s="82"/>
      <c r="DS157" s="82"/>
      <c r="DT157" s="82"/>
      <c r="DU157" s="82"/>
      <c r="DV157" s="82"/>
      <c r="DW157" s="82"/>
      <c r="DX157" s="82"/>
      <c r="DY157" s="82"/>
      <c r="DZ157" s="82"/>
      <c r="EA157" s="82"/>
      <c r="EC157" s="85"/>
    </row>
    <row r="158" spans="2:133" s="81" customFormat="1" ht="12.75" customHeight="1">
      <c r="B158" s="98" t="s">
        <v>965</v>
      </c>
      <c r="C158" s="99"/>
      <c r="D158" s="99"/>
      <c r="E158" s="99"/>
      <c r="F158" s="99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92"/>
      <c r="Z158" s="82"/>
      <c r="AA158" s="92"/>
      <c r="AB158" s="82"/>
      <c r="AC158" s="85"/>
      <c r="AD158" s="82"/>
      <c r="AE158" s="82"/>
      <c r="AF158" s="82"/>
      <c r="AG158" s="82"/>
      <c r="AH158" s="82"/>
      <c r="AI158" s="82"/>
      <c r="AJ158" s="82"/>
      <c r="AK158" s="82"/>
      <c r="AL158" s="82"/>
      <c r="AM158" s="82"/>
      <c r="AN158" s="82"/>
      <c r="AO158" s="82"/>
      <c r="AP158" s="82"/>
      <c r="AQ158" s="82"/>
      <c r="AR158" s="82"/>
      <c r="AS158" s="82"/>
      <c r="AT158" s="82"/>
      <c r="AU158" s="82"/>
      <c r="AV158" s="82"/>
      <c r="AW158" s="82"/>
      <c r="AX158" s="82"/>
      <c r="AY158" s="82"/>
      <c r="AZ158" s="82"/>
      <c r="BA158" s="82"/>
      <c r="BB158" s="82"/>
      <c r="BC158" s="82"/>
      <c r="BD158" s="82"/>
      <c r="BE158" s="82"/>
      <c r="BF158" s="82"/>
      <c r="BG158" s="82"/>
      <c r="BH158" s="82"/>
      <c r="BI158" s="82"/>
      <c r="BJ158" s="82"/>
      <c r="BK158" s="82"/>
      <c r="BL158" s="82"/>
      <c r="BM158" s="82"/>
      <c r="BN158" s="82"/>
      <c r="BO158" s="82"/>
      <c r="BP158" s="82"/>
      <c r="BQ158" s="82"/>
      <c r="BR158" s="82"/>
      <c r="BS158" s="82"/>
      <c r="BT158" s="82"/>
      <c r="BU158" s="82"/>
      <c r="BV158" s="82"/>
      <c r="BW158" s="82"/>
      <c r="BX158" s="82"/>
      <c r="BY158" s="82"/>
      <c r="BZ158" s="82"/>
      <c r="CA158" s="82"/>
      <c r="CB158" s="82"/>
      <c r="CC158" s="82"/>
      <c r="CD158" s="82"/>
      <c r="CE158" s="82"/>
      <c r="CF158" s="82"/>
      <c r="CG158" s="82"/>
      <c r="CH158" s="82"/>
      <c r="CI158" s="82"/>
      <c r="CJ158" s="82"/>
      <c r="CK158" s="82"/>
      <c r="CL158" s="82"/>
      <c r="CM158" s="85">
        <v>-1</v>
      </c>
      <c r="CN158" s="85">
        <f>-1751+1937+5946-CM158</f>
        <v>6133</v>
      </c>
      <c r="CO158" s="85">
        <f>5939-1752-CN158-CM158</f>
        <v>-1945</v>
      </c>
      <c r="CP158" s="85">
        <f>-1755+5939-CO158-CN158-CM158</f>
        <v>-3</v>
      </c>
      <c r="CQ158" s="85">
        <v>-751</v>
      </c>
      <c r="CR158" s="85">
        <f>3600-751-CQ158</f>
        <v>3600</v>
      </c>
      <c r="CS158" s="85">
        <f>3599-751-CR158-CQ158</f>
        <v>-1</v>
      </c>
      <c r="CT158" s="82"/>
      <c r="CU158" s="82"/>
      <c r="CV158" s="82"/>
      <c r="CW158" s="82"/>
      <c r="CX158" s="82"/>
      <c r="CY158" s="82"/>
      <c r="CZ158" s="82"/>
      <c r="DA158" s="73"/>
      <c r="DB158" s="99"/>
      <c r="DC158" s="82"/>
      <c r="DD158" s="82"/>
      <c r="DE158" s="82"/>
      <c r="DF158" s="82"/>
      <c r="DG158" s="82"/>
      <c r="DH158" s="82"/>
      <c r="DI158" s="82"/>
      <c r="DJ158" s="82"/>
      <c r="DK158" s="82"/>
      <c r="DL158" s="82"/>
      <c r="DM158" s="82"/>
      <c r="DN158" s="82"/>
      <c r="DO158" s="82"/>
      <c r="DP158" s="82"/>
      <c r="DQ158" s="82"/>
      <c r="DR158" s="82"/>
      <c r="DS158" s="82"/>
      <c r="DT158" s="82"/>
      <c r="DU158" s="82"/>
      <c r="DV158" s="82"/>
      <c r="DW158" s="82"/>
      <c r="DX158" s="82"/>
      <c r="DY158" s="82"/>
      <c r="DZ158" s="82"/>
      <c r="EA158" s="82"/>
      <c r="EC158" s="85"/>
    </row>
    <row r="159" spans="2:133" s="81" customFormat="1" ht="12.75" customHeight="1">
      <c r="B159" s="98" t="s">
        <v>815</v>
      </c>
      <c r="C159" s="99"/>
      <c r="D159" s="99"/>
      <c r="E159" s="99"/>
      <c r="F159" s="99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92"/>
      <c r="Z159" s="82"/>
      <c r="AA159" s="92"/>
      <c r="AB159" s="82"/>
      <c r="AC159" s="85"/>
      <c r="AD159" s="82"/>
      <c r="AE159" s="82"/>
      <c r="AF159" s="82"/>
      <c r="AG159" s="82"/>
      <c r="AH159" s="82"/>
      <c r="AI159" s="82"/>
      <c r="AJ159" s="82"/>
      <c r="AK159" s="82"/>
      <c r="AL159" s="82"/>
      <c r="AM159" s="82"/>
      <c r="AN159" s="82"/>
      <c r="AO159" s="82"/>
      <c r="AP159" s="82"/>
      <c r="AQ159" s="82"/>
      <c r="AR159" s="82"/>
      <c r="AS159" s="82"/>
      <c r="AT159" s="82"/>
      <c r="AU159" s="82"/>
      <c r="AV159" s="82"/>
      <c r="AW159" s="82"/>
      <c r="AX159" s="82"/>
      <c r="AY159" s="82"/>
      <c r="AZ159" s="82"/>
      <c r="BA159" s="82"/>
      <c r="BB159" s="82"/>
      <c r="BC159" s="82"/>
      <c r="BD159" s="82"/>
      <c r="BE159" s="82"/>
      <c r="BF159" s="82"/>
      <c r="BG159" s="82"/>
      <c r="BH159" s="82"/>
      <c r="BI159" s="82"/>
      <c r="BJ159" s="82"/>
      <c r="BK159" s="82"/>
      <c r="BL159" s="82"/>
      <c r="BM159" s="82"/>
      <c r="BN159" s="82"/>
      <c r="BO159" s="82"/>
      <c r="BP159" s="82"/>
      <c r="BQ159" s="82"/>
      <c r="BR159" s="82"/>
      <c r="BS159" s="82"/>
      <c r="BT159" s="82"/>
      <c r="BU159" s="82"/>
      <c r="BV159" s="82"/>
      <c r="BW159" s="82"/>
      <c r="BX159" s="82"/>
      <c r="BY159" s="82"/>
      <c r="BZ159" s="82"/>
      <c r="CA159" s="82"/>
      <c r="CB159" s="82"/>
      <c r="CC159" s="82"/>
      <c r="CD159" s="82"/>
      <c r="CE159" s="82"/>
      <c r="CF159" s="82"/>
      <c r="CG159" s="82"/>
      <c r="CH159" s="82"/>
      <c r="CI159" s="82"/>
      <c r="CJ159" s="82"/>
      <c r="CK159" s="82"/>
      <c r="CL159" s="82"/>
      <c r="CM159" s="85">
        <v>-1853</v>
      </c>
      <c r="CN159" s="85">
        <f>-3738-CM159</f>
        <v>-1885</v>
      </c>
      <c r="CO159" s="85">
        <f>-5593-CN159-CM159</f>
        <v>-1855</v>
      </c>
      <c r="CP159" s="85">
        <f>-7445-CO159-CN159-CM159</f>
        <v>-1852</v>
      </c>
      <c r="CQ159" s="85">
        <v>-1950</v>
      </c>
      <c r="CR159" s="85">
        <f>-3936-CQ159</f>
        <v>-1986</v>
      </c>
      <c r="CS159" s="85">
        <f>-5889-CR159-CQ159</f>
        <v>-1953</v>
      </c>
      <c r="CT159" s="82"/>
      <c r="CU159" s="82"/>
      <c r="CV159" s="82"/>
      <c r="CW159" s="82"/>
      <c r="CX159" s="82"/>
      <c r="CY159" s="82"/>
      <c r="CZ159" s="82"/>
      <c r="DA159" s="73"/>
      <c r="DB159" s="99"/>
      <c r="DC159" s="82"/>
      <c r="DD159" s="82"/>
      <c r="DE159" s="82"/>
      <c r="DF159" s="82"/>
      <c r="DG159" s="82"/>
      <c r="DH159" s="82"/>
      <c r="DI159" s="82"/>
      <c r="DJ159" s="82"/>
      <c r="DK159" s="82"/>
      <c r="DL159" s="82"/>
      <c r="DM159" s="82"/>
      <c r="DN159" s="82"/>
      <c r="DO159" s="82"/>
      <c r="DP159" s="82"/>
      <c r="DQ159" s="82"/>
      <c r="DR159" s="82"/>
      <c r="DS159" s="82"/>
      <c r="DT159" s="82"/>
      <c r="DU159" s="82"/>
      <c r="DV159" s="82"/>
      <c r="DW159" s="82"/>
      <c r="DX159" s="82"/>
      <c r="DY159" s="82"/>
      <c r="DZ159" s="82"/>
      <c r="EA159" s="82"/>
      <c r="EC159" s="85"/>
    </row>
    <row r="160" spans="2:133" s="81" customFormat="1" ht="12.75" customHeight="1">
      <c r="B160" s="98" t="s">
        <v>964</v>
      </c>
      <c r="C160" s="99"/>
      <c r="D160" s="99"/>
      <c r="E160" s="99"/>
      <c r="F160" s="99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92"/>
      <c r="Z160" s="82"/>
      <c r="AA160" s="92"/>
      <c r="AB160" s="82"/>
      <c r="AC160" s="85"/>
      <c r="AD160" s="82"/>
      <c r="AE160" s="82"/>
      <c r="AF160" s="82"/>
      <c r="AG160" s="82"/>
      <c r="AH160" s="82"/>
      <c r="AI160" s="82"/>
      <c r="AJ160" s="82"/>
      <c r="AK160" s="82"/>
      <c r="AL160" s="82"/>
      <c r="AM160" s="82"/>
      <c r="AN160" s="82"/>
      <c r="AO160" s="82"/>
      <c r="AP160" s="82"/>
      <c r="AQ160" s="82"/>
      <c r="AR160" s="82"/>
      <c r="AS160" s="82"/>
      <c r="AT160" s="82"/>
      <c r="AU160" s="82"/>
      <c r="AV160" s="82"/>
      <c r="AW160" s="82"/>
      <c r="AX160" s="82"/>
      <c r="AY160" s="82"/>
      <c r="AZ160" s="82"/>
      <c r="BA160" s="82"/>
      <c r="BB160" s="82"/>
      <c r="BC160" s="82"/>
      <c r="BD160" s="82"/>
      <c r="BE160" s="82"/>
      <c r="BF160" s="82"/>
      <c r="BG160" s="82"/>
      <c r="BH160" s="82"/>
      <c r="BI160" s="82"/>
      <c r="BJ160" s="82"/>
      <c r="BK160" s="82"/>
      <c r="BL160" s="82"/>
      <c r="BM160" s="82"/>
      <c r="BN160" s="82"/>
      <c r="BO160" s="82"/>
      <c r="BP160" s="82"/>
      <c r="BQ160" s="82"/>
      <c r="BR160" s="82"/>
      <c r="BS160" s="82"/>
      <c r="BT160" s="82"/>
      <c r="BU160" s="82"/>
      <c r="BV160" s="82"/>
      <c r="BW160" s="82"/>
      <c r="BX160" s="82"/>
      <c r="BY160" s="82"/>
      <c r="BZ160" s="82"/>
      <c r="CA160" s="82"/>
      <c r="CB160" s="82"/>
      <c r="CC160" s="82"/>
      <c r="CD160" s="82"/>
      <c r="CE160" s="82"/>
      <c r="CF160" s="82"/>
      <c r="CG160" s="82"/>
      <c r="CH160" s="82"/>
      <c r="CI160" s="82"/>
      <c r="CJ160" s="82"/>
      <c r="CK160" s="82"/>
      <c r="CL160" s="82"/>
      <c r="CM160" s="85">
        <v>-149</v>
      </c>
      <c r="CN160" s="85">
        <f>-487-CM160</f>
        <v>-338</v>
      </c>
      <c r="CO160" s="85">
        <f>-953-CN160-CM160</f>
        <v>-466</v>
      </c>
      <c r="CP160" s="85">
        <f>-1346-CO160-CN160-CM160</f>
        <v>-393</v>
      </c>
      <c r="CQ160" s="85">
        <v>-122</v>
      </c>
      <c r="CR160" s="85">
        <f>-373-CQ160</f>
        <v>-251</v>
      </c>
      <c r="CS160" s="85">
        <f>-817-CR160-CQ160</f>
        <v>-444</v>
      </c>
      <c r="CT160" s="82"/>
      <c r="CU160" s="82"/>
      <c r="CV160" s="82"/>
      <c r="CW160" s="82"/>
      <c r="CX160" s="82"/>
      <c r="CY160" s="82"/>
      <c r="CZ160" s="82"/>
      <c r="DA160" s="73"/>
      <c r="DB160" s="99"/>
      <c r="DC160" s="82"/>
      <c r="DD160" s="82"/>
      <c r="DE160" s="82"/>
      <c r="DF160" s="82"/>
      <c r="DG160" s="82"/>
      <c r="DH160" s="82"/>
      <c r="DI160" s="82"/>
      <c r="DJ160" s="82"/>
      <c r="DK160" s="82"/>
      <c r="DL160" s="82"/>
      <c r="DM160" s="82"/>
      <c r="DN160" s="82"/>
      <c r="DO160" s="82"/>
      <c r="DP160" s="82"/>
      <c r="DQ160" s="82"/>
      <c r="DR160" s="82"/>
      <c r="DS160" s="82"/>
      <c r="DT160" s="82"/>
      <c r="DU160" s="82"/>
      <c r="DV160" s="82"/>
      <c r="DW160" s="82"/>
      <c r="DX160" s="82"/>
      <c r="DY160" s="82"/>
      <c r="DZ160" s="82"/>
      <c r="EA160" s="82"/>
      <c r="EC160" s="85"/>
    </row>
    <row r="161" spans="2:137" s="81" customFormat="1" ht="12.75" customHeight="1">
      <c r="B161" s="98" t="s">
        <v>963</v>
      </c>
      <c r="C161" s="99"/>
      <c r="D161" s="99"/>
      <c r="E161" s="99"/>
      <c r="F161" s="99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92"/>
      <c r="Z161" s="82"/>
      <c r="AA161" s="92"/>
      <c r="AB161" s="82"/>
      <c r="AC161" s="85"/>
      <c r="AD161" s="82"/>
      <c r="AE161" s="82"/>
      <c r="AF161" s="82"/>
      <c r="AG161" s="82"/>
      <c r="AH161" s="82"/>
      <c r="AI161" s="82"/>
      <c r="AJ161" s="82"/>
      <c r="AK161" s="82"/>
      <c r="AL161" s="82"/>
      <c r="AM161" s="82"/>
      <c r="AN161" s="82"/>
      <c r="AO161" s="82"/>
      <c r="AP161" s="82"/>
      <c r="AQ161" s="82"/>
      <c r="AR161" s="82"/>
      <c r="AS161" s="82"/>
      <c r="AT161" s="82"/>
      <c r="AU161" s="82"/>
      <c r="AV161" s="82"/>
      <c r="AW161" s="82"/>
      <c r="AX161" s="82"/>
      <c r="AY161" s="82"/>
      <c r="AZ161" s="82"/>
      <c r="BA161" s="82"/>
      <c r="BB161" s="82"/>
      <c r="BC161" s="82"/>
      <c r="BD161" s="82"/>
      <c r="BE161" s="82"/>
      <c r="BF161" s="82"/>
      <c r="BG161" s="82"/>
      <c r="BH161" s="82"/>
      <c r="BI161" s="82"/>
      <c r="BJ161" s="82"/>
      <c r="BK161" s="82"/>
      <c r="BL161" s="82"/>
      <c r="BM161" s="82"/>
      <c r="BN161" s="82"/>
      <c r="BO161" s="82"/>
      <c r="BP161" s="82"/>
      <c r="BQ161" s="82"/>
      <c r="BR161" s="82"/>
      <c r="BS161" s="82"/>
      <c r="BT161" s="82"/>
      <c r="BU161" s="82"/>
      <c r="BV161" s="82"/>
      <c r="BW161" s="82"/>
      <c r="BX161" s="82"/>
      <c r="BY161" s="82"/>
      <c r="BZ161" s="82"/>
      <c r="CA161" s="82"/>
      <c r="CB161" s="82"/>
      <c r="CC161" s="82"/>
      <c r="CD161" s="82"/>
      <c r="CE161" s="82"/>
      <c r="CF161" s="82"/>
      <c r="CG161" s="82"/>
      <c r="CH161" s="82"/>
      <c r="CI161" s="82"/>
      <c r="CJ161" s="82"/>
      <c r="CK161" s="82"/>
      <c r="CL161" s="82"/>
      <c r="CM161" s="85">
        <v>30</v>
      </c>
      <c r="CN161" s="85">
        <f>112-CM161</f>
        <v>82</v>
      </c>
      <c r="CO161" s="85">
        <f>119-CN161-CM161</f>
        <v>7</v>
      </c>
      <c r="CP161" s="85">
        <f>125-CO161-CN161-CM161</f>
        <v>6</v>
      </c>
      <c r="CQ161" s="85">
        <v>87</v>
      </c>
      <c r="CR161" s="85">
        <f>160-CQ161</f>
        <v>73</v>
      </c>
      <c r="CS161" s="85">
        <f>165-CR161-CQ161</f>
        <v>5</v>
      </c>
      <c r="CT161" s="82"/>
      <c r="CU161" s="82"/>
      <c r="CV161" s="82"/>
      <c r="CW161" s="82"/>
      <c r="CX161" s="82"/>
      <c r="CY161" s="82"/>
      <c r="CZ161" s="82"/>
      <c r="DA161" s="73"/>
      <c r="DB161" s="99"/>
      <c r="DC161" s="82"/>
      <c r="DD161" s="82"/>
      <c r="DE161" s="82"/>
      <c r="DF161" s="82"/>
      <c r="DG161" s="82"/>
      <c r="DH161" s="82"/>
      <c r="DI161" s="82"/>
      <c r="DJ161" s="82"/>
      <c r="DK161" s="82"/>
      <c r="DL161" s="82"/>
      <c r="DM161" s="82"/>
      <c r="DN161" s="82"/>
      <c r="DO161" s="82"/>
      <c r="DP161" s="82"/>
      <c r="DQ161" s="82"/>
      <c r="DR161" s="82"/>
      <c r="DS161" s="82"/>
      <c r="DT161" s="82"/>
      <c r="DU161" s="82"/>
      <c r="DV161" s="82"/>
      <c r="DW161" s="82"/>
      <c r="DX161" s="82"/>
      <c r="DY161" s="82"/>
      <c r="DZ161" s="82"/>
      <c r="EA161" s="82"/>
      <c r="EC161" s="85"/>
    </row>
    <row r="162" spans="2:137" s="81" customFormat="1" ht="12.75" customHeight="1">
      <c r="B162" s="98" t="s">
        <v>79</v>
      </c>
      <c r="C162" s="99"/>
      <c r="D162" s="99"/>
      <c r="E162" s="99"/>
      <c r="F162" s="99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92"/>
      <c r="Z162" s="82"/>
      <c r="AA162" s="92"/>
      <c r="AB162" s="82"/>
      <c r="AC162" s="85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  <c r="AR162" s="82"/>
      <c r="AS162" s="82"/>
      <c r="AT162" s="82"/>
      <c r="AU162" s="82"/>
      <c r="AV162" s="82"/>
      <c r="AW162" s="82"/>
      <c r="AX162" s="82"/>
      <c r="AY162" s="82"/>
      <c r="AZ162" s="82"/>
      <c r="BA162" s="82"/>
      <c r="BB162" s="82"/>
      <c r="BC162" s="82"/>
      <c r="BD162" s="82"/>
      <c r="BE162" s="82"/>
      <c r="BF162" s="82"/>
      <c r="BG162" s="82"/>
      <c r="BH162" s="82"/>
      <c r="BI162" s="82"/>
      <c r="BJ162" s="82"/>
      <c r="BK162" s="82"/>
      <c r="BL162" s="82"/>
      <c r="BM162" s="82"/>
      <c r="BN162" s="82"/>
      <c r="BO162" s="82"/>
      <c r="BP162" s="82"/>
      <c r="BQ162" s="82"/>
      <c r="BR162" s="82"/>
      <c r="BS162" s="82"/>
      <c r="BT162" s="82"/>
      <c r="BU162" s="82"/>
      <c r="BV162" s="82"/>
      <c r="BW162" s="82"/>
      <c r="BX162" s="82"/>
      <c r="BY162" s="82"/>
      <c r="BZ162" s="82"/>
      <c r="CA162" s="82"/>
      <c r="CB162" s="82"/>
      <c r="CC162" s="82"/>
      <c r="CD162" s="82"/>
      <c r="CE162" s="82"/>
      <c r="CF162" s="82"/>
      <c r="CG162" s="82"/>
      <c r="CH162" s="82"/>
      <c r="CI162" s="82"/>
      <c r="CJ162" s="82"/>
      <c r="CK162" s="82"/>
      <c r="CL162" s="82"/>
      <c r="CM162" s="85">
        <v>-81</v>
      </c>
      <c r="CN162" s="85">
        <f>-315-CM162</f>
        <v>-234</v>
      </c>
      <c r="CO162" s="85">
        <f>-325-CN162-CM162</f>
        <v>-10</v>
      </c>
      <c r="CP162" s="85">
        <f>-328-CO162-CN162-CM162</f>
        <v>-3</v>
      </c>
      <c r="CQ162" s="85">
        <v>-78</v>
      </c>
      <c r="CR162" s="85">
        <f>-298-CQ162</f>
        <v>-220</v>
      </c>
      <c r="CS162" s="85">
        <f>-330-CR162-CQ162</f>
        <v>-32</v>
      </c>
      <c r="CT162" s="82"/>
      <c r="CU162" s="82"/>
      <c r="CV162" s="82"/>
      <c r="CW162" s="82"/>
      <c r="CX162" s="82"/>
      <c r="CY162" s="82"/>
      <c r="CZ162" s="82"/>
      <c r="DA162" s="73"/>
      <c r="DB162" s="99"/>
      <c r="DC162" s="82"/>
      <c r="DD162" s="82"/>
      <c r="DE162" s="82"/>
      <c r="DF162" s="82"/>
      <c r="DG162" s="82"/>
      <c r="DH162" s="82"/>
      <c r="DI162" s="82"/>
      <c r="DJ162" s="82"/>
      <c r="DK162" s="82"/>
      <c r="DL162" s="82"/>
      <c r="DM162" s="82"/>
      <c r="DN162" s="82"/>
      <c r="DO162" s="82"/>
      <c r="DP162" s="82"/>
      <c r="DQ162" s="82"/>
      <c r="DR162" s="82"/>
      <c r="DS162" s="82"/>
      <c r="DT162" s="82"/>
      <c r="DU162" s="82"/>
      <c r="DV162" s="82"/>
      <c r="DW162" s="82"/>
      <c r="DX162" s="82"/>
      <c r="DY162" s="82"/>
      <c r="DZ162" s="82"/>
      <c r="EA162" s="82"/>
      <c r="EC162" s="85"/>
    </row>
    <row r="163" spans="2:137" s="81" customFormat="1" ht="12.75" customHeight="1">
      <c r="B163" s="98" t="s">
        <v>962</v>
      </c>
      <c r="C163" s="99"/>
      <c r="D163" s="99"/>
      <c r="E163" s="99"/>
      <c r="F163" s="99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92"/>
      <c r="Z163" s="82"/>
      <c r="AA163" s="92"/>
      <c r="AB163" s="82"/>
      <c r="AC163" s="85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  <c r="AW163" s="82"/>
      <c r="AX163" s="82"/>
      <c r="AY163" s="82"/>
      <c r="AZ163" s="82"/>
      <c r="BA163" s="82"/>
      <c r="BB163" s="82"/>
      <c r="BC163" s="82"/>
      <c r="BD163" s="82"/>
      <c r="BE163" s="82"/>
      <c r="BF163" s="82"/>
      <c r="BG163" s="82"/>
      <c r="BH163" s="82"/>
      <c r="BI163" s="82"/>
      <c r="BJ163" s="82"/>
      <c r="BK163" s="82"/>
      <c r="BL163" s="82"/>
      <c r="BM163" s="82"/>
      <c r="BN163" s="82"/>
      <c r="BO163" s="82"/>
      <c r="BP163" s="82"/>
      <c r="BQ163" s="82"/>
      <c r="BR163" s="82"/>
      <c r="BS163" s="82"/>
      <c r="BT163" s="82"/>
      <c r="BU163" s="82"/>
      <c r="BV163" s="82"/>
      <c r="BW163" s="82"/>
      <c r="BX163" s="82"/>
      <c r="BY163" s="82"/>
      <c r="BZ163" s="82"/>
      <c r="CA163" s="82"/>
      <c r="CB163" s="82"/>
      <c r="CC163" s="82"/>
      <c r="CD163" s="82"/>
      <c r="CE163" s="82"/>
      <c r="CF163" s="82"/>
      <c r="CG163" s="82"/>
      <c r="CH163" s="82"/>
      <c r="CI163" s="82"/>
      <c r="CJ163" s="82"/>
      <c r="CK163" s="82"/>
      <c r="CL163" s="82"/>
      <c r="CM163" s="85">
        <f t="shared" ref="CM163:CS163" si="308">SUM(CM158:CM162)</f>
        <v>-2054</v>
      </c>
      <c r="CN163" s="85">
        <f t="shared" si="308"/>
        <v>3758</v>
      </c>
      <c r="CO163" s="85">
        <f t="shared" si="308"/>
        <v>-4269</v>
      </c>
      <c r="CP163" s="85">
        <f t="shared" si="308"/>
        <v>-2245</v>
      </c>
      <c r="CQ163" s="85">
        <f t="shared" si="308"/>
        <v>-2814</v>
      </c>
      <c r="CR163" s="85">
        <f t="shared" si="308"/>
        <v>1216</v>
      </c>
      <c r="CS163" s="85">
        <f t="shared" si="308"/>
        <v>-2425</v>
      </c>
      <c r="CT163" s="82"/>
      <c r="CU163" s="82"/>
      <c r="CV163" s="82"/>
      <c r="CW163" s="82"/>
      <c r="CX163" s="82"/>
      <c r="CY163" s="82"/>
      <c r="CZ163" s="82"/>
      <c r="DA163" s="73"/>
      <c r="DB163" s="99"/>
      <c r="DC163" s="82"/>
      <c r="DD163" s="82"/>
      <c r="DE163" s="82"/>
      <c r="DF163" s="82"/>
      <c r="DG163" s="82"/>
      <c r="DH163" s="82"/>
      <c r="DI163" s="82"/>
      <c r="DJ163" s="82"/>
      <c r="DK163" s="82"/>
      <c r="DL163" s="82"/>
      <c r="DM163" s="82"/>
      <c r="DN163" s="82"/>
      <c r="DO163" s="82"/>
      <c r="DP163" s="82"/>
      <c r="DQ163" s="82"/>
      <c r="DR163" s="82"/>
      <c r="DS163" s="82"/>
      <c r="DT163" s="82"/>
      <c r="DU163" s="82"/>
      <c r="DV163" s="82"/>
      <c r="DW163" s="82"/>
      <c r="DX163" s="82"/>
      <c r="DY163" s="82"/>
      <c r="DZ163" s="82"/>
      <c r="EA163" s="82"/>
      <c r="EC163" s="85"/>
    </row>
    <row r="164" spans="2:137" s="81" customFormat="1" ht="12.75" customHeight="1">
      <c r="B164" s="98" t="s">
        <v>966</v>
      </c>
      <c r="C164" s="99"/>
      <c r="D164" s="99"/>
      <c r="E164" s="99"/>
      <c r="F164" s="99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92"/>
      <c r="Z164" s="82"/>
      <c r="AA164" s="92"/>
      <c r="AB164" s="82"/>
      <c r="AC164" s="85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  <c r="AO164" s="82"/>
      <c r="AP164" s="82"/>
      <c r="AQ164" s="82"/>
      <c r="AR164" s="82"/>
      <c r="AS164" s="82"/>
      <c r="AT164" s="82"/>
      <c r="AU164" s="82"/>
      <c r="AV164" s="82"/>
      <c r="AW164" s="82"/>
      <c r="AX164" s="82"/>
      <c r="AY164" s="82"/>
      <c r="AZ164" s="82"/>
      <c r="BA164" s="82"/>
      <c r="BB164" s="82"/>
      <c r="BC164" s="82"/>
      <c r="BD164" s="82"/>
      <c r="BE164" s="82"/>
      <c r="BF164" s="82"/>
      <c r="BG164" s="82"/>
      <c r="BH164" s="82"/>
      <c r="BI164" s="82"/>
      <c r="BJ164" s="82"/>
      <c r="BK164" s="82"/>
      <c r="BL164" s="82"/>
      <c r="BM164" s="82"/>
      <c r="BN164" s="82"/>
      <c r="BO164" s="82"/>
      <c r="BP164" s="82"/>
      <c r="BQ164" s="82"/>
      <c r="BR164" s="82"/>
      <c r="BS164" s="82"/>
      <c r="BT164" s="82"/>
      <c r="BU164" s="82"/>
      <c r="BV164" s="82"/>
      <c r="BW164" s="82"/>
      <c r="BX164" s="82"/>
      <c r="BY164" s="82"/>
      <c r="BZ164" s="82"/>
      <c r="CA164" s="82"/>
      <c r="CB164" s="82"/>
      <c r="CC164" s="82"/>
      <c r="CD164" s="82"/>
      <c r="CE164" s="82"/>
      <c r="CF164" s="82"/>
      <c r="CG164" s="82"/>
      <c r="CH164" s="82"/>
      <c r="CI164" s="82"/>
      <c r="CJ164" s="82"/>
      <c r="CK164" s="82"/>
      <c r="CL164" s="82"/>
      <c r="CM164" s="82">
        <v>87</v>
      </c>
      <c r="CN164" s="82">
        <f>-6-CM164</f>
        <v>-93</v>
      </c>
      <c r="CO164" s="82">
        <f>-163-CN164-CM164</f>
        <v>-157</v>
      </c>
      <c r="CP164" s="82">
        <f>23-CO164-CN164-CM164</f>
        <v>186</v>
      </c>
      <c r="CQ164" s="82">
        <v>-138</v>
      </c>
      <c r="CR164" s="82">
        <f>-220-CQ164</f>
        <v>-82</v>
      </c>
      <c r="CS164" s="82">
        <f>74-CR164-CQ164</f>
        <v>294</v>
      </c>
      <c r="CT164" s="82"/>
      <c r="CU164" s="82"/>
      <c r="CV164" s="82"/>
      <c r="CW164" s="82"/>
      <c r="CX164" s="82"/>
      <c r="CY164" s="82"/>
      <c r="CZ164" s="82"/>
      <c r="DA164" s="73"/>
      <c r="DB164" s="99"/>
      <c r="DC164" s="82"/>
      <c r="DD164" s="82"/>
      <c r="DE164" s="82"/>
      <c r="DF164" s="82"/>
      <c r="DG164" s="82"/>
      <c r="DH164" s="82"/>
      <c r="DI164" s="82"/>
      <c r="DJ164" s="82"/>
      <c r="DK164" s="82"/>
      <c r="DL164" s="82"/>
      <c r="DM164" s="82"/>
      <c r="DN164" s="82"/>
      <c r="DO164" s="82"/>
      <c r="DP164" s="82"/>
      <c r="DQ164" s="82"/>
      <c r="DR164" s="82"/>
      <c r="DS164" s="82"/>
      <c r="DT164" s="82"/>
      <c r="DU164" s="82"/>
      <c r="DV164" s="82"/>
      <c r="DW164" s="82"/>
      <c r="DX164" s="82"/>
      <c r="DY164" s="82"/>
      <c r="DZ164" s="82"/>
      <c r="EA164" s="82"/>
      <c r="EC164" s="85"/>
    </row>
    <row r="165" spans="2:137" s="81" customFormat="1" ht="12.75" customHeight="1">
      <c r="B165" s="108" t="s">
        <v>976</v>
      </c>
      <c r="C165" s="99"/>
      <c r="D165" s="99"/>
      <c r="E165" s="99"/>
      <c r="F165" s="99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92"/>
      <c r="Z165" s="82"/>
      <c r="AA165" s="92"/>
      <c r="AB165" s="82"/>
      <c r="AC165" s="85"/>
      <c r="AD165" s="82"/>
      <c r="AE165" s="82"/>
      <c r="AF165" s="82"/>
      <c r="AG165" s="82"/>
      <c r="AH165" s="82"/>
      <c r="AI165" s="82"/>
      <c r="AJ165" s="82"/>
      <c r="AK165" s="82"/>
      <c r="AL165" s="82"/>
      <c r="AM165" s="82"/>
      <c r="AN165" s="82"/>
      <c r="AO165" s="82"/>
      <c r="AP165" s="82"/>
      <c r="AQ165" s="82"/>
      <c r="AR165" s="82"/>
      <c r="AS165" s="82"/>
      <c r="AT165" s="82"/>
      <c r="AU165" s="82"/>
      <c r="AV165" s="82"/>
      <c r="AW165" s="82"/>
      <c r="AX165" s="82"/>
      <c r="AY165" s="82"/>
      <c r="AZ165" s="82"/>
      <c r="BA165" s="82"/>
      <c r="BB165" s="82"/>
      <c r="BC165" s="82"/>
      <c r="BD165" s="82"/>
      <c r="BE165" s="82"/>
      <c r="BF165" s="82"/>
      <c r="BG165" s="82"/>
      <c r="BH165" s="82"/>
      <c r="BI165" s="82"/>
      <c r="BJ165" s="82"/>
      <c r="BK165" s="82"/>
      <c r="BL165" s="82"/>
      <c r="BM165" s="82"/>
      <c r="BN165" s="82"/>
      <c r="BO165" s="82"/>
      <c r="BP165" s="82"/>
      <c r="BQ165" s="82"/>
      <c r="BR165" s="82"/>
      <c r="BS165" s="82"/>
      <c r="BT165" s="82"/>
      <c r="BU165" s="82"/>
      <c r="BV165" s="82"/>
      <c r="BW165" s="82"/>
      <c r="BX165" s="82"/>
      <c r="BY165" s="82"/>
      <c r="BZ165" s="82"/>
      <c r="CA165" s="82"/>
      <c r="CB165" s="82"/>
      <c r="CC165" s="82"/>
      <c r="CD165" s="82"/>
      <c r="CE165" s="82"/>
      <c r="CF165" s="82"/>
      <c r="CG165" s="82"/>
      <c r="CH165" s="82"/>
      <c r="CI165" s="82"/>
      <c r="CJ165" s="82"/>
      <c r="CK165" s="82"/>
      <c r="CL165" s="82"/>
      <c r="CM165" s="85">
        <f t="shared" ref="CM165:CS165" si="309">+CM164+CM163+CM156+CM150</f>
        <v>-2987</v>
      </c>
      <c r="CN165" s="85">
        <f t="shared" si="309"/>
        <v>-4074</v>
      </c>
      <c r="CO165" s="85">
        <f t="shared" si="309"/>
        <v>2957</v>
      </c>
      <c r="CP165" s="85">
        <f t="shared" si="309"/>
        <v>-1760</v>
      </c>
      <c r="CQ165" s="85">
        <f t="shared" si="309"/>
        <v>-1238</v>
      </c>
      <c r="CR165" s="85">
        <f t="shared" si="309"/>
        <v>5702</v>
      </c>
      <c r="CS165" s="85">
        <f t="shared" si="309"/>
        <v>3315</v>
      </c>
      <c r="CT165" s="82"/>
      <c r="CU165" s="82"/>
      <c r="CV165" s="82"/>
      <c r="CW165" s="82"/>
      <c r="CX165" s="82"/>
      <c r="CY165" s="82"/>
      <c r="CZ165" s="82"/>
      <c r="DA165" s="73"/>
      <c r="DB165" s="99"/>
      <c r="DC165" s="82"/>
      <c r="DD165" s="82"/>
      <c r="DE165" s="82"/>
      <c r="DF165" s="82"/>
      <c r="DG165" s="82"/>
      <c r="DH165" s="82"/>
      <c r="DI165" s="82"/>
      <c r="DJ165" s="82"/>
      <c r="DK165" s="82"/>
      <c r="DL165" s="82"/>
      <c r="DM165" s="82"/>
      <c r="DN165" s="82"/>
      <c r="DO165" s="82"/>
      <c r="DP165" s="82"/>
      <c r="DQ165" s="82"/>
      <c r="DR165" s="82"/>
      <c r="DS165" s="82"/>
      <c r="DT165" s="82"/>
      <c r="DU165" s="82"/>
      <c r="DV165" s="82"/>
      <c r="DW165" s="82"/>
      <c r="DX165" s="82"/>
      <c r="DY165" s="82"/>
      <c r="DZ165" s="82"/>
      <c r="EA165" s="82"/>
      <c r="EC165" s="85"/>
    </row>
    <row r="166" spans="2:137" s="81" customFormat="1" ht="12.75" customHeight="1">
      <c r="B166" s="108"/>
      <c r="C166" s="99"/>
      <c r="D166" s="99"/>
      <c r="E166" s="99"/>
      <c r="F166" s="99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92"/>
      <c r="Z166" s="82"/>
      <c r="AA166" s="92"/>
      <c r="AB166" s="82"/>
      <c r="AC166" s="85"/>
      <c r="AD166" s="82"/>
      <c r="AE166" s="82"/>
      <c r="AF166" s="82"/>
      <c r="AG166" s="82"/>
      <c r="AH166" s="82"/>
      <c r="AI166" s="82"/>
      <c r="AJ166" s="82"/>
      <c r="AK166" s="82"/>
      <c r="AL166" s="82"/>
      <c r="AM166" s="82"/>
      <c r="AN166" s="82"/>
      <c r="AO166" s="82"/>
      <c r="AP166" s="82"/>
      <c r="AQ166" s="82"/>
      <c r="AR166" s="82"/>
      <c r="AS166" s="82"/>
      <c r="AT166" s="82"/>
      <c r="AU166" s="82"/>
      <c r="AV166" s="82"/>
      <c r="AW166" s="82"/>
      <c r="AX166" s="82"/>
      <c r="AY166" s="82"/>
      <c r="AZ166" s="82"/>
      <c r="BA166" s="82"/>
      <c r="BB166" s="82"/>
      <c r="BC166" s="82"/>
      <c r="BD166" s="82"/>
      <c r="BE166" s="82"/>
      <c r="BF166" s="82"/>
      <c r="BG166" s="82"/>
      <c r="BH166" s="82"/>
      <c r="BI166" s="82"/>
      <c r="BJ166" s="82"/>
      <c r="BK166" s="82"/>
      <c r="BL166" s="82"/>
      <c r="BM166" s="82"/>
      <c r="BN166" s="82"/>
      <c r="BO166" s="82"/>
      <c r="BP166" s="82"/>
      <c r="BQ166" s="82"/>
      <c r="BR166" s="82"/>
      <c r="BS166" s="82"/>
      <c r="BT166" s="82"/>
      <c r="BU166" s="82"/>
      <c r="BV166" s="82"/>
      <c r="BW166" s="82"/>
      <c r="BX166" s="82"/>
      <c r="BY166" s="82"/>
      <c r="BZ166" s="82"/>
      <c r="CA166" s="82"/>
      <c r="CB166" s="82"/>
      <c r="CC166" s="82"/>
      <c r="CD166" s="82"/>
      <c r="CE166" s="82"/>
      <c r="CF166" s="82"/>
      <c r="CG166" s="82"/>
      <c r="CH166" s="82"/>
      <c r="CI166" s="82"/>
      <c r="CJ166" s="82"/>
      <c r="CK166" s="82"/>
      <c r="CL166" s="82"/>
      <c r="CM166" s="82"/>
      <c r="CN166" s="82"/>
      <c r="CO166" s="82"/>
      <c r="CP166" s="82"/>
      <c r="CQ166" s="82"/>
      <c r="CR166" s="82"/>
      <c r="CS166" s="82"/>
      <c r="CT166" s="82"/>
      <c r="CU166" s="82"/>
      <c r="CV166" s="82"/>
      <c r="CW166" s="82"/>
      <c r="CX166" s="82"/>
      <c r="CY166" s="82"/>
      <c r="CZ166" s="82"/>
      <c r="DA166" s="73"/>
      <c r="DB166" s="99"/>
      <c r="DC166" s="82"/>
      <c r="DD166" s="82"/>
      <c r="DE166" s="82"/>
      <c r="DF166" s="82"/>
      <c r="DG166" s="82"/>
      <c r="DH166" s="82"/>
      <c r="DI166" s="82"/>
      <c r="DJ166" s="82"/>
      <c r="DK166" s="82"/>
      <c r="DL166" s="82"/>
      <c r="DM166" s="82"/>
      <c r="DN166" s="82"/>
      <c r="DO166" s="82"/>
      <c r="DP166" s="82"/>
      <c r="DQ166" s="82"/>
      <c r="DR166" s="82"/>
      <c r="DS166" s="82"/>
      <c r="DT166" s="82"/>
      <c r="DU166" s="82"/>
      <c r="DV166" s="82"/>
      <c r="DW166" s="82"/>
      <c r="DX166" s="82"/>
      <c r="DY166" s="82"/>
      <c r="DZ166" s="82"/>
      <c r="EA166" s="82"/>
      <c r="EC166" s="85"/>
    </row>
    <row r="167" spans="2:137" s="81" customFormat="1" ht="12.75" customHeight="1">
      <c r="B167" s="108"/>
      <c r="C167" s="99"/>
      <c r="D167" s="99"/>
      <c r="E167" s="99"/>
      <c r="F167" s="99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92"/>
      <c r="Z167" s="82"/>
      <c r="AA167" s="92"/>
      <c r="AB167" s="82"/>
      <c r="AC167" s="85"/>
      <c r="AD167" s="82"/>
      <c r="AE167" s="82"/>
      <c r="AF167" s="82"/>
      <c r="AG167" s="82"/>
      <c r="AH167" s="82"/>
      <c r="AI167" s="82"/>
      <c r="AJ167" s="82"/>
      <c r="AK167" s="82"/>
      <c r="AL167" s="82"/>
      <c r="AM167" s="82"/>
      <c r="AN167" s="82"/>
      <c r="AO167" s="82"/>
      <c r="AP167" s="82"/>
      <c r="AQ167" s="82"/>
      <c r="AR167" s="82"/>
      <c r="AS167" s="82"/>
      <c r="AT167" s="82"/>
      <c r="AU167" s="82"/>
      <c r="AV167" s="82"/>
      <c r="AW167" s="82"/>
      <c r="AX167" s="82"/>
      <c r="AY167" s="82"/>
      <c r="AZ167" s="82"/>
      <c r="BA167" s="82"/>
      <c r="BB167" s="82"/>
      <c r="BC167" s="82"/>
      <c r="BD167" s="82"/>
      <c r="BE167" s="82"/>
      <c r="BF167" s="82"/>
      <c r="BG167" s="82"/>
      <c r="BH167" s="82"/>
      <c r="BI167" s="82"/>
      <c r="BJ167" s="82"/>
      <c r="BK167" s="82"/>
      <c r="BL167" s="82"/>
      <c r="BM167" s="82"/>
      <c r="BN167" s="82"/>
      <c r="BO167" s="82"/>
      <c r="BP167" s="82"/>
      <c r="BQ167" s="82"/>
      <c r="BR167" s="82"/>
      <c r="BS167" s="82"/>
      <c r="BT167" s="82"/>
      <c r="BU167" s="82"/>
      <c r="BV167" s="82"/>
      <c r="BW167" s="82"/>
      <c r="BX167" s="82"/>
      <c r="BY167" s="82"/>
      <c r="BZ167" s="82"/>
      <c r="CA167" s="82"/>
      <c r="CB167" s="82"/>
      <c r="CC167" s="82"/>
      <c r="CD167" s="82"/>
      <c r="CE167" s="82"/>
      <c r="CF167" s="82"/>
      <c r="CG167" s="82"/>
      <c r="CH167" s="82"/>
      <c r="CI167" s="82"/>
      <c r="CJ167" s="82"/>
      <c r="CK167" s="82"/>
      <c r="CL167" s="82"/>
      <c r="CM167" s="82"/>
      <c r="CN167" s="82"/>
      <c r="CO167" s="82"/>
      <c r="CP167" s="82"/>
      <c r="CQ167" s="82"/>
      <c r="CR167" s="82"/>
      <c r="CS167" s="82"/>
      <c r="CT167" s="82"/>
      <c r="CU167" s="82"/>
      <c r="CV167" s="82"/>
      <c r="CW167" s="82"/>
      <c r="CX167" s="82"/>
      <c r="CY167" s="82"/>
      <c r="CZ167" s="82"/>
      <c r="DA167" s="73"/>
      <c r="DB167" s="99"/>
      <c r="DC167" s="82"/>
      <c r="DD167" s="82"/>
      <c r="DE167" s="82"/>
      <c r="DF167" s="82"/>
      <c r="DG167" s="82"/>
      <c r="DH167" s="82"/>
      <c r="DI167" s="82"/>
      <c r="DJ167" s="82"/>
      <c r="DK167" s="82"/>
      <c r="DL167" s="82"/>
      <c r="DM167" s="82"/>
      <c r="DN167" s="82"/>
      <c r="DO167" s="82"/>
      <c r="DP167" s="82"/>
      <c r="DQ167" s="82"/>
      <c r="DR167" s="82"/>
      <c r="DS167" s="82"/>
      <c r="DT167" s="82"/>
      <c r="DU167" s="82"/>
      <c r="DV167" s="82"/>
      <c r="DW167" s="82"/>
      <c r="DX167" s="82"/>
      <c r="DY167" s="82"/>
      <c r="DZ167" s="82"/>
      <c r="EA167" s="82"/>
      <c r="EC167" s="85"/>
    </row>
    <row r="168" spans="2:137" s="81" customFormat="1" ht="12.75" customHeight="1">
      <c r="B168" s="98" t="s">
        <v>646</v>
      </c>
      <c r="C168" s="99"/>
      <c r="D168" s="99"/>
      <c r="E168" s="99"/>
      <c r="F168" s="99"/>
      <c r="G168" s="84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92"/>
      <c r="Z168" s="82"/>
      <c r="AA168" s="92"/>
      <c r="AB168" s="82"/>
      <c r="AC168" s="85"/>
      <c r="AD168" s="82"/>
      <c r="AE168" s="85">
        <v>5822.1</v>
      </c>
      <c r="AF168" s="82"/>
      <c r="AG168" s="85">
        <v>5943.9</v>
      </c>
      <c r="AH168" s="85">
        <v>6032.4</v>
      </c>
      <c r="AI168" s="85">
        <v>5385.2</v>
      </c>
      <c r="AJ168" s="85">
        <v>5899.9</v>
      </c>
      <c r="AK168" s="85">
        <v>6049.7</v>
      </c>
      <c r="AL168" s="85">
        <v>10093</v>
      </c>
      <c r="AM168" s="85">
        <v>11422.2</v>
      </c>
      <c r="AN168" s="82"/>
      <c r="AO168" s="82"/>
      <c r="AP168" s="82"/>
      <c r="AQ168" s="82"/>
      <c r="AR168" s="82"/>
      <c r="AS168" s="82"/>
      <c r="AT168" s="82"/>
      <c r="AU168" s="82"/>
      <c r="AV168" s="82"/>
      <c r="AW168" s="82"/>
      <c r="AX168" s="82"/>
      <c r="AY168" s="82"/>
      <c r="AZ168" s="82"/>
      <c r="BA168" s="82"/>
      <c r="BB168" s="82"/>
      <c r="BC168" s="82"/>
      <c r="BD168" s="82"/>
      <c r="BE168" s="82"/>
      <c r="BF168" s="82"/>
      <c r="BG168" s="82"/>
      <c r="BH168" s="82"/>
      <c r="BI168" s="82"/>
      <c r="BJ168" s="82"/>
      <c r="BK168" s="82"/>
      <c r="BL168" s="82"/>
      <c r="BM168" s="82"/>
      <c r="BN168" s="82"/>
      <c r="BO168" s="82"/>
      <c r="BP168" s="82"/>
      <c r="BQ168" s="82"/>
      <c r="BR168" s="82"/>
      <c r="BS168" s="82"/>
      <c r="BT168" s="82"/>
      <c r="BU168" s="82"/>
      <c r="BV168" s="82"/>
      <c r="BW168" s="82"/>
      <c r="BX168" s="82"/>
      <c r="BY168" s="82"/>
      <c r="BZ168" s="82"/>
      <c r="CA168" s="82"/>
      <c r="CB168" s="82"/>
      <c r="CC168" s="82"/>
      <c r="CD168" s="82"/>
      <c r="CE168" s="82"/>
      <c r="CF168" s="82"/>
      <c r="CG168" s="82"/>
      <c r="CH168" s="82"/>
      <c r="CI168" s="82"/>
      <c r="CJ168" s="82"/>
      <c r="CK168" s="82"/>
      <c r="CL168" s="82"/>
      <c r="CM168" s="82"/>
      <c r="CN168" s="82"/>
      <c r="CO168" s="82"/>
      <c r="CP168" s="82"/>
      <c r="CQ168" s="82"/>
      <c r="CR168" s="82"/>
      <c r="CS168" s="82"/>
      <c r="CT168" s="82"/>
      <c r="CU168" s="82"/>
      <c r="CV168" s="82"/>
      <c r="CW168" s="82"/>
      <c r="CX168" s="82"/>
      <c r="CY168" s="82"/>
      <c r="CZ168" s="82"/>
      <c r="DA168" s="73"/>
      <c r="DB168" s="99"/>
      <c r="DC168" s="82"/>
      <c r="DD168" s="82"/>
      <c r="DE168" s="82"/>
      <c r="DF168" s="82"/>
      <c r="DG168" s="82"/>
      <c r="DH168" s="82"/>
      <c r="DI168" s="82"/>
      <c r="DJ168" s="82"/>
      <c r="DK168" s="82"/>
      <c r="DL168" s="85">
        <v>46136</v>
      </c>
      <c r="DM168" s="85">
        <v>44967</v>
      </c>
      <c r="DN168" s="85">
        <v>43298</v>
      </c>
      <c r="DO168" s="85">
        <v>43906</v>
      </c>
      <c r="DP168" s="85">
        <v>45007</v>
      </c>
      <c r="DQ168" s="85">
        <v>50091</v>
      </c>
      <c r="DR168" s="82"/>
      <c r="DS168" s="82"/>
      <c r="DT168" s="82"/>
      <c r="DU168" s="82"/>
      <c r="DV168" s="82"/>
      <c r="DW168" s="82"/>
      <c r="DX168" s="82"/>
      <c r="DY168" s="82"/>
      <c r="DZ168" s="82"/>
      <c r="EA168" s="82"/>
      <c r="EC168" s="85"/>
      <c r="EG168" s="100"/>
    </row>
    <row r="169" spans="2:137" s="81" customFormat="1" ht="12.75" customHeight="1">
      <c r="B169" s="108"/>
      <c r="C169" s="99"/>
      <c r="D169" s="99"/>
      <c r="E169" s="99"/>
      <c r="F169" s="99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92"/>
      <c r="Z169" s="82"/>
      <c r="AA169" s="92"/>
      <c r="AB169" s="82"/>
      <c r="AC169" s="85"/>
      <c r="AD169" s="82"/>
      <c r="AE169" s="82"/>
      <c r="AF169" s="82"/>
      <c r="AG169" s="82"/>
      <c r="AH169" s="82"/>
      <c r="AI169" s="82"/>
      <c r="AJ169" s="82"/>
      <c r="AK169" s="82"/>
      <c r="AL169" s="82"/>
      <c r="AM169" s="82"/>
      <c r="AN169" s="82"/>
      <c r="AO169" s="82"/>
      <c r="AP169" s="82"/>
      <c r="AQ169" s="82"/>
      <c r="AR169" s="82"/>
      <c r="AS169" s="82"/>
      <c r="AT169" s="82"/>
      <c r="AU169" s="82"/>
      <c r="AV169" s="82"/>
      <c r="AW169" s="82"/>
      <c r="AX169" s="82"/>
      <c r="AY169" s="82"/>
      <c r="AZ169" s="82"/>
      <c r="BA169" s="82"/>
      <c r="BB169" s="82"/>
      <c r="BC169" s="82"/>
      <c r="BD169" s="82"/>
      <c r="BE169" s="82"/>
      <c r="BF169" s="82"/>
      <c r="BG169" s="82"/>
      <c r="BH169" s="82"/>
      <c r="BI169" s="82"/>
      <c r="BJ169" s="82"/>
      <c r="BK169" s="82"/>
      <c r="BL169" s="82"/>
      <c r="BM169" s="82"/>
      <c r="BN169" s="82"/>
      <c r="BO169" s="82"/>
      <c r="BP169" s="82"/>
      <c r="BQ169" s="82"/>
      <c r="BR169" s="82"/>
      <c r="BS169" s="82"/>
      <c r="BT169" s="82"/>
      <c r="BU169" s="82"/>
      <c r="BV169" s="82"/>
      <c r="BW169" s="82"/>
      <c r="BX169" s="82"/>
      <c r="BY169" s="82"/>
      <c r="BZ169" s="82"/>
      <c r="CA169" s="82"/>
      <c r="CB169" s="82"/>
      <c r="CC169" s="82"/>
      <c r="CD169" s="82"/>
      <c r="CE169" s="82"/>
      <c r="CF169" s="82"/>
      <c r="CG169" s="82"/>
      <c r="CH169" s="82"/>
      <c r="CI169" s="82"/>
      <c r="CJ169" s="82"/>
      <c r="CK169" s="82"/>
      <c r="CL169" s="82"/>
      <c r="CM169" s="82"/>
      <c r="CN169" s="82"/>
      <c r="CO169" s="82"/>
      <c r="CP169" s="82"/>
      <c r="CQ169" s="82"/>
      <c r="CR169" s="82"/>
      <c r="CS169" s="82"/>
      <c r="CT169" s="82"/>
      <c r="CU169" s="82"/>
      <c r="CV169" s="82"/>
      <c r="CW169" s="82"/>
      <c r="CX169" s="82"/>
      <c r="CY169" s="82"/>
      <c r="CZ169" s="82"/>
      <c r="DA169" s="73"/>
      <c r="DB169" s="99"/>
      <c r="DC169" s="82"/>
      <c r="DD169" s="82"/>
      <c r="DE169" s="82"/>
      <c r="DF169" s="82"/>
      <c r="DG169" s="82"/>
      <c r="DH169" s="82"/>
      <c r="DI169" s="82"/>
      <c r="DJ169" s="82"/>
      <c r="DK169" s="82"/>
      <c r="DL169" s="82"/>
      <c r="DM169" s="82"/>
      <c r="DN169" s="82"/>
      <c r="DO169" s="82"/>
      <c r="DP169" s="82"/>
      <c r="DQ169" s="82"/>
      <c r="DR169" s="82"/>
      <c r="DS169" s="82"/>
      <c r="DT169" s="82"/>
      <c r="DU169" s="82"/>
      <c r="DV169" s="82"/>
      <c r="DW169" s="82"/>
      <c r="DX169" s="82"/>
      <c r="DY169" s="82"/>
      <c r="DZ169" s="82"/>
      <c r="EA169" s="82"/>
      <c r="EC169" s="85"/>
    </row>
    <row r="170" spans="2:137" s="81" customFormat="1" ht="12.75" customHeight="1">
      <c r="B170" s="98" t="s">
        <v>644</v>
      </c>
      <c r="C170" s="99"/>
      <c r="D170" s="99"/>
      <c r="E170" s="99"/>
      <c r="F170" s="99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92"/>
      <c r="Z170" s="82"/>
      <c r="AA170" s="110" t="s">
        <v>440</v>
      </c>
      <c r="AB170" s="110" t="s">
        <v>440</v>
      </c>
      <c r="AC170" s="110" t="s">
        <v>440</v>
      </c>
      <c r="AD170" s="110">
        <f t="shared" ref="AD170:AT170" si="310">+AD10/Z10-1</f>
        <v>3.7619047619047619</v>
      </c>
      <c r="AE170" s="110">
        <f t="shared" si="310"/>
        <v>2.1264367816091956</v>
      </c>
      <c r="AF170" s="110">
        <f t="shared" si="310"/>
        <v>1.3194444444444446</v>
      </c>
      <c r="AG170" s="110">
        <f t="shared" si="310"/>
        <v>1.0486486486486486</v>
      </c>
      <c r="AH170" s="110">
        <f t="shared" si="310"/>
        <v>-1</v>
      </c>
      <c r="AI170" s="110">
        <f t="shared" si="310"/>
        <v>0.51102941176470584</v>
      </c>
      <c r="AJ170" s="110">
        <f t="shared" si="310"/>
        <v>0.38323353293413165</v>
      </c>
      <c r="AK170" s="110">
        <f t="shared" si="310"/>
        <v>0.29551451187335087</v>
      </c>
      <c r="AL170" s="110" t="e">
        <f t="shared" si="310"/>
        <v>#DIV/0!</v>
      </c>
      <c r="AM170" s="110">
        <f t="shared" si="310"/>
        <v>0.24330900243308995</v>
      </c>
      <c r="AN170" s="110">
        <f t="shared" si="310"/>
        <v>0.29870129870129869</v>
      </c>
      <c r="AO170" s="110">
        <f t="shared" si="310"/>
        <v>0.22199592668024448</v>
      </c>
      <c r="AP170" s="110">
        <f t="shared" si="310"/>
        <v>0.20967741935483875</v>
      </c>
      <c r="AQ170" s="110">
        <f t="shared" si="310"/>
        <v>0.44618395303326808</v>
      </c>
      <c r="AR170" s="110">
        <f t="shared" si="310"/>
        <v>0.29833333333333334</v>
      </c>
      <c r="AS170" s="110">
        <f t="shared" si="310"/>
        <v>0.40999999999999992</v>
      </c>
      <c r="AT170" s="110">
        <f t="shared" si="310"/>
        <v>0.42222222222222228</v>
      </c>
      <c r="AU170" s="110"/>
      <c r="AV170" s="110"/>
      <c r="AW170" s="110"/>
      <c r="AX170" s="110"/>
      <c r="AY170" s="110"/>
      <c r="AZ170" s="110"/>
      <c r="BA170" s="110"/>
      <c r="BB170" s="110"/>
      <c r="BC170" s="110"/>
      <c r="BD170" s="110"/>
      <c r="BE170" s="110"/>
      <c r="BF170" s="110"/>
      <c r="BG170" s="110"/>
      <c r="BH170" s="110"/>
      <c r="BI170" s="110"/>
      <c r="BJ170" s="110"/>
      <c r="BK170" s="110"/>
      <c r="BL170" s="110"/>
      <c r="BM170" s="110"/>
      <c r="BN170" s="110"/>
      <c r="BO170" s="110"/>
      <c r="BP170" s="110"/>
      <c r="BQ170" s="110"/>
      <c r="BR170" s="110"/>
      <c r="BS170" s="110"/>
      <c r="BT170" s="110"/>
      <c r="BU170" s="110"/>
      <c r="BV170" s="110"/>
      <c r="BW170" s="110"/>
      <c r="BX170" s="110"/>
      <c r="BY170" s="110"/>
      <c r="BZ170" s="110"/>
      <c r="CA170" s="110">
        <f t="shared" ref="CA170:CJ171" si="311">+CA10/BW10-1</f>
        <v>-6.067961165048541E-2</v>
      </c>
      <c r="CB170" s="110">
        <f t="shared" si="311"/>
        <v>-5.9471365638766538E-2</v>
      </c>
      <c r="CC170" s="110">
        <f t="shared" si="311"/>
        <v>1.7348203221809078E-2</v>
      </c>
      <c r="CD170" s="110">
        <f t="shared" si="311"/>
        <v>-9.1198303287380655E-2</v>
      </c>
      <c r="CE170" s="110">
        <f t="shared" si="311"/>
        <v>4.5219638242893989E-2</v>
      </c>
      <c r="CF170" s="110">
        <f t="shared" si="311"/>
        <v>-8.1967213114754078E-2</v>
      </c>
      <c r="CG170" s="110">
        <f t="shared" si="311"/>
        <v>3.7758830694275325E-2</v>
      </c>
      <c r="CH170" s="110">
        <f t="shared" si="311"/>
        <v>2.4504084014002281E-2</v>
      </c>
      <c r="CI170" s="110">
        <f t="shared" si="311"/>
        <v>-3.7082818294190356E-2</v>
      </c>
      <c r="CJ170" s="110">
        <f t="shared" si="311"/>
        <v>-3.5714285714285698E-2</v>
      </c>
      <c r="CK170" s="110">
        <f t="shared" ref="CK170:CS171" si="312">+CK10/CG10-1</f>
        <v>-0.15845070422535212</v>
      </c>
      <c r="CL170" s="110">
        <f t="shared" si="312"/>
        <v>-0.36104783599088841</v>
      </c>
      <c r="CM170" s="110">
        <f t="shared" si="312"/>
        <v>-0.29268292682926833</v>
      </c>
      <c r="CN170" s="110">
        <f t="shared" si="312"/>
        <v>-0.32407407407407407</v>
      </c>
      <c r="CO170" s="110">
        <f t="shared" si="312"/>
        <v>-0.18967921896792195</v>
      </c>
      <c r="CP170" s="110">
        <f t="shared" si="312"/>
        <v>-2.4955436720142554E-2</v>
      </c>
      <c r="CQ170" s="110">
        <f t="shared" si="312"/>
        <v>-0.23956442831215974</v>
      </c>
      <c r="CR170" s="110">
        <f t="shared" si="312"/>
        <v>-0.20743639921722112</v>
      </c>
      <c r="CS170" s="110">
        <f t="shared" si="312"/>
        <v>-0.52151462994836484</v>
      </c>
      <c r="CT170" s="110"/>
      <c r="CU170" s="110"/>
      <c r="CV170" s="110"/>
      <c r="CW170" s="110"/>
      <c r="CX170" s="110"/>
      <c r="CY170" s="110"/>
      <c r="CZ170" s="110"/>
      <c r="DA170" s="73"/>
      <c r="DB170" s="99"/>
      <c r="DC170" s="109"/>
      <c r="DD170" s="109"/>
      <c r="DE170" s="109"/>
      <c r="DF170" s="109"/>
      <c r="DG170" s="109"/>
      <c r="DH170" s="109"/>
      <c r="DI170" s="109"/>
      <c r="DJ170" s="109"/>
      <c r="DK170" s="109"/>
      <c r="DL170" s="109"/>
      <c r="DM170" s="109"/>
      <c r="DN170" s="109"/>
      <c r="DO170" s="109"/>
      <c r="DP170" s="82"/>
      <c r="DQ170" s="82"/>
      <c r="DR170" s="82"/>
      <c r="DS170" s="82"/>
      <c r="DT170" s="82"/>
      <c r="DU170" s="82"/>
      <c r="DV170" s="82"/>
      <c r="DW170" s="82"/>
      <c r="DX170" s="82"/>
      <c r="DY170" s="82"/>
      <c r="DZ170" s="82"/>
      <c r="EA170" s="82"/>
      <c r="EC170" s="85"/>
    </row>
    <row r="171" spans="2:137" s="81" customFormat="1" ht="12.75" customHeight="1">
      <c r="B171" s="98" t="s">
        <v>662</v>
      </c>
      <c r="C171" s="99"/>
      <c r="D171" s="99"/>
      <c r="E171" s="99"/>
      <c r="F171" s="99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92"/>
      <c r="Z171" s="82"/>
      <c r="AA171" s="110" t="s">
        <v>440</v>
      </c>
      <c r="AB171" s="110" t="s">
        <v>440</v>
      </c>
      <c r="AC171" s="110" t="s">
        <v>440</v>
      </c>
      <c r="AD171" s="110" t="s">
        <v>440</v>
      </c>
      <c r="AE171" s="110" t="s">
        <v>440</v>
      </c>
      <c r="AF171" s="110">
        <f t="shared" ref="AF171:AT171" si="313">+AF11/AB11-1</f>
        <v>2</v>
      </c>
      <c r="AG171" s="110">
        <f t="shared" si="313"/>
        <v>4.3157894736842106</v>
      </c>
      <c r="AH171" s="110">
        <f t="shared" si="313"/>
        <v>-1</v>
      </c>
      <c r="AI171" s="110">
        <f t="shared" si="313"/>
        <v>1.2068965517241379</v>
      </c>
      <c r="AJ171" s="110">
        <f t="shared" si="313"/>
        <v>1.1527777777777777</v>
      </c>
      <c r="AK171" s="110">
        <f t="shared" si="313"/>
        <v>0.71287128712871284</v>
      </c>
      <c r="AL171" s="110" t="e">
        <f t="shared" si="313"/>
        <v>#DIV/0!</v>
      </c>
      <c r="AM171" s="110">
        <f t="shared" si="313"/>
        <v>0.5703125</v>
      </c>
      <c r="AN171" s="110">
        <f t="shared" si="313"/>
        <v>0.40645161290322585</v>
      </c>
      <c r="AO171" s="110">
        <f t="shared" si="313"/>
        <v>0.42774566473988429</v>
      </c>
      <c r="AP171" s="110">
        <f t="shared" si="313"/>
        <v>0.42574257425742568</v>
      </c>
      <c r="AQ171" s="110">
        <f t="shared" si="313"/>
        <v>0.51741293532338317</v>
      </c>
      <c r="AR171" s="110">
        <f t="shared" si="313"/>
        <v>0.47247706422018343</v>
      </c>
      <c r="AS171" s="110">
        <f t="shared" si="313"/>
        <v>0.417004048582996</v>
      </c>
      <c r="AT171" s="110">
        <f t="shared" si="313"/>
        <v>0.34027777777777768</v>
      </c>
      <c r="AU171" s="110"/>
      <c r="AV171" s="110"/>
      <c r="AW171" s="110"/>
      <c r="AX171" s="110"/>
      <c r="AY171" s="110"/>
      <c r="AZ171" s="110"/>
      <c r="BA171" s="110"/>
      <c r="BB171" s="110"/>
      <c r="BC171" s="110"/>
      <c r="BD171" s="110"/>
      <c r="BE171" s="110"/>
      <c r="BF171" s="110"/>
      <c r="BG171" s="110"/>
      <c r="BH171" s="110"/>
      <c r="BI171" s="110"/>
      <c r="BJ171" s="110"/>
      <c r="BK171" s="110"/>
      <c r="BL171" s="110"/>
      <c r="BM171" s="110"/>
      <c r="BN171" s="110"/>
      <c r="BO171" s="110"/>
      <c r="BP171" s="110"/>
      <c r="BQ171" s="110"/>
      <c r="BR171" s="110"/>
      <c r="BS171" s="110"/>
      <c r="BT171" s="110"/>
      <c r="BU171" s="110"/>
      <c r="BV171" s="110"/>
      <c r="BW171" s="110"/>
      <c r="BX171" s="110"/>
      <c r="BY171" s="110"/>
      <c r="BZ171" s="110"/>
      <c r="CA171" s="110">
        <f t="shared" si="311"/>
        <v>-5.0943396226415083E-2</v>
      </c>
      <c r="CB171" s="110">
        <f t="shared" si="311"/>
        <v>-8.0675422138836828E-2</v>
      </c>
      <c r="CC171" s="110">
        <f t="shared" si="311"/>
        <v>5.9642147117295874E-3</v>
      </c>
      <c r="CD171" s="110">
        <f t="shared" si="311"/>
        <v>-6.3157894736841635E-3</v>
      </c>
      <c r="CE171" s="110">
        <f t="shared" si="311"/>
        <v>-3.379721669980118E-2</v>
      </c>
      <c r="CF171" s="110">
        <f t="shared" si="311"/>
        <v>-2.6530612244897944E-2</v>
      </c>
      <c r="CG171" s="110">
        <f t="shared" si="311"/>
        <v>-3.7549407114624511E-2</v>
      </c>
      <c r="CH171" s="110">
        <f t="shared" si="311"/>
        <v>8.8983050847457612E-2</v>
      </c>
      <c r="CI171" s="110">
        <f t="shared" si="311"/>
        <v>-6.5843621399176988E-2</v>
      </c>
      <c r="CJ171" s="110">
        <f t="shared" si="311"/>
        <v>-2.0964360587002462E-3</v>
      </c>
      <c r="CK171" s="110">
        <f t="shared" si="312"/>
        <v>-0.14373716632443534</v>
      </c>
      <c r="CL171" s="110">
        <f t="shared" si="312"/>
        <v>-0.3132295719844358</v>
      </c>
      <c r="CM171" s="110">
        <f t="shared" si="312"/>
        <v>-0.27533039647577096</v>
      </c>
      <c r="CN171" s="110">
        <f t="shared" si="312"/>
        <v>-0.25630252100840334</v>
      </c>
      <c r="CO171" s="110">
        <f t="shared" si="312"/>
        <v>-0.38848920863309355</v>
      </c>
      <c r="CP171" s="110">
        <f t="shared" si="312"/>
        <v>-0.32011331444759206</v>
      </c>
      <c r="CQ171" s="110">
        <f t="shared" si="312"/>
        <v>-0.23708206686930089</v>
      </c>
      <c r="CR171" s="110">
        <f t="shared" si="312"/>
        <v>-0.36723163841807904</v>
      </c>
      <c r="CS171" s="110">
        <f t="shared" si="312"/>
        <v>-0.19999999999999996</v>
      </c>
      <c r="CT171" s="110"/>
      <c r="CU171" s="110"/>
      <c r="CV171" s="110"/>
      <c r="CW171" s="110"/>
      <c r="CX171" s="110"/>
      <c r="CY171" s="110"/>
      <c r="CZ171" s="110"/>
      <c r="DA171" s="73"/>
      <c r="DB171" s="99"/>
      <c r="DC171" s="109"/>
      <c r="DD171" s="109"/>
      <c r="DE171" s="109"/>
      <c r="DF171" s="109"/>
      <c r="DG171" s="109"/>
      <c r="DH171" s="109"/>
      <c r="DI171" s="109"/>
      <c r="DJ171" s="109"/>
      <c r="DK171" s="109"/>
      <c r="DL171" s="109"/>
      <c r="DM171" s="109"/>
      <c r="DN171" s="109"/>
      <c r="DO171" s="109"/>
      <c r="DP171" s="82"/>
      <c r="DQ171" s="82"/>
      <c r="DR171" s="82"/>
      <c r="DS171" s="82"/>
      <c r="DT171" s="82"/>
      <c r="DU171" s="82"/>
      <c r="DV171" s="82"/>
      <c r="DW171" s="82"/>
      <c r="DX171" s="82"/>
      <c r="DY171" s="82"/>
      <c r="DZ171" s="82"/>
      <c r="EA171" s="82"/>
      <c r="EC171" s="85"/>
    </row>
    <row r="172" spans="2:137" s="81" customFormat="1" ht="12.75" customHeight="1">
      <c r="B172" s="98" t="s">
        <v>659</v>
      </c>
      <c r="C172" s="99"/>
      <c r="D172" s="99"/>
      <c r="E172" s="99"/>
      <c r="F172" s="99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92"/>
      <c r="Z172" s="82"/>
      <c r="AA172" s="110"/>
      <c r="AB172" s="110"/>
      <c r="AC172" s="110"/>
      <c r="AD172" s="110" t="s">
        <v>440</v>
      </c>
      <c r="AE172" s="110" t="s">
        <v>440</v>
      </c>
      <c r="AF172" s="110" t="s">
        <v>440</v>
      </c>
      <c r="AG172" s="110" t="s">
        <v>440</v>
      </c>
      <c r="AH172" s="110">
        <f t="shared" ref="AH172:AT172" si="314">+AH22/AD22-1</f>
        <v>7.9120879120879062E-2</v>
      </c>
      <c r="AI172" s="110">
        <f t="shared" si="314"/>
        <v>2.1696252465483346E-2</v>
      </c>
      <c r="AJ172" s="110">
        <f t="shared" si="314"/>
        <v>1.4362657091562037E-2</v>
      </c>
      <c r="AK172" s="110">
        <f t="shared" si="314"/>
        <v>7.8014184397163122E-2</v>
      </c>
      <c r="AL172" s="110">
        <f t="shared" si="314"/>
        <v>-0.12219959266802449</v>
      </c>
      <c r="AM172" s="110">
        <f t="shared" si="314"/>
        <v>0.30115830115830122</v>
      </c>
      <c r="AN172" s="110">
        <f t="shared" si="314"/>
        <v>0.1840707964601771</v>
      </c>
      <c r="AO172" s="110">
        <f t="shared" si="314"/>
        <v>8.7171052631578982E-2</v>
      </c>
      <c r="AP172" s="110">
        <f t="shared" si="314"/>
        <v>0.64733178654292334</v>
      </c>
      <c r="AQ172" s="110">
        <f t="shared" si="314"/>
        <v>0.1172106824925816</v>
      </c>
      <c r="AR172" s="110">
        <f t="shared" si="314"/>
        <v>0.25859491778774291</v>
      </c>
      <c r="AS172" s="110">
        <f t="shared" si="314"/>
        <v>-0.15128593040847205</v>
      </c>
      <c r="AT172" s="110">
        <f t="shared" si="314"/>
        <v>-0.28028169014084503</v>
      </c>
      <c r="AU172" s="110"/>
      <c r="AV172" s="110"/>
      <c r="AW172" s="110"/>
      <c r="AX172" s="110"/>
      <c r="AY172" s="110"/>
      <c r="AZ172" s="110"/>
      <c r="BA172" s="110"/>
      <c r="BB172" s="110"/>
      <c r="BC172" s="110"/>
      <c r="BD172" s="110"/>
      <c r="BE172" s="110"/>
      <c r="BF172" s="110"/>
      <c r="BG172" s="110"/>
      <c r="BH172" s="110"/>
      <c r="BI172" s="110"/>
      <c r="BJ172" s="110"/>
      <c r="BK172" s="110"/>
      <c r="BL172" s="110"/>
      <c r="BM172" s="110"/>
      <c r="BN172" s="110"/>
      <c r="BO172" s="110"/>
      <c r="BP172" s="110"/>
      <c r="BQ172" s="110"/>
      <c r="BR172" s="110"/>
      <c r="BS172" s="110"/>
      <c r="BT172" s="110"/>
      <c r="BU172" s="110"/>
      <c r="BV172" s="110"/>
      <c r="BW172" s="110"/>
      <c r="BX172" s="110"/>
      <c r="BY172" s="110"/>
      <c r="BZ172" s="110"/>
      <c r="CA172" s="110"/>
      <c r="CB172" s="110"/>
      <c r="CC172" s="110"/>
      <c r="CD172" s="110"/>
      <c r="CE172" s="110"/>
      <c r="CF172" s="110"/>
      <c r="CG172" s="110"/>
      <c r="CH172" s="110"/>
      <c r="CI172" s="110"/>
      <c r="CJ172" s="110"/>
      <c r="CK172" s="110"/>
      <c r="CL172" s="110"/>
      <c r="CM172" s="110"/>
      <c r="CN172" s="110"/>
      <c r="CO172" s="110"/>
      <c r="CP172" s="110"/>
      <c r="CQ172" s="110"/>
      <c r="CR172" s="110"/>
      <c r="CS172" s="110"/>
      <c r="CT172" s="110"/>
      <c r="CU172" s="110"/>
      <c r="CV172" s="110"/>
      <c r="CW172" s="110"/>
      <c r="CX172" s="110"/>
      <c r="CY172" s="110"/>
      <c r="CZ172" s="110"/>
      <c r="DA172" s="73"/>
      <c r="DB172" s="99"/>
      <c r="DC172" s="109"/>
      <c r="DD172" s="109"/>
      <c r="DE172" s="109"/>
      <c r="DF172" s="109"/>
      <c r="DG172" s="109"/>
      <c r="DH172" s="109"/>
      <c r="DI172" s="109"/>
      <c r="DJ172" s="109"/>
      <c r="DK172" s="109"/>
      <c r="DL172" s="109"/>
      <c r="DM172" s="109"/>
      <c r="DN172" s="109"/>
      <c r="DO172" s="109"/>
      <c r="DP172" s="82"/>
      <c r="DQ172" s="82"/>
      <c r="DR172" s="82"/>
      <c r="DS172" s="82"/>
      <c r="DT172" s="82"/>
      <c r="DU172" s="82"/>
      <c r="DV172" s="82"/>
      <c r="DW172" s="82"/>
      <c r="DX172" s="82"/>
      <c r="DY172" s="82"/>
      <c r="DZ172" s="82"/>
      <c r="EA172" s="82"/>
      <c r="EC172" s="85"/>
    </row>
    <row r="173" spans="2:137" s="81" customFormat="1" ht="12.75" customHeight="1">
      <c r="B173" s="98" t="s">
        <v>660</v>
      </c>
      <c r="C173" s="99"/>
      <c r="D173" s="99"/>
      <c r="E173" s="99"/>
      <c r="F173" s="99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92"/>
      <c r="Z173" s="82"/>
      <c r="AA173" s="110"/>
      <c r="AB173" s="110"/>
      <c r="AC173" s="110"/>
      <c r="AD173" s="110">
        <f t="shared" ref="AD173:AT173" si="315">+AD51/Z51-1</f>
        <v>8.5187194791101595E-2</v>
      </c>
      <c r="AE173" s="110">
        <f t="shared" si="315"/>
        <v>4.3924334722667657E-2</v>
      </c>
      <c r="AF173" s="110">
        <f t="shared" si="315"/>
        <v>-0.13738344988344986</v>
      </c>
      <c r="AG173" s="110">
        <f t="shared" si="315"/>
        <v>-0.18152958152958143</v>
      </c>
      <c r="AH173" s="110">
        <f t="shared" si="315"/>
        <v>-3.7999999999999923E-2</v>
      </c>
      <c r="AI173" s="110">
        <f t="shared" si="315"/>
        <v>-0.26750614250614257</v>
      </c>
      <c r="AJ173" s="110">
        <f t="shared" si="315"/>
        <v>-0.10150312447221754</v>
      </c>
      <c r="AK173" s="110">
        <f t="shared" si="315"/>
        <v>-7.4400564174894268E-2</v>
      </c>
      <c r="AL173" s="110">
        <f t="shared" si="315"/>
        <v>-3.4650034650041128E-4</v>
      </c>
      <c r="AM173" s="110">
        <f t="shared" si="315"/>
        <v>0</v>
      </c>
      <c r="AN173" s="110">
        <f t="shared" si="315"/>
        <v>-7.8947368421052655E-2</v>
      </c>
      <c r="AO173" s="110">
        <f t="shared" si="315"/>
        <v>-7.6190476190476142E-2</v>
      </c>
      <c r="AP173" s="110">
        <f t="shared" si="315"/>
        <v>-2.5996533795493937E-2</v>
      </c>
      <c r="AQ173" s="110">
        <f t="shared" si="315"/>
        <v>6.2893081761006275E-3</v>
      </c>
      <c r="AR173" s="110">
        <f t="shared" si="315"/>
        <v>-6.3265306122448961E-2</v>
      </c>
      <c r="AS173" s="110">
        <f t="shared" si="315"/>
        <v>-3.2989690721649478E-2</v>
      </c>
      <c r="AT173" s="110">
        <f t="shared" si="315"/>
        <v>-0.15480427046263345</v>
      </c>
      <c r="AU173" s="110"/>
      <c r="AV173" s="110"/>
      <c r="AW173" s="110"/>
      <c r="AX173" s="110"/>
      <c r="AY173" s="110"/>
      <c r="AZ173" s="110"/>
      <c r="BA173" s="110"/>
      <c r="BB173" s="110"/>
      <c r="BC173" s="110"/>
      <c r="BD173" s="110"/>
      <c r="BE173" s="110"/>
      <c r="BF173" s="110"/>
      <c r="BG173" s="110"/>
      <c r="BH173" s="110"/>
      <c r="BI173" s="110"/>
      <c r="BJ173" s="110"/>
      <c r="BK173" s="110"/>
      <c r="BL173" s="110"/>
      <c r="BM173" s="110"/>
      <c r="BN173" s="110"/>
      <c r="BO173" s="110"/>
      <c r="BP173" s="110"/>
      <c r="BQ173" s="110"/>
      <c r="BR173" s="110"/>
      <c r="BS173" s="110"/>
      <c r="BT173" s="110"/>
      <c r="BU173" s="110"/>
      <c r="BV173" s="110"/>
      <c r="BW173" s="110"/>
      <c r="BX173" s="110"/>
      <c r="BY173" s="110"/>
      <c r="BZ173" s="110"/>
      <c r="CA173" s="110"/>
      <c r="CB173" s="110"/>
      <c r="CC173" s="110"/>
      <c r="CD173" s="110"/>
      <c r="CE173" s="110"/>
      <c r="CF173" s="110"/>
      <c r="CG173" s="110"/>
      <c r="CH173" s="110"/>
      <c r="CI173" s="110"/>
      <c r="CJ173" s="110"/>
      <c r="CK173" s="110"/>
      <c r="CL173" s="110"/>
      <c r="CM173" s="110"/>
      <c r="CN173" s="110"/>
      <c r="CO173" s="110"/>
      <c r="CP173" s="110"/>
      <c r="CQ173" s="110"/>
      <c r="CR173" s="110"/>
      <c r="CS173" s="110"/>
      <c r="CT173" s="110"/>
      <c r="CU173" s="110"/>
      <c r="CV173" s="110"/>
      <c r="CW173" s="110"/>
      <c r="CX173" s="110"/>
      <c r="CY173" s="110"/>
      <c r="CZ173" s="110"/>
      <c r="DA173" s="73"/>
      <c r="DB173" s="99"/>
      <c r="DC173" s="109"/>
      <c r="DD173" s="109"/>
      <c r="DE173" s="109"/>
      <c r="DF173" s="109"/>
      <c r="DG173" s="109"/>
      <c r="DH173" s="109"/>
      <c r="DI173" s="109"/>
      <c r="DJ173" s="109"/>
      <c r="DK173" s="109"/>
      <c r="DL173" s="109"/>
      <c r="DM173" s="109"/>
      <c r="DN173" s="109"/>
      <c r="DO173" s="109"/>
      <c r="DP173" s="82"/>
      <c r="DQ173" s="82"/>
      <c r="DR173" s="82"/>
      <c r="DS173" s="82"/>
      <c r="DT173" s="82"/>
      <c r="DU173" s="82"/>
      <c r="DV173" s="82"/>
      <c r="DW173" s="82"/>
      <c r="DX173" s="82"/>
      <c r="DY173" s="82"/>
      <c r="DZ173" s="82"/>
      <c r="EA173" s="82"/>
      <c r="EC173" s="85"/>
    </row>
    <row r="174" spans="2:137" s="81" customFormat="1" ht="12.75" customHeight="1">
      <c r="B174" s="98" t="s">
        <v>661</v>
      </c>
      <c r="C174" s="99"/>
      <c r="D174" s="99"/>
      <c r="E174" s="99"/>
      <c r="F174" s="99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92"/>
      <c r="Z174" s="82"/>
      <c r="AA174" s="110"/>
      <c r="AB174" s="110"/>
      <c r="AC174" s="110"/>
      <c r="AD174" s="110">
        <f t="shared" ref="AD174:AT174" si="316">+AD50/Z50-1</f>
        <v>0.13784741652676735</v>
      </c>
      <c r="AE174" s="110">
        <f t="shared" si="316"/>
        <v>6.9301470588235325E-2</v>
      </c>
      <c r="AF174" s="110">
        <f t="shared" si="316"/>
        <v>-2.9610389610389642E-2</v>
      </c>
      <c r="AG174" s="110">
        <f t="shared" si="316"/>
        <v>-0.11976935749588147</v>
      </c>
      <c r="AH174" s="110">
        <f t="shared" si="316"/>
        <v>-1</v>
      </c>
      <c r="AI174" s="110">
        <f t="shared" si="316"/>
        <v>-0.12325941206807645</v>
      </c>
      <c r="AJ174" s="110">
        <f t="shared" si="316"/>
        <v>-7.8515346181298185E-3</v>
      </c>
      <c r="AK174" s="110">
        <f t="shared" si="316"/>
        <v>5.371514130638233E-2</v>
      </c>
      <c r="AL174" s="110" t="e">
        <f t="shared" si="316"/>
        <v>#DIV/0!</v>
      </c>
      <c r="AM174" s="110">
        <f t="shared" si="316"/>
        <v>4.705882352941182E-2</v>
      </c>
      <c r="AN174" s="110">
        <f t="shared" si="316"/>
        <v>1.4388489208633004E-2</v>
      </c>
      <c r="AO174" s="110">
        <f t="shared" si="316"/>
        <v>1.4209591474245054E-2</v>
      </c>
      <c r="AP174" s="110">
        <f t="shared" si="316"/>
        <v>2.4429967426710109E-2</v>
      </c>
      <c r="AQ174" s="110">
        <f t="shared" si="316"/>
        <v>8.98876404494382E-2</v>
      </c>
      <c r="AR174" s="110">
        <f t="shared" si="316"/>
        <v>4.9645390070921946E-2</v>
      </c>
      <c r="AS174" s="110">
        <f t="shared" si="316"/>
        <v>7.5306479859895026E-2</v>
      </c>
      <c r="AT174" s="110">
        <f t="shared" si="316"/>
        <v>1.7488076311605649E-2</v>
      </c>
      <c r="AU174" s="110"/>
      <c r="AV174" s="110"/>
      <c r="AW174" s="110"/>
      <c r="AX174" s="110"/>
      <c r="AY174" s="110"/>
      <c r="AZ174" s="110"/>
      <c r="BA174" s="110"/>
      <c r="BB174" s="110"/>
      <c r="BC174" s="110"/>
      <c r="BD174" s="110"/>
      <c r="BE174" s="110"/>
      <c r="BF174" s="110"/>
      <c r="BG174" s="110"/>
      <c r="BH174" s="110"/>
      <c r="BI174" s="110"/>
      <c r="BJ174" s="110"/>
      <c r="BK174" s="110"/>
      <c r="BL174" s="110"/>
      <c r="BM174" s="110"/>
      <c r="BN174" s="110"/>
      <c r="BO174" s="110"/>
      <c r="BP174" s="110"/>
      <c r="BQ174" s="110"/>
      <c r="BR174" s="110"/>
      <c r="BS174" s="110"/>
      <c r="BT174" s="110"/>
      <c r="BU174" s="110"/>
      <c r="BV174" s="110"/>
      <c r="BW174" s="110"/>
      <c r="BX174" s="110"/>
      <c r="BY174" s="110"/>
      <c r="BZ174" s="110"/>
      <c r="CA174" s="110"/>
      <c r="CB174" s="110"/>
      <c r="CC174" s="110"/>
      <c r="CD174" s="110"/>
      <c r="CE174" s="110"/>
      <c r="CF174" s="110"/>
      <c r="CG174" s="110"/>
      <c r="CH174" s="110"/>
      <c r="CI174" s="110"/>
      <c r="CJ174" s="110"/>
      <c r="CK174" s="110"/>
      <c r="CL174" s="110"/>
      <c r="CM174" s="110"/>
      <c r="CN174" s="110"/>
      <c r="CO174" s="110"/>
      <c r="CP174" s="110"/>
      <c r="CQ174" s="110"/>
      <c r="CR174" s="110"/>
      <c r="CS174" s="110"/>
      <c r="CT174" s="110"/>
      <c r="CU174" s="110"/>
      <c r="CV174" s="110"/>
      <c r="CW174" s="110"/>
      <c r="CX174" s="110"/>
      <c r="CY174" s="110"/>
      <c r="CZ174" s="110"/>
      <c r="DA174" s="73"/>
      <c r="DB174" s="99"/>
      <c r="DC174" s="109"/>
      <c r="DD174" s="109"/>
      <c r="DE174" s="109"/>
      <c r="DF174" s="109"/>
      <c r="DG174" s="109"/>
      <c r="DH174" s="109"/>
      <c r="DI174" s="109"/>
      <c r="DJ174" s="109"/>
      <c r="DK174" s="109"/>
      <c r="DL174" s="109"/>
      <c r="DM174" s="109"/>
      <c r="DN174" s="109"/>
      <c r="DO174" s="109"/>
      <c r="DP174" s="82"/>
      <c r="DQ174" s="82"/>
      <c r="DR174" s="82"/>
      <c r="DS174" s="82"/>
      <c r="DT174" s="82"/>
      <c r="DU174" s="82"/>
      <c r="DV174" s="82"/>
      <c r="DW174" s="82"/>
      <c r="DX174" s="82"/>
      <c r="DY174" s="82"/>
      <c r="DZ174" s="82"/>
      <c r="EA174" s="82"/>
      <c r="EC174" s="85"/>
    </row>
    <row r="175" spans="2:137" s="81" customFormat="1" ht="12.75" customHeight="1">
      <c r="B175" s="108"/>
      <c r="C175" s="99"/>
      <c r="D175" s="99"/>
      <c r="E175" s="99"/>
      <c r="F175" s="99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92"/>
      <c r="Z175" s="82"/>
      <c r="AA175" s="92"/>
      <c r="AB175" s="82"/>
      <c r="AC175" s="85"/>
      <c r="AD175" s="82"/>
      <c r="AE175" s="82"/>
      <c r="AF175" s="82"/>
      <c r="AG175" s="82"/>
      <c r="AH175" s="82"/>
      <c r="AI175" s="82"/>
      <c r="AJ175" s="82"/>
      <c r="AK175" s="82"/>
      <c r="AL175" s="82"/>
      <c r="AM175" s="82"/>
      <c r="AN175" s="82"/>
      <c r="AO175" s="82"/>
      <c r="AP175" s="82"/>
      <c r="AQ175" s="82"/>
      <c r="AR175" s="82"/>
      <c r="AS175" s="82"/>
      <c r="AT175" s="82"/>
      <c r="AU175" s="82"/>
      <c r="AV175" s="82"/>
      <c r="AW175" s="82"/>
      <c r="AX175" s="82"/>
      <c r="AY175" s="82"/>
      <c r="AZ175" s="82"/>
      <c r="BA175" s="82"/>
      <c r="BB175" s="82"/>
      <c r="BC175" s="82"/>
      <c r="BD175" s="82"/>
      <c r="BE175" s="82"/>
      <c r="BF175" s="82"/>
      <c r="BG175" s="82"/>
      <c r="BH175" s="82"/>
      <c r="BI175" s="82"/>
      <c r="BJ175" s="82"/>
      <c r="BK175" s="82"/>
      <c r="BL175" s="82"/>
      <c r="BM175" s="82"/>
      <c r="BN175" s="82"/>
      <c r="BO175" s="82"/>
      <c r="BP175" s="82"/>
      <c r="BQ175" s="82"/>
      <c r="BR175" s="82"/>
      <c r="BS175" s="82"/>
      <c r="BT175" s="82"/>
      <c r="BU175" s="82"/>
      <c r="BV175" s="82"/>
      <c r="BW175" s="82"/>
      <c r="BX175" s="82"/>
      <c r="BY175" s="82"/>
      <c r="BZ175" s="82"/>
      <c r="CA175" s="82"/>
      <c r="CB175" s="82"/>
      <c r="CC175" s="82"/>
      <c r="CD175" s="82"/>
      <c r="CE175" s="82"/>
      <c r="CF175" s="82"/>
      <c r="CG175" s="82"/>
      <c r="CH175" s="82"/>
      <c r="CI175" s="82"/>
      <c r="CJ175" s="82"/>
      <c r="CK175" s="82"/>
      <c r="CL175" s="82"/>
      <c r="CM175" s="82"/>
      <c r="CN175" s="82"/>
      <c r="CO175" s="82"/>
      <c r="CP175" s="82"/>
      <c r="CQ175" s="82"/>
      <c r="CR175" s="82"/>
      <c r="CS175" s="82"/>
      <c r="CT175" s="82"/>
      <c r="CU175" s="82"/>
      <c r="CV175" s="82"/>
      <c r="CW175" s="82"/>
      <c r="CX175" s="82"/>
      <c r="CY175" s="82"/>
      <c r="CZ175" s="82"/>
      <c r="DA175" s="73"/>
      <c r="DB175" s="99"/>
      <c r="DC175" s="82"/>
      <c r="DD175" s="82"/>
      <c r="DE175" s="82"/>
      <c r="DF175" s="82"/>
      <c r="DG175" s="82"/>
      <c r="DH175" s="82"/>
      <c r="DI175" s="82"/>
      <c r="DJ175" s="82"/>
      <c r="DK175" s="82"/>
      <c r="DL175" s="82"/>
      <c r="DM175" s="82"/>
      <c r="DN175" s="82"/>
      <c r="DO175" s="82"/>
      <c r="DP175" s="82"/>
      <c r="DQ175" s="82"/>
      <c r="DR175" s="82"/>
      <c r="DS175" s="82"/>
      <c r="DT175" s="82"/>
      <c r="DU175" s="82"/>
      <c r="DV175" s="82"/>
      <c r="DW175" s="82"/>
      <c r="DX175" s="82"/>
      <c r="DY175" s="82"/>
      <c r="DZ175" s="82"/>
      <c r="EA175" s="82"/>
      <c r="EC175" s="85"/>
    </row>
    <row r="176" spans="2:137" s="81" customFormat="1" ht="12.75" customHeight="1">
      <c r="B176" s="108"/>
      <c r="C176" s="99"/>
      <c r="D176" s="99"/>
      <c r="E176" s="99"/>
      <c r="F176" s="99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92"/>
      <c r="Z176" s="82"/>
      <c r="AA176" s="92"/>
      <c r="AB176" s="82"/>
      <c r="AC176" s="85"/>
      <c r="AD176" s="82"/>
      <c r="AE176" s="82"/>
      <c r="AF176" s="82"/>
      <c r="AG176" s="82"/>
      <c r="AH176" s="82"/>
      <c r="AI176" s="82"/>
      <c r="AJ176" s="82"/>
      <c r="AK176" s="82"/>
      <c r="AL176" s="82"/>
      <c r="AM176" s="82"/>
      <c r="AN176" s="82"/>
      <c r="AO176" s="82"/>
      <c r="AP176" s="82"/>
      <c r="AQ176" s="82"/>
      <c r="AR176" s="82"/>
      <c r="AS176" s="82"/>
      <c r="AT176" s="82"/>
      <c r="AU176" s="82"/>
      <c r="AV176" s="82"/>
      <c r="AW176" s="82"/>
      <c r="AX176" s="82"/>
      <c r="AY176" s="82"/>
      <c r="AZ176" s="82"/>
      <c r="BA176" s="82"/>
      <c r="BB176" s="82"/>
      <c r="BC176" s="82"/>
      <c r="BD176" s="82"/>
      <c r="BE176" s="82"/>
      <c r="BF176" s="82"/>
      <c r="BG176" s="82"/>
      <c r="BH176" s="82"/>
      <c r="BI176" s="82"/>
      <c r="BJ176" s="82"/>
      <c r="BK176" s="82"/>
      <c r="BL176" s="82"/>
      <c r="BM176" s="82"/>
      <c r="BN176" s="82"/>
      <c r="BO176" s="82"/>
      <c r="BP176" s="82"/>
      <c r="BQ176" s="82"/>
      <c r="BR176" s="82"/>
      <c r="BS176" s="82"/>
      <c r="BT176" s="82"/>
      <c r="BU176" s="82"/>
      <c r="BV176" s="82"/>
      <c r="BW176" s="82"/>
      <c r="BX176" s="82"/>
      <c r="BY176" s="82"/>
      <c r="BZ176" s="82"/>
      <c r="CA176" s="82"/>
      <c r="CB176" s="82"/>
      <c r="CC176" s="82"/>
      <c r="CD176" s="82"/>
      <c r="CE176" s="82"/>
      <c r="CF176" s="82"/>
      <c r="CG176" s="82"/>
      <c r="CH176" s="82"/>
      <c r="CI176" s="82"/>
      <c r="CJ176" s="82"/>
      <c r="CK176" s="82"/>
      <c r="CL176" s="82"/>
      <c r="CM176" s="82"/>
      <c r="CN176" s="82"/>
      <c r="CO176" s="82"/>
      <c r="CP176" s="82"/>
      <c r="CQ176" s="82"/>
      <c r="CR176" s="82"/>
      <c r="CS176" s="82"/>
      <c r="CT176" s="82"/>
      <c r="CU176" s="82"/>
      <c r="CV176" s="82"/>
      <c r="CW176" s="82"/>
      <c r="CX176" s="82"/>
      <c r="CY176" s="82"/>
      <c r="CZ176" s="82"/>
      <c r="DA176" s="73"/>
      <c r="DB176" s="99"/>
      <c r="DC176" s="82"/>
      <c r="DD176" s="82"/>
      <c r="DE176" s="82"/>
      <c r="DF176" s="82"/>
      <c r="DG176" s="82"/>
      <c r="DH176" s="82"/>
      <c r="DI176" s="82"/>
      <c r="DJ176" s="82"/>
      <c r="DK176" s="82"/>
      <c r="DL176" s="82"/>
      <c r="DM176" s="82"/>
      <c r="DN176" s="82"/>
      <c r="DO176" s="82"/>
      <c r="DP176" s="82"/>
      <c r="DQ176" s="82"/>
      <c r="DR176" s="82"/>
      <c r="DS176" s="82"/>
      <c r="DT176" s="82"/>
      <c r="DU176" s="82"/>
      <c r="DV176" s="82"/>
      <c r="DW176" s="82"/>
      <c r="DX176" s="82"/>
      <c r="DY176" s="82"/>
      <c r="DZ176" s="82"/>
      <c r="EA176" s="82"/>
      <c r="EC176" s="85"/>
    </row>
    <row r="177" spans="2:133" s="81" customFormat="1" ht="12.75" customHeight="1">
      <c r="B177" s="108"/>
      <c r="C177" s="99"/>
      <c r="D177" s="99"/>
      <c r="E177" s="99"/>
      <c r="F177" s="99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92"/>
      <c r="Z177" s="82"/>
      <c r="AA177" s="92"/>
      <c r="AB177" s="82"/>
      <c r="AC177" s="85"/>
      <c r="AD177" s="82"/>
      <c r="AE177" s="82"/>
      <c r="AF177" s="82"/>
      <c r="AG177" s="82"/>
      <c r="AH177" s="82"/>
      <c r="AI177" s="82"/>
      <c r="AJ177" s="82"/>
      <c r="AK177" s="82"/>
      <c r="AL177" s="82"/>
      <c r="AM177" s="82"/>
      <c r="AN177" s="82"/>
      <c r="AO177" s="82"/>
      <c r="AP177" s="82"/>
      <c r="AQ177" s="82"/>
      <c r="AR177" s="82"/>
      <c r="AS177" s="82"/>
      <c r="AT177" s="82"/>
      <c r="AU177" s="82"/>
      <c r="AV177" s="82"/>
      <c r="AW177" s="82"/>
      <c r="AX177" s="82"/>
      <c r="AY177" s="82"/>
      <c r="AZ177" s="82"/>
      <c r="BA177" s="82"/>
      <c r="BB177" s="82"/>
      <c r="BC177" s="82"/>
      <c r="BD177" s="82"/>
      <c r="BE177" s="82"/>
      <c r="BF177" s="82"/>
      <c r="BG177" s="82"/>
      <c r="BH177" s="82"/>
      <c r="BI177" s="82"/>
      <c r="BJ177" s="82"/>
      <c r="BK177" s="82"/>
      <c r="BL177" s="82"/>
      <c r="BM177" s="82"/>
      <c r="BN177" s="82"/>
      <c r="BO177" s="82"/>
      <c r="BP177" s="82"/>
      <c r="BQ177" s="82"/>
      <c r="BR177" s="82"/>
      <c r="BS177" s="82"/>
      <c r="BT177" s="82"/>
      <c r="BU177" s="82"/>
      <c r="BV177" s="82"/>
      <c r="BW177" s="82"/>
      <c r="BX177" s="82"/>
      <c r="BY177" s="82"/>
      <c r="BZ177" s="82"/>
      <c r="CA177" s="82"/>
      <c r="CB177" s="82"/>
      <c r="CC177" s="82"/>
      <c r="CD177" s="82"/>
      <c r="CE177" s="82"/>
      <c r="CF177" s="82"/>
      <c r="CG177" s="82"/>
      <c r="CH177" s="82"/>
      <c r="CI177" s="82"/>
      <c r="CJ177" s="82"/>
      <c r="CK177" s="82"/>
      <c r="CL177" s="82"/>
      <c r="CM177" s="82"/>
      <c r="CN177" s="82"/>
      <c r="CO177" s="82"/>
      <c r="CP177" s="82"/>
      <c r="CQ177" s="82"/>
      <c r="CR177" s="82"/>
      <c r="CS177" s="82"/>
      <c r="CT177" s="82"/>
      <c r="CU177" s="82"/>
      <c r="CV177" s="82"/>
      <c r="CW177" s="82"/>
      <c r="CX177" s="82"/>
      <c r="CY177" s="82"/>
      <c r="CZ177" s="82"/>
      <c r="DA177" s="73"/>
      <c r="DB177" s="99"/>
      <c r="DC177" s="82"/>
      <c r="DD177" s="82"/>
      <c r="DE177" s="82"/>
      <c r="DF177" s="82"/>
      <c r="DG177" s="82"/>
      <c r="DH177" s="82"/>
      <c r="DI177" s="82"/>
      <c r="DJ177" s="82"/>
      <c r="DK177" s="82"/>
      <c r="DL177" s="82"/>
      <c r="DM177" s="82"/>
      <c r="DN177" s="82"/>
      <c r="DO177" s="82"/>
      <c r="DP177" s="82"/>
      <c r="DQ177" s="82"/>
      <c r="DR177" s="82"/>
      <c r="DS177" s="82"/>
      <c r="DT177" s="82"/>
      <c r="DU177" s="82"/>
      <c r="DV177" s="82"/>
      <c r="DW177" s="82"/>
      <c r="DX177" s="82"/>
      <c r="DY177" s="82"/>
      <c r="DZ177" s="82"/>
      <c r="EA177" s="82"/>
      <c r="EC177" s="85"/>
    </row>
    <row r="178" spans="2:133" s="81" customFormat="1" ht="12.75" customHeight="1">
      <c r="B178" s="108"/>
      <c r="C178" s="99"/>
      <c r="D178" s="99"/>
      <c r="E178" s="99"/>
      <c r="F178" s="99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92"/>
      <c r="Z178" s="82"/>
      <c r="AA178" s="92"/>
      <c r="AB178" s="82"/>
      <c r="AC178" s="85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82"/>
      <c r="AR178" s="82"/>
      <c r="AS178" s="82"/>
      <c r="AT178" s="82"/>
      <c r="AU178" s="82"/>
      <c r="AV178" s="82"/>
      <c r="AW178" s="82"/>
      <c r="AX178" s="82"/>
      <c r="AY178" s="82"/>
      <c r="AZ178" s="82"/>
      <c r="BA178" s="82"/>
      <c r="BB178" s="82"/>
      <c r="BC178" s="82"/>
      <c r="BD178" s="82"/>
      <c r="BE178" s="82"/>
      <c r="BF178" s="82"/>
      <c r="BG178" s="82"/>
      <c r="BH178" s="82"/>
      <c r="BI178" s="82"/>
      <c r="BJ178" s="82"/>
      <c r="BK178" s="82"/>
      <c r="BL178" s="82"/>
      <c r="BM178" s="82"/>
      <c r="BN178" s="82"/>
      <c r="BO178" s="82"/>
      <c r="BP178" s="82"/>
      <c r="BQ178" s="82"/>
      <c r="BR178" s="82"/>
      <c r="BS178" s="82"/>
      <c r="BT178" s="82"/>
      <c r="BU178" s="82"/>
      <c r="BV178" s="82"/>
      <c r="BW178" s="82"/>
      <c r="BX178" s="82"/>
      <c r="BY178" s="82"/>
      <c r="BZ178" s="82"/>
      <c r="CA178" s="82"/>
      <c r="CB178" s="82"/>
      <c r="CC178" s="82"/>
      <c r="CD178" s="82"/>
      <c r="CE178" s="82"/>
      <c r="CF178" s="82"/>
      <c r="CG178" s="82"/>
      <c r="CH178" s="82"/>
      <c r="CI178" s="82"/>
      <c r="CJ178" s="82"/>
      <c r="CK178" s="82"/>
      <c r="CL178" s="82"/>
      <c r="CM178" s="82"/>
      <c r="CN178" s="82"/>
      <c r="CO178" s="82"/>
      <c r="CP178" s="82"/>
      <c r="CQ178" s="82"/>
      <c r="CR178" s="82"/>
      <c r="CS178" s="82"/>
      <c r="CT178" s="82"/>
      <c r="CU178" s="82"/>
      <c r="CV178" s="82"/>
      <c r="CW178" s="82"/>
      <c r="CX178" s="82"/>
      <c r="CY178" s="82"/>
      <c r="CZ178" s="82"/>
      <c r="DA178" s="73"/>
      <c r="DB178" s="99"/>
      <c r="DC178" s="82"/>
      <c r="DD178" s="82"/>
      <c r="DE178" s="82"/>
      <c r="DF178" s="82"/>
      <c r="DG178" s="82"/>
      <c r="DH178" s="82"/>
      <c r="DI178" s="82"/>
      <c r="DJ178" s="82"/>
      <c r="DK178" s="82"/>
      <c r="DL178" s="82"/>
      <c r="DM178" s="82"/>
      <c r="DN178" s="82"/>
      <c r="DO178" s="82"/>
      <c r="DP178" s="82"/>
      <c r="DQ178" s="82"/>
      <c r="DR178" s="82"/>
      <c r="DS178" s="82"/>
      <c r="DT178" s="82"/>
      <c r="DU178" s="82"/>
      <c r="DV178" s="82"/>
      <c r="DW178" s="82"/>
      <c r="DX178" s="82"/>
      <c r="DY178" s="82"/>
      <c r="DZ178" s="82"/>
      <c r="EA178" s="82"/>
      <c r="EC178" s="85"/>
    </row>
    <row r="179" spans="2:133" s="90" customFormat="1" ht="12.75" customHeight="1">
      <c r="B179" s="111" t="s">
        <v>69</v>
      </c>
      <c r="C179" s="91"/>
      <c r="D179" s="91"/>
      <c r="E179" s="91"/>
      <c r="F179" s="91"/>
      <c r="G179" s="85"/>
      <c r="H179" s="85"/>
      <c r="I179" s="91"/>
      <c r="J179" s="91"/>
      <c r="K179" s="91"/>
      <c r="L179" s="91"/>
      <c r="M179" s="91"/>
      <c r="N179" s="91"/>
      <c r="O179" s="91">
        <v>65.5</v>
      </c>
      <c r="P179" s="91">
        <v>64.5</v>
      </c>
      <c r="Q179" s="91">
        <v>82.5</v>
      </c>
      <c r="R179" s="91">
        <v>85.5</v>
      </c>
      <c r="S179" s="91">
        <v>116</v>
      </c>
      <c r="T179" s="91">
        <v>135.1</v>
      </c>
      <c r="U179" s="91">
        <v>180.22499999999999</v>
      </c>
      <c r="V179" s="91">
        <v>211.60499999999999</v>
      </c>
      <c r="W179" s="91"/>
      <c r="X179" s="91"/>
      <c r="Y179" s="92"/>
      <c r="Z179" s="91"/>
      <c r="AA179" s="92"/>
      <c r="AB179" s="91"/>
      <c r="AC179" s="91"/>
      <c r="AD179" s="91"/>
      <c r="AE179" s="91"/>
      <c r="AF179" s="91"/>
      <c r="AG179" s="91"/>
      <c r="AH179" s="91"/>
      <c r="AI179" s="91"/>
      <c r="AJ179" s="91"/>
      <c r="AK179" s="91"/>
      <c r="AL179" s="91"/>
      <c r="AM179" s="91"/>
      <c r="AN179" s="91"/>
      <c r="AO179" s="91"/>
      <c r="AP179" s="91"/>
      <c r="AQ179" s="91"/>
      <c r="AR179" s="91"/>
      <c r="AS179" s="91"/>
      <c r="AT179" s="91"/>
      <c r="AU179" s="91"/>
      <c r="AV179" s="91"/>
      <c r="AW179" s="91"/>
      <c r="AX179" s="91"/>
      <c r="AY179" s="91"/>
      <c r="AZ179" s="91"/>
      <c r="BA179" s="91"/>
      <c r="BB179" s="91"/>
      <c r="BC179" s="91"/>
      <c r="BD179" s="91"/>
      <c r="BE179" s="91"/>
      <c r="BF179" s="91"/>
      <c r="BG179" s="91"/>
      <c r="BH179" s="91"/>
      <c r="BI179" s="91"/>
      <c r="BJ179" s="91"/>
      <c r="BK179" s="91"/>
      <c r="BL179" s="91"/>
      <c r="BM179" s="91"/>
      <c r="BN179" s="91"/>
      <c r="BO179" s="91"/>
      <c r="BP179" s="91"/>
      <c r="BQ179" s="91"/>
      <c r="BR179" s="91"/>
      <c r="BS179" s="91"/>
      <c r="BT179" s="91"/>
      <c r="BU179" s="91"/>
      <c r="BV179" s="91"/>
      <c r="BW179" s="91"/>
      <c r="BX179" s="91"/>
      <c r="BY179" s="91"/>
      <c r="BZ179" s="91"/>
      <c r="CA179" s="91"/>
      <c r="CB179" s="91"/>
      <c r="CC179" s="91"/>
      <c r="CD179" s="91"/>
      <c r="CE179" s="91"/>
      <c r="CF179" s="91"/>
      <c r="CG179" s="91"/>
      <c r="CH179" s="91"/>
      <c r="CI179" s="91"/>
      <c r="CJ179" s="91"/>
      <c r="CK179" s="91"/>
      <c r="CL179" s="91"/>
      <c r="CM179" s="91"/>
      <c r="CN179" s="91"/>
      <c r="CO179" s="91"/>
      <c r="CP179" s="91"/>
      <c r="CQ179" s="91"/>
      <c r="CR179" s="91"/>
      <c r="CS179" s="91"/>
      <c r="CT179" s="91"/>
      <c r="CU179" s="91"/>
      <c r="CV179" s="91"/>
      <c r="CW179" s="91"/>
      <c r="CX179" s="91"/>
      <c r="CY179" s="91"/>
      <c r="CZ179" s="91"/>
      <c r="DA179" s="93"/>
      <c r="DB179" s="91"/>
      <c r="DC179" s="85"/>
      <c r="DD179" s="85"/>
      <c r="DE179" s="91">
        <f>SUM(O179:R179)</f>
        <v>298</v>
      </c>
      <c r="DF179" s="91">
        <f>SUM(S179:V179)</f>
        <v>642.92999999999995</v>
      </c>
      <c r="DG179" s="91"/>
      <c r="DH179" s="91"/>
      <c r="DI179" s="91"/>
      <c r="DJ179" s="91"/>
      <c r="DK179" s="91"/>
      <c r="DL179" s="91"/>
      <c r="DM179" s="91"/>
      <c r="DN179" s="91"/>
      <c r="DO179" s="91"/>
      <c r="DP179" s="85"/>
      <c r="DQ179" s="85"/>
      <c r="DR179" s="85"/>
      <c r="DS179" s="85"/>
      <c r="DT179" s="85"/>
      <c r="DU179" s="85"/>
      <c r="DV179" s="85"/>
      <c r="DW179" s="85"/>
      <c r="DX179" s="85"/>
      <c r="DY179" s="85"/>
      <c r="DZ179" s="85"/>
      <c r="EA179" s="85"/>
      <c r="EC179" s="85"/>
    </row>
    <row r="180" spans="2:133" s="90" customFormat="1" ht="12.75" customHeight="1">
      <c r="B180" s="111" t="s">
        <v>81</v>
      </c>
      <c r="C180" s="91"/>
      <c r="D180" s="91"/>
      <c r="E180" s="91"/>
      <c r="F180" s="91"/>
      <c r="G180" s="85"/>
      <c r="H180" s="85"/>
      <c r="I180" s="91"/>
      <c r="J180" s="91"/>
      <c r="K180" s="91"/>
      <c r="L180" s="91"/>
      <c r="M180" s="91"/>
      <c r="N180" s="91"/>
      <c r="O180" s="91">
        <f>O181-O179</f>
        <v>-260.2</v>
      </c>
      <c r="P180" s="91">
        <f>P181-P179</f>
        <v>-285</v>
      </c>
      <c r="Q180" s="91">
        <f>Q181-Q179</f>
        <v>-389.6</v>
      </c>
      <c r="R180" s="91">
        <f>R181-R179</f>
        <v>-371.4</v>
      </c>
      <c r="S180" s="91">
        <v>200</v>
      </c>
      <c r="T180" s="91">
        <v>195</v>
      </c>
      <c r="U180" s="91">
        <v>195</v>
      </c>
      <c r="V180" s="91">
        <v>195</v>
      </c>
      <c r="W180" s="91"/>
      <c r="X180" s="91"/>
      <c r="Y180" s="92"/>
      <c r="Z180" s="91"/>
      <c r="AA180" s="92"/>
      <c r="AB180" s="91"/>
      <c r="AC180" s="91"/>
      <c r="AD180" s="91"/>
      <c r="AE180" s="91"/>
      <c r="AF180" s="91"/>
      <c r="AG180" s="91"/>
      <c r="AH180" s="91"/>
      <c r="AI180" s="91"/>
      <c r="AJ180" s="91"/>
      <c r="AK180" s="91"/>
      <c r="AL180" s="91"/>
      <c r="AM180" s="91"/>
      <c r="AN180" s="91"/>
      <c r="AO180" s="91"/>
      <c r="AP180" s="91"/>
      <c r="AQ180" s="91"/>
      <c r="AR180" s="91"/>
      <c r="AS180" s="91"/>
      <c r="AT180" s="91"/>
      <c r="AU180" s="91"/>
      <c r="AV180" s="91"/>
      <c r="AW180" s="91"/>
      <c r="AX180" s="91"/>
      <c r="AY180" s="91"/>
      <c r="AZ180" s="91"/>
      <c r="BA180" s="91"/>
      <c r="BB180" s="91"/>
      <c r="BC180" s="91"/>
      <c r="BD180" s="91"/>
      <c r="BE180" s="91"/>
      <c r="BF180" s="91"/>
      <c r="BG180" s="91"/>
      <c r="BH180" s="91"/>
      <c r="BI180" s="91"/>
      <c r="BJ180" s="91"/>
      <c r="BK180" s="91"/>
      <c r="BL180" s="91"/>
      <c r="BM180" s="91"/>
      <c r="BN180" s="91"/>
      <c r="BO180" s="91"/>
      <c r="BP180" s="91"/>
      <c r="BQ180" s="91"/>
      <c r="BR180" s="91"/>
      <c r="BS180" s="91"/>
      <c r="BT180" s="91"/>
      <c r="BU180" s="91"/>
      <c r="BV180" s="91"/>
      <c r="BW180" s="91"/>
      <c r="BX180" s="91"/>
      <c r="BY180" s="91"/>
      <c r="BZ180" s="91"/>
      <c r="CA180" s="91"/>
      <c r="CB180" s="91"/>
      <c r="CC180" s="91"/>
      <c r="CD180" s="91"/>
      <c r="CE180" s="91"/>
      <c r="CF180" s="91"/>
      <c r="CG180" s="91"/>
      <c r="CH180" s="91"/>
      <c r="CI180" s="91"/>
      <c r="CJ180" s="91"/>
      <c r="CK180" s="91"/>
      <c r="CL180" s="91"/>
      <c r="CM180" s="91"/>
      <c r="CN180" s="91"/>
      <c r="CO180" s="91"/>
      <c r="CP180" s="91"/>
      <c r="CQ180" s="91"/>
      <c r="CR180" s="91"/>
      <c r="CS180" s="91"/>
      <c r="CT180" s="91"/>
      <c r="CU180" s="91"/>
      <c r="CV180" s="91"/>
      <c r="CW180" s="91"/>
      <c r="CX180" s="91"/>
      <c r="CY180" s="91"/>
      <c r="CZ180" s="91"/>
      <c r="DA180" s="93"/>
      <c r="DB180" s="91"/>
      <c r="DC180" s="85"/>
      <c r="DD180" s="85"/>
      <c r="DE180" s="91">
        <f>SUM(O180:R180)</f>
        <v>-1306.2</v>
      </c>
      <c r="DF180" s="91">
        <f>SUM(S180:V180)</f>
        <v>785</v>
      </c>
      <c r="DG180" s="91"/>
      <c r="DH180" s="91"/>
      <c r="DI180" s="91"/>
      <c r="DJ180" s="91"/>
      <c r="DK180" s="91"/>
      <c r="DL180" s="91"/>
      <c r="DM180" s="91"/>
      <c r="DN180" s="91"/>
      <c r="DO180" s="91"/>
      <c r="DP180" s="85"/>
      <c r="DQ180" s="85"/>
      <c r="DR180" s="85"/>
      <c r="DS180" s="85"/>
      <c r="DT180" s="85"/>
      <c r="DU180" s="85"/>
      <c r="DV180" s="85"/>
      <c r="DW180" s="85"/>
      <c r="DX180" s="85"/>
      <c r="DY180" s="85"/>
      <c r="DZ180" s="85"/>
      <c r="EA180" s="85"/>
      <c r="EC180" s="85"/>
    </row>
    <row r="181" spans="2:133" s="90" customFormat="1" ht="12.75" customHeight="1">
      <c r="B181" s="111" t="s">
        <v>68</v>
      </c>
      <c r="C181" s="91"/>
      <c r="D181" s="91"/>
      <c r="E181" s="91"/>
      <c r="F181" s="91"/>
      <c r="G181" s="85"/>
      <c r="H181" s="85"/>
      <c r="I181" s="91"/>
      <c r="J181" s="91"/>
      <c r="K181" s="91"/>
      <c r="L181" s="91"/>
      <c r="M181" s="91"/>
      <c r="N181" s="91"/>
      <c r="O181" s="91">
        <f>-O98</f>
        <v>-194.7</v>
      </c>
      <c r="P181" s="91">
        <f>-P98</f>
        <v>-220.5</v>
      </c>
      <c r="Q181" s="91">
        <f>-Q98</f>
        <v>-307.10000000000002</v>
      </c>
      <c r="R181" s="91">
        <f>-R98</f>
        <v>-285.89999999999998</v>
      </c>
      <c r="S181" s="91">
        <f>-S98</f>
        <v>-316.3</v>
      </c>
      <c r="T181" s="91">
        <f>SUM(T179:T180)</f>
        <v>330.1</v>
      </c>
      <c r="U181" s="91">
        <f>SUM(U179:U180)</f>
        <v>375.22500000000002</v>
      </c>
      <c r="V181" s="91">
        <f>SUM(V179:V180)</f>
        <v>406.60500000000002</v>
      </c>
      <c r="W181" s="91"/>
      <c r="X181" s="91"/>
      <c r="Y181" s="92"/>
      <c r="Z181" s="91"/>
      <c r="AA181" s="92"/>
      <c r="AB181" s="91"/>
      <c r="AC181" s="91"/>
      <c r="AD181" s="91"/>
      <c r="AE181" s="91"/>
      <c r="AF181" s="91"/>
      <c r="AG181" s="91"/>
      <c r="AH181" s="91"/>
      <c r="AI181" s="91"/>
      <c r="AJ181" s="91"/>
      <c r="AK181" s="91"/>
      <c r="AL181" s="91"/>
      <c r="AM181" s="91"/>
      <c r="AN181" s="91"/>
      <c r="AO181" s="91"/>
      <c r="AP181" s="91"/>
      <c r="AQ181" s="91"/>
      <c r="AR181" s="91"/>
      <c r="AS181" s="91"/>
      <c r="AT181" s="91"/>
      <c r="AU181" s="91"/>
      <c r="AV181" s="91"/>
      <c r="AW181" s="91"/>
      <c r="AX181" s="91"/>
      <c r="AY181" s="91"/>
      <c r="AZ181" s="91"/>
      <c r="BA181" s="91"/>
      <c r="BB181" s="91"/>
      <c r="BC181" s="91"/>
      <c r="BD181" s="91"/>
      <c r="BE181" s="91"/>
      <c r="BF181" s="91"/>
      <c r="BG181" s="91"/>
      <c r="BH181" s="91"/>
      <c r="BI181" s="91"/>
      <c r="BJ181" s="91"/>
      <c r="BK181" s="91"/>
      <c r="BL181" s="91"/>
      <c r="BM181" s="91"/>
      <c r="BN181" s="91"/>
      <c r="BO181" s="91"/>
      <c r="BP181" s="91"/>
      <c r="BQ181" s="91"/>
      <c r="BR181" s="91"/>
      <c r="BS181" s="91"/>
      <c r="BT181" s="91"/>
      <c r="BU181" s="91"/>
      <c r="BV181" s="91"/>
      <c r="BW181" s="91"/>
      <c r="BX181" s="91"/>
      <c r="BY181" s="91"/>
      <c r="BZ181" s="91"/>
      <c r="CA181" s="91"/>
      <c r="CB181" s="91"/>
      <c r="CC181" s="91"/>
      <c r="CD181" s="91"/>
      <c r="CE181" s="91"/>
      <c r="CF181" s="91"/>
      <c r="CG181" s="91"/>
      <c r="CH181" s="91"/>
      <c r="CI181" s="91"/>
      <c r="CJ181" s="91"/>
      <c r="CK181" s="91"/>
      <c r="CL181" s="91"/>
      <c r="CM181" s="91"/>
      <c r="CN181" s="91"/>
      <c r="CO181" s="91"/>
      <c r="CP181" s="91"/>
      <c r="CQ181" s="91"/>
      <c r="CR181" s="91"/>
      <c r="CS181" s="91"/>
      <c r="CT181" s="91"/>
      <c r="CU181" s="91"/>
      <c r="CV181" s="91"/>
      <c r="CW181" s="91"/>
      <c r="CX181" s="91"/>
      <c r="CY181" s="91"/>
      <c r="CZ181" s="91"/>
      <c r="DA181" s="93"/>
      <c r="DB181" s="91"/>
      <c r="DC181" s="85"/>
      <c r="DD181" s="85"/>
      <c r="DE181" s="91">
        <f>DE179+DE180</f>
        <v>-1008.2</v>
      </c>
      <c r="DF181" s="91">
        <f>SUM(S181:V181)</f>
        <v>795.63000000000011</v>
      </c>
      <c r="DG181" s="91"/>
      <c r="DH181" s="91"/>
      <c r="DI181" s="91"/>
      <c r="DJ181" s="91"/>
      <c r="DK181" s="91"/>
      <c r="DL181" s="91"/>
      <c r="DM181" s="91"/>
      <c r="DN181" s="91"/>
      <c r="DO181" s="91"/>
      <c r="DP181" s="85"/>
      <c r="DQ181" s="85"/>
      <c r="DR181" s="85"/>
      <c r="DS181" s="85"/>
      <c r="DT181" s="85"/>
      <c r="DU181" s="85"/>
      <c r="DV181" s="85"/>
      <c r="DW181" s="85"/>
      <c r="DX181" s="85"/>
      <c r="DY181" s="85"/>
      <c r="DZ181" s="85"/>
      <c r="EA181" s="85"/>
      <c r="EC181" s="85"/>
    </row>
    <row r="182" spans="2:133" s="90" customFormat="1" ht="12.75" customHeight="1">
      <c r="B182" s="111"/>
      <c r="C182" s="91"/>
      <c r="D182" s="91"/>
      <c r="E182" s="91"/>
      <c r="F182" s="91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92"/>
      <c r="Z182" s="85"/>
      <c r="AA182" s="92"/>
      <c r="AB182" s="85"/>
      <c r="AC182" s="85"/>
      <c r="AD182" s="85"/>
      <c r="AE182" s="85"/>
      <c r="AF182" s="85"/>
      <c r="AG182" s="85"/>
      <c r="AH182" s="85"/>
      <c r="AI182" s="85"/>
      <c r="AJ182" s="85"/>
      <c r="AK182" s="85"/>
      <c r="AL182" s="85"/>
      <c r="AM182" s="85"/>
      <c r="AN182" s="85"/>
      <c r="AO182" s="85"/>
      <c r="AP182" s="85"/>
      <c r="AQ182" s="85"/>
      <c r="AR182" s="85"/>
      <c r="AS182" s="85"/>
      <c r="AT182" s="85"/>
      <c r="AU182" s="85"/>
      <c r="AV182" s="85"/>
      <c r="AW182" s="85"/>
      <c r="AX182" s="85"/>
      <c r="AY182" s="85"/>
      <c r="AZ182" s="85"/>
      <c r="BA182" s="85"/>
      <c r="BB182" s="85"/>
      <c r="BC182" s="85"/>
      <c r="BD182" s="85"/>
      <c r="BE182" s="85"/>
      <c r="BF182" s="85"/>
      <c r="BG182" s="85"/>
      <c r="BH182" s="85"/>
      <c r="BI182" s="85"/>
      <c r="BJ182" s="85"/>
      <c r="BK182" s="85"/>
      <c r="BL182" s="85"/>
      <c r="BM182" s="85"/>
      <c r="BN182" s="85"/>
      <c r="BO182" s="85"/>
      <c r="BP182" s="85"/>
      <c r="BQ182" s="85"/>
      <c r="BR182" s="85"/>
      <c r="BS182" s="85"/>
      <c r="BT182" s="85"/>
      <c r="BU182" s="85"/>
      <c r="BV182" s="85"/>
      <c r="BW182" s="85"/>
      <c r="BX182" s="85"/>
      <c r="BY182" s="85"/>
      <c r="BZ182" s="85"/>
      <c r="CA182" s="85"/>
      <c r="CB182" s="85"/>
      <c r="CC182" s="85"/>
      <c r="CD182" s="85"/>
      <c r="CE182" s="85"/>
      <c r="CF182" s="85"/>
      <c r="CG182" s="85"/>
      <c r="CH182" s="85"/>
      <c r="CI182" s="85"/>
      <c r="CJ182" s="85"/>
      <c r="CK182" s="85"/>
      <c r="CL182" s="85"/>
      <c r="CM182" s="85"/>
      <c r="CN182" s="85"/>
      <c r="CO182" s="85"/>
      <c r="CP182" s="85"/>
      <c r="CQ182" s="85"/>
      <c r="CR182" s="85"/>
      <c r="CS182" s="85"/>
      <c r="CT182" s="85"/>
      <c r="CU182" s="85"/>
      <c r="CV182" s="85"/>
      <c r="CW182" s="85"/>
      <c r="CX182" s="85"/>
      <c r="CY182" s="85"/>
      <c r="CZ182" s="85"/>
      <c r="DA182" s="93"/>
      <c r="DB182" s="91"/>
      <c r="DC182" s="85"/>
      <c r="DD182" s="85"/>
      <c r="DE182" s="85"/>
      <c r="DF182" s="85"/>
      <c r="DG182" s="85"/>
      <c r="DH182" s="85"/>
      <c r="DI182" s="85"/>
      <c r="DJ182" s="85"/>
      <c r="DK182" s="85"/>
      <c r="DL182" s="85"/>
      <c r="DM182" s="85"/>
      <c r="DN182" s="85"/>
      <c r="DO182" s="85"/>
      <c r="DP182" s="85"/>
      <c r="DQ182" s="85"/>
      <c r="DR182" s="85"/>
      <c r="DS182" s="85"/>
      <c r="DT182" s="85"/>
      <c r="DU182" s="85"/>
      <c r="DV182" s="85"/>
      <c r="DW182" s="85"/>
      <c r="DX182" s="85"/>
      <c r="DY182" s="85"/>
      <c r="DZ182" s="85"/>
      <c r="EA182" s="85"/>
      <c r="EC182" s="85"/>
    </row>
    <row r="183" spans="2:133" s="90" customFormat="1" ht="12.75" customHeight="1">
      <c r="B183" s="111" t="s">
        <v>82</v>
      </c>
      <c r="C183" s="91"/>
      <c r="D183" s="91"/>
      <c r="E183" s="91"/>
      <c r="F183" s="91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92"/>
      <c r="Z183" s="85"/>
      <c r="AA183" s="92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85"/>
      <c r="AS183" s="85"/>
      <c r="AT183" s="85"/>
      <c r="AU183" s="85"/>
      <c r="AV183" s="85"/>
      <c r="AW183" s="85"/>
      <c r="AX183" s="85"/>
      <c r="AY183" s="85"/>
      <c r="AZ183" s="85"/>
      <c r="BA183" s="85"/>
      <c r="BB183" s="85"/>
      <c r="BC183" s="85"/>
      <c r="BD183" s="85"/>
      <c r="BE183" s="85"/>
      <c r="BF183" s="85"/>
      <c r="BG183" s="85"/>
      <c r="BH183" s="85"/>
      <c r="BI183" s="85"/>
      <c r="BJ183" s="85"/>
      <c r="BK183" s="85"/>
      <c r="BL183" s="85"/>
      <c r="BM183" s="85"/>
      <c r="BN183" s="85"/>
      <c r="BO183" s="85"/>
      <c r="BP183" s="85"/>
      <c r="BQ183" s="85"/>
      <c r="BR183" s="85"/>
      <c r="BS183" s="85"/>
      <c r="BT183" s="85"/>
      <c r="BU183" s="85"/>
      <c r="BV183" s="85"/>
      <c r="BW183" s="85"/>
      <c r="BX183" s="85"/>
      <c r="BY183" s="85"/>
      <c r="BZ183" s="85"/>
      <c r="CA183" s="85"/>
      <c r="CB183" s="85"/>
      <c r="CC183" s="85"/>
      <c r="CD183" s="85"/>
      <c r="CE183" s="85"/>
      <c r="CF183" s="85"/>
      <c r="CG183" s="85"/>
      <c r="CH183" s="85"/>
      <c r="CI183" s="85"/>
      <c r="CJ183" s="85"/>
      <c r="CK183" s="85"/>
      <c r="CL183" s="85"/>
      <c r="CM183" s="85"/>
      <c r="CN183" s="85"/>
      <c r="CO183" s="85"/>
      <c r="CP183" s="85"/>
      <c r="CQ183" s="85"/>
      <c r="CR183" s="85"/>
      <c r="CS183" s="85"/>
      <c r="CT183" s="85"/>
      <c r="CU183" s="85"/>
      <c r="CV183" s="85"/>
      <c r="CW183" s="85"/>
      <c r="CX183" s="85"/>
      <c r="CY183" s="85"/>
      <c r="CZ183" s="85"/>
      <c r="DA183" s="93"/>
      <c r="DB183" s="91"/>
      <c r="DC183" s="85"/>
      <c r="DD183" s="85"/>
      <c r="DE183" s="85"/>
      <c r="DF183" s="85"/>
      <c r="DG183" s="85"/>
      <c r="DH183" s="85"/>
      <c r="DI183" s="85"/>
      <c r="DJ183" s="85"/>
      <c r="DK183" s="85"/>
      <c r="DL183" s="85"/>
      <c r="DM183" s="85"/>
      <c r="DN183" s="85"/>
      <c r="DO183" s="85"/>
      <c r="DP183" s="85"/>
      <c r="DQ183" s="85"/>
      <c r="DR183" s="85"/>
      <c r="DS183" s="85"/>
      <c r="DT183" s="85"/>
      <c r="DU183" s="85"/>
      <c r="DV183" s="85"/>
      <c r="DW183" s="85"/>
      <c r="DX183" s="85"/>
      <c r="DY183" s="85"/>
      <c r="DZ183" s="85"/>
      <c r="EA183" s="85"/>
      <c r="EC183" s="85"/>
    </row>
    <row r="184" spans="2:133" s="90" customFormat="1" ht="12.75" customHeight="1">
      <c r="B184" s="93" t="s">
        <v>83</v>
      </c>
      <c r="C184" s="112"/>
      <c r="D184" s="112"/>
      <c r="E184" s="112"/>
      <c r="F184" s="112"/>
      <c r="G184" s="112"/>
      <c r="H184" s="112"/>
      <c r="I184" s="85"/>
      <c r="J184" s="85"/>
      <c r="K184" s="85">
        <v>326.10000000000002</v>
      </c>
      <c r="L184" s="85">
        <v>479.8</v>
      </c>
      <c r="M184" s="85">
        <v>187.7</v>
      </c>
      <c r="N184" s="85">
        <v>320.60000000000002</v>
      </c>
      <c r="O184" s="85" t="e">
        <f>#REF!</f>
        <v>#REF!</v>
      </c>
      <c r="P184" s="85" t="e">
        <f>#REF!</f>
        <v>#REF!</v>
      </c>
      <c r="Q184" s="85" t="e">
        <f>#REF!</f>
        <v>#REF!</v>
      </c>
      <c r="R184" s="85" t="e">
        <f>#REF!</f>
        <v>#REF!</v>
      </c>
      <c r="S184" s="85" t="e">
        <f>#REF!</f>
        <v>#REF!</v>
      </c>
      <c r="T184" s="85">
        <f>$DF$184/4</f>
        <v>0</v>
      </c>
      <c r="U184" s="85">
        <f>$DF$184/4</f>
        <v>0</v>
      </c>
      <c r="V184" s="85" t="e">
        <f>DF184-SUM(S184:U184)</f>
        <v>#REF!</v>
      </c>
      <c r="W184" s="85"/>
      <c r="X184" s="85"/>
      <c r="Y184" s="92"/>
      <c r="Z184" s="85"/>
      <c r="AA184" s="92"/>
      <c r="AB184" s="85"/>
      <c r="AC184" s="85"/>
      <c r="AD184" s="85"/>
      <c r="AE184" s="85"/>
      <c r="AF184" s="85"/>
      <c r="AG184" s="85"/>
      <c r="AH184" s="85"/>
      <c r="AI184" s="85"/>
      <c r="AJ184" s="85"/>
      <c r="AK184" s="85"/>
      <c r="AL184" s="85"/>
      <c r="AM184" s="85"/>
      <c r="AN184" s="85"/>
      <c r="AO184" s="85"/>
      <c r="AP184" s="85"/>
      <c r="AQ184" s="85"/>
      <c r="AR184" s="85"/>
      <c r="AS184" s="85"/>
      <c r="AT184" s="85"/>
      <c r="AU184" s="85"/>
      <c r="AV184" s="85"/>
      <c r="AW184" s="85"/>
      <c r="AX184" s="85"/>
      <c r="AY184" s="85"/>
      <c r="AZ184" s="85"/>
      <c r="BA184" s="85"/>
      <c r="BB184" s="85"/>
      <c r="BC184" s="85"/>
      <c r="BD184" s="85"/>
      <c r="BE184" s="85"/>
      <c r="BF184" s="85"/>
      <c r="BG184" s="85"/>
      <c r="BH184" s="85"/>
      <c r="BI184" s="85"/>
      <c r="BJ184" s="85"/>
      <c r="BK184" s="85"/>
      <c r="BL184" s="85"/>
      <c r="BM184" s="85"/>
      <c r="BN184" s="85"/>
      <c r="BO184" s="85"/>
      <c r="BP184" s="85"/>
      <c r="BQ184" s="85"/>
      <c r="BR184" s="85"/>
      <c r="BS184" s="85"/>
      <c r="BT184" s="85"/>
      <c r="BU184" s="85"/>
      <c r="BV184" s="85"/>
      <c r="BW184" s="85"/>
      <c r="BX184" s="85"/>
      <c r="BY184" s="85"/>
      <c r="BZ184" s="85"/>
      <c r="CA184" s="85"/>
      <c r="CB184" s="85"/>
      <c r="CC184" s="85"/>
      <c r="CD184" s="85"/>
      <c r="CE184" s="85"/>
      <c r="CF184" s="85"/>
      <c r="CG184" s="85"/>
      <c r="CH184" s="85"/>
      <c r="CI184" s="85"/>
      <c r="CJ184" s="85"/>
      <c r="CK184" s="85"/>
      <c r="CL184" s="85"/>
      <c r="CM184" s="85"/>
      <c r="CN184" s="85"/>
      <c r="CO184" s="85"/>
      <c r="CP184" s="85"/>
      <c r="CQ184" s="85"/>
      <c r="CR184" s="85"/>
      <c r="CS184" s="85"/>
      <c r="CT184" s="85"/>
      <c r="CU184" s="85"/>
      <c r="CV184" s="85"/>
      <c r="CW184" s="85"/>
      <c r="CX184" s="85"/>
      <c r="CY184" s="85"/>
      <c r="CZ184" s="85"/>
      <c r="DA184" s="93"/>
      <c r="DB184" s="112"/>
      <c r="DC184" s="112"/>
      <c r="DD184" s="91">
        <v>1314.2</v>
      </c>
      <c r="DE184" s="91"/>
      <c r="DF184" s="92"/>
      <c r="DG184" s="92"/>
      <c r="DH184" s="92"/>
      <c r="DI184" s="92"/>
      <c r="DJ184" s="92"/>
      <c r="DK184" s="92"/>
      <c r="DL184" s="92"/>
      <c r="DM184" s="92"/>
      <c r="DN184" s="92"/>
      <c r="DO184" s="92"/>
      <c r="DP184" s="85"/>
      <c r="DQ184" s="85"/>
      <c r="DR184" s="85"/>
      <c r="DS184" s="85"/>
      <c r="DT184" s="85"/>
      <c r="DU184" s="85"/>
      <c r="DV184" s="85"/>
      <c r="DW184" s="85"/>
      <c r="DX184" s="85"/>
      <c r="DY184" s="85"/>
      <c r="DZ184" s="85"/>
      <c r="EA184" s="85"/>
      <c r="EC184" s="85"/>
    </row>
    <row r="185" spans="2:133" s="90" customFormat="1" ht="12.75" customHeight="1">
      <c r="B185" s="93" t="s">
        <v>84</v>
      </c>
      <c r="C185" s="112"/>
      <c r="D185" s="112"/>
      <c r="E185" s="112"/>
      <c r="F185" s="112"/>
      <c r="G185" s="112"/>
      <c r="H185" s="112"/>
      <c r="I185" s="85"/>
      <c r="J185" s="85"/>
      <c r="K185" s="85"/>
      <c r="L185" s="85"/>
      <c r="M185" s="85"/>
      <c r="N185" s="85"/>
      <c r="O185" s="85" t="e">
        <f t="shared" ref="O185:V185" si="317">O184-O186</f>
        <v>#REF!</v>
      </c>
      <c r="P185" s="85" t="e">
        <f t="shared" si="317"/>
        <v>#REF!</v>
      </c>
      <c r="Q185" s="85" t="e">
        <f t="shared" si="317"/>
        <v>#REF!</v>
      </c>
      <c r="R185" s="85" t="e">
        <f t="shared" si="317"/>
        <v>#REF!</v>
      </c>
      <c r="S185" s="85" t="e">
        <f t="shared" si="317"/>
        <v>#REF!</v>
      </c>
      <c r="T185" s="85">
        <f t="shared" si="317"/>
        <v>0</v>
      </c>
      <c r="U185" s="85">
        <f t="shared" si="317"/>
        <v>0</v>
      </c>
      <c r="V185" s="85" t="e">
        <f t="shared" si="317"/>
        <v>#REF!</v>
      </c>
      <c r="W185" s="85"/>
      <c r="X185" s="85"/>
      <c r="Y185" s="92"/>
      <c r="Z185" s="85"/>
      <c r="AA185" s="92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85"/>
      <c r="AS185" s="85"/>
      <c r="AT185" s="85"/>
      <c r="AU185" s="85"/>
      <c r="AV185" s="85"/>
      <c r="AW185" s="85"/>
      <c r="AX185" s="85"/>
      <c r="AY185" s="85"/>
      <c r="AZ185" s="85"/>
      <c r="BA185" s="85"/>
      <c r="BB185" s="85"/>
      <c r="BC185" s="85"/>
      <c r="BD185" s="85"/>
      <c r="BE185" s="85"/>
      <c r="BF185" s="85"/>
      <c r="BG185" s="85"/>
      <c r="BH185" s="85"/>
      <c r="BI185" s="85"/>
      <c r="BJ185" s="85"/>
      <c r="BK185" s="85"/>
      <c r="BL185" s="85"/>
      <c r="BM185" s="85"/>
      <c r="BN185" s="85"/>
      <c r="BO185" s="85"/>
      <c r="BP185" s="85"/>
      <c r="BQ185" s="85"/>
      <c r="BR185" s="85"/>
      <c r="BS185" s="85"/>
      <c r="BT185" s="85"/>
      <c r="BU185" s="85"/>
      <c r="BV185" s="85"/>
      <c r="BW185" s="85"/>
      <c r="BX185" s="85"/>
      <c r="BY185" s="85"/>
      <c r="BZ185" s="85"/>
      <c r="CA185" s="85"/>
      <c r="CB185" s="85"/>
      <c r="CC185" s="85"/>
      <c r="CD185" s="85"/>
      <c r="CE185" s="85"/>
      <c r="CF185" s="85"/>
      <c r="CG185" s="85"/>
      <c r="CH185" s="85"/>
      <c r="CI185" s="85"/>
      <c r="CJ185" s="85"/>
      <c r="CK185" s="85"/>
      <c r="CL185" s="85"/>
      <c r="CM185" s="85"/>
      <c r="CN185" s="85"/>
      <c r="CO185" s="85"/>
      <c r="CP185" s="85"/>
      <c r="CQ185" s="85"/>
      <c r="CR185" s="85"/>
      <c r="CS185" s="85"/>
      <c r="CT185" s="85"/>
      <c r="CU185" s="85"/>
      <c r="CV185" s="85"/>
      <c r="CW185" s="85"/>
      <c r="CX185" s="85"/>
      <c r="CY185" s="85"/>
      <c r="CZ185" s="85"/>
      <c r="DA185" s="93"/>
      <c r="DB185" s="112"/>
      <c r="DC185" s="112"/>
      <c r="DD185" s="91"/>
      <c r="DE185" s="91"/>
      <c r="DF185" s="91"/>
      <c r="DG185" s="91"/>
      <c r="DH185" s="91"/>
      <c r="DI185" s="91"/>
      <c r="DJ185" s="91"/>
      <c r="DK185" s="91"/>
      <c r="DL185" s="91"/>
      <c r="DM185" s="91"/>
      <c r="DN185" s="91"/>
      <c r="DO185" s="91"/>
      <c r="DP185" s="85"/>
      <c r="DQ185" s="85"/>
      <c r="DR185" s="85"/>
      <c r="DS185" s="85"/>
      <c r="DT185" s="85"/>
      <c r="DU185" s="85"/>
      <c r="DV185" s="85"/>
      <c r="DW185" s="85"/>
      <c r="DX185" s="85"/>
      <c r="DY185" s="85"/>
      <c r="DZ185" s="85"/>
      <c r="EA185" s="85"/>
      <c r="EC185" s="85"/>
    </row>
    <row r="186" spans="2:133" s="90" customFormat="1" ht="12.75" customHeight="1">
      <c r="B186" s="93" t="s">
        <v>85</v>
      </c>
      <c r="C186" s="112"/>
      <c r="D186" s="112"/>
      <c r="E186" s="112"/>
      <c r="F186" s="112"/>
      <c r="G186" s="112"/>
      <c r="H186" s="112"/>
      <c r="I186" s="85"/>
      <c r="J186" s="85"/>
      <c r="K186" s="85">
        <v>31.3</v>
      </c>
      <c r="L186" s="85">
        <v>36.9</v>
      </c>
      <c r="M186" s="85">
        <v>36.1</v>
      </c>
      <c r="N186" s="85">
        <v>36.5</v>
      </c>
      <c r="O186" s="85">
        <v>37.299999999999997</v>
      </c>
      <c r="P186" s="85">
        <v>37.200000000000003</v>
      </c>
      <c r="Q186" s="85">
        <v>37.200000000000003</v>
      </c>
      <c r="R186" s="85">
        <v>37.200000000000003</v>
      </c>
      <c r="S186" s="85">
        <f>$DF186/4</f>
        <v>0</v>
      </c>
      <c r="T186" s="85">
        <f>$DF186/4</f>
        <v>0</v>
      </c>
      <c r="U186" s="85">
        <f>$DF186/4</f>
        <v>0</v>
      </c>
      <c r="V186" s="85">
        <f>$DF186/4</f>
        <v>0</v>
      </c>
      <c r="W186" s="85"/>
      <c r="X186" s="85"/>
      <c r="Y186" s="92"/>
      <c r="Z186" s="85"/>
      <c r="AA186" s="92"/>
      <c r="AB186" s="85"/>
      <c r="AC186" s="85"/>
      <c r="AD186" s="85"/>
      <c r="AE186" s="85"/>
      <c r="AF186" s="85"/>
      <c r="AG186" s="85"/>
      <c r="AH186" s="85"/>
      <c r="AI186" s="85"/>
      <c r="AJ186" s="85"/>
      <c r="AK186" s="85"/>
      <c r="AL186" s="85"/>
      <c r="AM186" s="85"/>
      <c r="AN186" s="85"/>
      <c r="AO186" s="85"/>
      <c r="AP186" s="85"/>
      <c r="AQ186" s="85"/>
      <c r="AR186" s="85"/>
      <c r="AS186" s="85"/>
      <c r="AT186" s="85"/>
      <c r="AU186" s="85"/>
      <c r="AV186" s="85"/>
      <c r="AW186" s="85"/>
      <c r="AX186" s="85"/>
      <c r="AY186" s="85"/>
      <c r="AZ186" s="85"/>
      <c r="BA186" s="85"/>
      <c r="BB186" s="85"/>
      <c r="BC186" s="85"/>
      <c r="BD186" s="85"/>
      <c r="BE186" s="85"/>
      <c r="BF186" s="85"/>
      <c r="BG186" s="85"/>
      <c r="BH186" s="85"/>
      <c r="BI186" s="85"/>
      <c r="BJ186" s="85"/>
      <c r="BK186" s="85"/>
      <c r="BL186" s="85"/>
      <c r="BM186" s="85"/>
      <c r="BN186" s="85"/>
      <c r="BO186" s="85"/>
      <c r="BP186" s="85"/>
      <c r="BQ186" s="85"/>
      <c r="BR186" s="85"/>
      <c r="BS186" s="85"/>
      <c r="BT186" s="85"/>
      <c r="BU186" s="85"/>
      <c r="BV186" s="85"/>
      <c r="BW186" s="85"/>
      <c r="BX186" s="85"/>
      <c r="BY186" s="85"/>
      <c r="BZ186" s="85"/>
      <c r="CA186" s="85"/>
      <c r="CB186" s="85"/>
      <c r="CC186" s="85"/>
      <c r="CD186" s="85"/>
      <c r="CE186" s="85"/>
      <c r="CF186" s="85"/>
      <c r="CG186" s="85"/>
      <c r="CH186" s="85"/>
      <c r="CI186" s="85"/>
      <c r="CJ186" s="85"/>
      <c r="CK186" s="85"/>
      <c r="CL186" s="85"/>
      <c r="CM186" s="85"/>
      <c r="CN186" s="85"/>
      <c r="CO186" s="85"/>
      <c r="CP186" s="85"/>
      <c r="CQ186" s="85"/>
      <c r="CR186" s="85"/>
      <c r="CS186" s="85"/>
      <c r="CT186" s="85"/>
      <c r="CU186" s="85"/>
      <c r="CV186" s="85"/>
      <c r="CW186" s="85"/>
      <c r="CX186" s="85"/>
      <c r="CY186" s="85"/>
      <c r="CZ186" s="85"/>
      <c r="DA186" s="93"/>
      <c r="DB186" s="112"/>
      <c r="DC186" s="112"/>
      <c r="DD186" s="91">
        <f>SUM(K186:N186)</f>
        <v>140.80000000000001</v>
      </c>
      <c r="DE186" s="91">
        <f>SUM(O186:R186)</f>
        <v>148.9</v>
      </c>
      <c r="DF186" s="91"/>
      <c r="DG186" s="91"/>
      <c r="DH186" s="91"/>
      <c r="DI186" s="91"/>
      <c r="DJ186" s="91"/>
      <c r="DK186" s="91"/>
      <c r="DL186" s="91"/>
      <c r="DM186" s="91"/>
      <c r="DN186" s="91"/>
      <c r="DO186" s="91"/>
      <c r="DP186" s="85"/>
      <c r="DQ186" s="85"/>
      <c r="DR186" s="85"/>
      <c r="DS186" s="85"/>
      <c r="DT186" s="85"/>
      <c r="DU186" s="85"/>
      <c r="DV186" s="85"/>
      <c r="DW186" s="85"/>
      <c r="DX186" s="85"/>
      <c r="DY186" s="85"/>
      <c r="DZ186" s="85"/>
      <c r="EA186" s="85"/>
      <c r="EC186" s="85"/>
    </row>
    <row r="187" spans="2:133" s="90" customFormat="1" ht="12.75" customHeight="1">
      <c r="B187" s="93" t="s">
        <v>80</v>
      </c>
      <c r="C187" s="112"/>
      <c r="D187" s="112"/>
      <c r="E187" s="112"/>
      <c r="F187" s="112"/>
      <c r="G187" s="112"/>
      <c r="H187" s="112"/>
      <c r="I187" s="91"/>
      <c r="J187" s="91"/>
      <c r="K187" s="91">
        <v>2243.1190000000001</v>
      </c>
      <c r="L187" s="91">
        <f>2976.230393-735.820341</f>
        <v>2240.4100519999997</v>
      </c>
      <c r="M187" s="91">
        <v>2231.8939999999998</v>
      </c>
      <c r="N187" s="91">
        <v>2221.7640000000001</v>
      </c>
      <c r="O187" s="91">
        <v>2222.567</v>
      </c>
      <c r="P187" s="91">
        <v>2220.096</v>
      </c>
      <c r="Q187" s="91">
        <f>Q188*2-P187</f>
        <v>2214.904</v>
      </c>
      <c r="R187" s="91">
        <f>DE187</f>
        <v>0</v>
      </c>
      <c r="S187" s="91">
        <f>2976.230393-770.826493</f>
        <v>2205.4038999999998</v>
      </c>
      <c r="T187" s="91">
        <f>T188*2-S187</f>
        <v>2202.5960999999993</v>
      </c>
      <c r="U187" s="91">
        <f>U188*2-T187</f>
        <v>2201.2038999999991</v>
      </c>
      <c r="V187" s="91">
        <f>DF187</f>
        <v>0</v>
      </c>
      <c r="W187" s="91"/>
      <c r="X187" s="91"/>
      <c r="Y187" s="92"/>
      <c r="Z187" s="91"/>
      <c r="AA187" s="92"/>
      <c r="AB187" s="91"/>
      <c r="AC187" s="91"/>
      <c r="AD187" s="91"/>
      <c r="AE187" s="91"/>
      <c r="AF187" s="91"/>
      <c r="AG187" s="91"/>
      <c r="AH187" s="91"/>
      <c r="AI187" s="91"/>
      <c r="AJ187" s="91"/>
      <c r="AK187" s="91"/>
      <c r="AL187" s="91"/>
      <c r="AM187" s="91"/>
      <c r="AN187" s="91"/>
      <c r="AO187" s="91"/>
      <c r="AP187" s="91"/>
      <c r="AQ187" s="91"/>
      <c r="AR187" s="91"/>
      <c r="AS187" s="91"/>
      <c r="AT187" s="91"/>
      <c r="AU187" s="91"/>
      <c r="AV187" s="91"/>
      <c r="AW187" s="91"/>
      <c r="AX187" s="91"/>
      <c r="AY187" s="91"/>
      <c r="AZ187" s="91"/>
      <c r="BA187" s="91"/>
      <c r="BB187" s="91"/>
      <c r="BC187" s="91"/>
      <c r="BD187" s="91"/>
      <c r="BE187" s="91"/>
      <c r="BF187" s="91"/>
      <c r="BG187" s="91"/>
      <c r="BH187" s="91"/>
      <c r="BI187" s="91"/>
      <c r="BJ187" s="91"/>
      <c r="BK187" s="91"/>
      <c r="BL187" s="91"/>
      <c r="BM187" s="91"/>
      <c r="BN187" s="91"/>
      <c r="BO187" s="91"/>
      <c r="BP187" s="91"/>
      <c r="BQ187" s="91"/>
      <c r="BR187" s="91"/>
      <c r="BS187" s="91"/>
      <c r="BT187" s="91"/>
      <c r="BU187" s="91"/>
      <c r="BV187" s="91"/>
      <c r="BW187" s="91"/>
      <c r="BX187" s="91"/>
      <c r="BY187" s="91"/>
      <c r="BZ187" s="91"/>
      <c r="CA187" s="91"/>
      <c r="CB187" s="91"/>
      <c r="CC187" s="91"/>
      <c r="CD187" s="91"/>
      <c r="CE187" s="91"/>
      <c r="CF187" s="91"/>
      <c r="CG187" s="91"/>
      <c r="CH187" s="91"/>
      <c r="CI187" s="91"/>
      <c r="CJ187" s="91"/>
      <c r="CK187" s="91"/>
      <c r="CL187" s="91"/>
      <c r="CM187" s="91"/>
      <c r="CN187" s="91"/>
      <c r="CO187" s="91"/>
      <c r="CP187" s="91"/>
      <c r="CQ187" s="91"/>
      <c r="CR187" s="91"/>
      <c r="CS187" s="91"/>
      <c r="CT187" s="91"/>
      <c r="CU187" s="91"/>
      <c r="CV187" s="91"/>
      <c r="CW187" s="91"/>
      <c r="CX187" s="91"/>
      <c r="CY187" s="91"/>
      <c r="CZ187" s="91"/>
      <c r="DA187" s="93"/>
      <c r="DB187" s="112"/>
      <c r="DC187" s="112"/>
      <c r="DD187" s="112">
        <f>N187</f>
        <v>2221.7640000000001</v>
      </c>
      <c r="DE187" s="91"/>
      <c r="DF187" s="91"/>
      <c r="DG187" s="91"/>
      <c r="DH187" s="91"/>
      <c r="DI187" s="91"/>
      <c r="DJ187" s="91"/>
      <c r="DK187" s="91"/>
      <c r="DL187" s="91"/>
      <c r="DM187" s="91"/>
      <c r="DN187" s="91"/>
      <c r="DO187" s="91"/>
      <c r="DP187" s="85"/>
      <c r="DQ187" s="85"/>
      <c r="DR187" s="85"/>
      <c r="DS187" s="85"/>
      <c r="DT187" s="85"/>
      <c r="DU187" s="85"/>
      <c r="DV187" s="85"/>
      <c r="DW187" s="85"/>
      <c r="DX187" s="85"/>
      <c r="DY187" s="85"/>
      <c r="DZ187" s="85"/>
      <c r="EA187" s="85"/>
      <c r="EC187" s="85"/>
    </row>
    <row r="188" spans="2:133" s="90" customFormat="1" ht="12.75" customHeight="1">
      <c r="B188" s="93" t="s">
        <v>86</v>
      </c>
      <c r="C188" s="112"/>
      <c r="D188" s="112"/>
      <c r="E188" s="112"/>
      <c r="F188" s="112"/>
      <c r="G188" s="112"/>
      <c r="H188" s="112"/>
      <c r="I188" s="112"/>
      <c r="J188" s="112"/>
      <c r="K188" s="112">
        <v>2244.3000000000002</v>
      </c>
      <c r="L188" s="112">
        <v>2241.4</v>
      </c>
      <c r="M188" s="112">
        <v>2237</v>
      </c>
      <c r="N188" s="112">
        <f>AVERAGE(M187:N187)</f>
        <v>2226.8289999999997</v>
      </c>
      <c r="O188" s="112">
        <v>2222.6</v>
      </c>
      <c r="P188" s="112">
        <v>2221.4</v>
      </c>
      <c r="Q188" s="112">
        <f>Q105-(P105-P188)</f>
        <v>2217.5</v>
      </c>
      <c r="R188" s="112">
        <f>R105-(Q105-Q188)</f>
        <v>2208.8000000000002</v>
      </c>
      <c r="S188" s="112">
        <v>2207.1999999999998</v>
      </c>
      <c r="T188" s="112">
        <f>S188-(S105-S188)</f>
        <v>2203.9999999999995</v>
      </c>
      <c r="U188" s="112">
        <f>T188-(T105-T188)</f>
        <v>2201.8999999999992</v>
      </c>
      <c r="V188" s="112">
        <f>U188-(U105-U188)</f>
        <v>2206.7999999999984</v>
      </c>
      <c r="W188" s="112"/>
      <c r="X188" s="112"/>
      <c r="Y188" s="92"/>
      <c r="Z188" s="112"/>
      <c r="AA188" s="92"/>
      <c r="AB188" s="112"/>
      <c r="AC188" s="112"/>
      <c r="AD188" s="112"/>
      <c r="AE188" s="112"/>
      <c r="AF188" s="112"/>
      <c r="AG188" s="112"/>
      <c r="AH188" s="112"/>
      <c r="AI188" s="112"/>
      <c r="AJ188" s="112"/>
      <c r="AK188" s="112"/>
      <c r="AL188" s="112"/>
      <c r="AM188" s="112"/>
      <c r="AN188" s="112"/>
      <c r="AO188" s="112"/>
      <c r="AP188" s="112"/>
      <c r="AQ188" s="112"/>
      <c r="AR188" s="112"/>
      <c r="AS188" s="112"/>
      <c r="AT188" s="112"/>
      <c r="AU188" s="112"/>
      <c r="AV188" s="112"/>
      <c r="AW188" s="112"/>
      <c r="AX188" s="112"/>
      <c r="AY188" s="112"/>
      <c r="AZ188" s="112"/>
      <c r="BA188" s="112"/>
      <c r="BB188" s="112"/>
      <c r="BC188" s="112"/>
      <c r="BD188" s="112"/>
      <c r="BE188" s="112"/>
      <c r="BF188" s="112"/>
      <c r="BG188" s="112"/>
      <c r="BH188" s="112"/>
      <c r="BI188" s="112"/>
      <c r="BJ188" s="112"/>
      <c r="BK188" s="112"/>
      <c r="BL188" s="112"/>
      <c r="BM188" s="112"/>
      <c r="BN188" s="112"/>
      <c r="BO188" s="112"/>
      <c r="BP188" s="112"/>
      <c r="BQ188" s="112"/>
      <c r="BR188" s="112"/>
      <c r="BS188" s="112"/>
      <c r="BT188" s="112"/>
      <c r="BU188" s="112"/>
      <c r="BV188" s="112"/>
      <c r="BW188" s="112"/>
      <c r="BX188" s="112"/>
      <c r="BY188" s="112"/>
      <c r="BZ188" s="112"/>
      <c r="CA188" s="112"/>
      <c r="CB188" s="112"/>
      <c r="CC188" s="112"/>
      <c r="CD188" s="112"/>
      <c r="CE188" s="112"/>
      <c r="CF188" s="112"/>
      <c r="CG188" s="112"/>
      <c r="CH188" s="112"/>
      <c r="CI188" s="112"/>
      <c r="CJ188" s="112"/>
      <c r="CK188" s="112"/>
      <c r="CL188" s="112"/>
      <c r="CM188" s="112"/>
      <c r="CN188" s="112"/>
      <c r="CO188" s="112"/>
      <c r="CP188" s="112"/>
      <c r="CQ188" s="112"/>
      <c r="CR188" s="112"/>
      <c r="CS188" s="112"/>
      <c r="CT188" s="112"/>
      <c r="CU188" s="112"/>
      <c r="CV188" s="112"/>
      <c r="CW188" s="112"/>
      <c r="CX188" s="112"/>
      <c r="CY188" s="112"/>
      <c r="CZ188" s="112"/>
      <c r="DA188" s="93"/>
      <c r="DB188" s="112"/>
      <c r="DC188" s="112"/>
      <c r="DD188" s="91"/>
      <c r="DE188" s="91"/>
      <c r="DF188" s="91"/>
      <c r="DG188" s="91"/>
      <c r="DH188" s="91"/>
      <c r="DI188" s="91"/>
      <c r="DJ188" s="91"/>
      <c r="DK188" s="91"/>
      <c r="DL188" s="91"/>
      <c r="DM188" s="91"/>
      <c r="DN188" s="91"/>
      <c r="DO188" s="91"/>
      <c r="DP188" s="85"/>
      <c r="DQ188" s="85"/>
      <c r="DR188" s="85"/>
      <c r="DS188" s="85"/>
      <c r="DT188" s="85"/>
      <c r="DU188" s="85"/>
      <c r="DV188" s="85"/>
      <c r="DW188" s="85"/>
      <c r="DX188" s="85"/>
      <c r="DY188" s="85"/>
      <c r="DZ188" s="85"/>
      <c r="EA188" s="85"/>
      <c r="EC188" s="85"/>
    </row>
    <row r="189" spans="2:133" s="113" customFormat="1" ht="12.75" customHeight="1">
      <c r="B189" s="93" t="s">
        <v>87</v>
      </c>
      <c r="C189" s="92"/>
      <c r="D189" s="92"/>
      <c r="E189" s="92"/>
      <c r="F189" s="92"/>
      <c r="G189" s="92"/>
      <c r="H189" s="92"/>
      <c r="I189" s="92"/>
      <c r="J189" s="92"/>
      <c r="K189" s="92">
        <f t="shared" ref="K189:V189" si="318">ROUND(K103/K188,2)</f>
        <v>-1.79</v>
      </c>
      <c r="L189" s="92">
        <f t="shared" si="318"/>
        <v>-1.67</v>
      </c>
      <c r="M189" s="92">
        <f t="shared" si="318"/>
        <v>-1.74</v>
      </c>
      <c r="N189" s="92">
        <f t="shared" si="318"/>
        <v>-1.9</v>
      </c>
      <c r="O189" s="92" t="e">
        <f t="shared" si="318"/>
        <v>#REF!</v>
      </c>
      <c r="P189" s="92" t="e">
        <f t="shared" si="318"/>
        <v>#REF!</v>
      </c>
      <c r="Q189" s="92">
        <f t="shared" si="318"/>
        <v>-1.27</v>
      </c>
      <c r="R189" s="92">
        <f t="shared" si="318"/>
        <v>-1.25</v>
      </c>
      <c r="S189" s="92">
        <f t="shared" si="318"/>
        <v>-1.23</v>
      </c>
      <c r="T189" s="92">
        <f t="shared" si="318"/>
        <v>-1.34</v>
      </c>
      <c r="U189" s="92">
        <f t="shared" si="318"/>
        <v>-1.22</v>
      </c>
      <c r="V189" s="92">
        <f t="shared" si="318"/>
        <v>-1.19</v>
      </c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2"/>
      <c r="AT189" s="92"/>
      <c r="AU189" s="92"/>
      <c r="AV189" s="92"/>
      <c r="AW189" s="92"/>
      <c r="AX189" s="92"/>
      <c r="AY189" s="92"/>
      <c r="AZ189" s="92"/>
      <c r="BA189" s="92"/>
      <c r="BB189" s="92"/>
      <c r="BC189" s="92"/>
      <c r="BD189" s="92"/>
      <c r="BE189" s="92"/>
      <c r="BF189" s="92"/>
      <c r="BG189" s="92"/>
      <c r="BH189" s="92"/>
      <c r="BI189" s="92"/>
      <c r="BJ189" s="92"/>
      <c r="BK189" s="92"/>
      <c r="BL189" s="92"/>
      <c r="BM189" s="92"/>
      <c r="BN189" s="92"/>
      <c r="BO189" s="92"/>
      <c r="BP189" s="92"/>
      <c r="BQ189" s="92"/>
      <c r="BR189" s="92"/>
      <c r="BS189" s="92"/>
      <c r="BT189" s="92"/>
      <c r="BU189" s="92"/>
      <c r="BV189" s="92"/>
      <c r="BW189" s="92"/>
      <c r="BX189" s="92"/>
      <c r="BY189" s="92"/>
      <c r="BZ189" s="92"/>
      <c r="CA189" s="92"/>
      <c r="CB189" s="92"/>
      <c r="CC189" s="92"/>
      <c r="CD189" s="92"/>
      <c r="CE189" s="92"/>
      <c r="CF189" s="92"/>
      <c r="CG189" s="92"/>
      <c r="CH189" s="92"/>
      <c r="CI189" s="92"/>
      <c r="CJ189" s="92"/>
      <c r="CK189" s="92"/>
      <c r="CL189" s="92"/>
      <c r="CM189" s="92"/>
      <c r="CN189" s="92"/>
      <c r="CO189" s="92"/>
      <c r="CP189" s="92"/>
      <c r="CQ189" s="92"/>
      <c r="CR189" s="92"/>
      <c r="CS189" s="92"/>
      <c r="CT189" s="92"/>
      <c r="CU189" s="92"/>
      <c r="CV189" s="92"/>
      <c r="CW189" s="92"/>
      <c r="CX189" s="92"/>
      <c r="CY189" s="92"/>
      <c r="CZ189" s="92"/>
      <c r="DA189" s="93"/>
      <c r="DB189" s="92"/>
      <c r="DC189" s="92"/>
      <c r="DD189" s="92"/>
      <c r="DE189" s="92"/>
      <c r="DF189" s="92"/>
      <c r="DG189" s="92"/>
      <c r="DH189" s="92"/>
      <c r="DI189" s="92"/>
      <c r="DJ189" s="92"/>
      <c r="DK189" s="92"/>
      <c r="DL189" s="92"/>
      <c r="DM189" s="92"/>
      <c r="DN189" s="92"/>
      <c r="DO189" s="92"/>
      <c r="DP189" s="92"/>
      <c r="DQ189" s="92"/>
      <c r="DR189" s="92"/>
      <c r="DS189" s="92"/>
      <c r="DT189" s="92"/>
      <c r="DU189" s="92"/>
      <c r="DV189" s="92"/>
      <c r="DW189" s="92"/>
      <c r="DX189" s="92"/>
      <c r="DY189" s="92"/>
      <c r="DZ189" s="92"/>
      <c r="EA189" s="92"/>
      <c r="EC189" s="92"/>
    </row>
    <row r="190" spans="2:133" s="90" customFormat="1" ht="12.75" customHeight="1">
      <c r="B190" s="93" t="s">
        <v>88</v>
      </c>
      <c r="C190" s="112"/>
      <c r="D190" s="112"/>
      <c r="E190" s="112"/>
      <c r="F190" s="112"/>
      <c r="G190" s="112"/>
      <c r="H190" s="112"/>
      <c r="I190" s="92"/>
      <c r="J190" s="92"/>
      <c r="K190" s="92"/>
      <c r="L190" s="92"/>
      <c r="M190" s="92"/>
      <c r="N190" s="92"/>
      <c r="O190" s="92" t="e">
        <f>-#REF!</f>
        <v>#REF!</v>
      </c>
      <c r="P190" s="92" t="e">
        <f>-#REF!</f>
        <v>#REF!</v>
      </c>
      <c r="Q190" s="92" t="e">
        <f>-#REF!</f>
        <v>#REF!</v>
      </c>
      <c r="R190" s="92" t="e">
        <f>-#REF!</f>
        <v>#REF!</v>
      </c>
      <c r="S190" s="92" t="e">
        <f>-#REF!</f>
        <v>#REF!</v>
      </c>
      <c r="T190" s="92">
        <f>$DF$190/4</f>
        <v>0</v>
      </c>
      <c r="U190" s="92">
        <f>$DF$190/4</f>
        <v>0</v>
      </c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2"/>
      <c r="AT190" s="92"/>
      <c r="AU190" s="92"/>
      <c r="AV190" s="92"/>
      <c r="AW190" s="92"/>
      <c r="AX190" s="92"/>
      <c r="AY190" s="92"/>
      <c r="AZ190" s="92"/>
      <c r="BA190" s="92"/>
      <c r="BB190" s="92"/>
      <c r="BC190" s="92"/>
      <c r="BD190" s="92"/>
      <c r="BE190" s="92"/>
      <c r="BF190" s="92"/>
      <c r="BG190" s="92"/>
      <c r="BH190" s="92"/>
      <c r="BI190" s="92"/>
      <c r="BJ190" s="92"/>
      <c r="BK190" s="92"/>
      <c r="BL190" s="92"/>
      <c r="BM190" s="92"/>
      <c r="BN190" s="92"/>
      <c r="BO190" s="92"/>
      <c r="BP190" s="92"/>
      <c r="BQ190" s="92"/>
      <c r="BR190" s="92"/>
      <c r="BS190" s="92"/>
      <c r="BT190" s="92"/>
      <c r="BU190" s="92"/>
      <c r="BV190" s="92"/>
      <c r="BW190" s="92"/>
      <c r="BX190" s="92"/>
      <c r="BY190" s="92"/>
      <c r="BZ190" s="92"/>
      <c r="CA190" s="92"/>
      <c r="CB190" s="92"/>
      <c r="CC190" s="92"/>
      <c r="CD190" s="92"/>
      <c r="CE190" s="92"/>
      <c r="CF190" s="92"/>
      <c r="CG190" s="92"/>
      <c r="CH190" s="92"/>
      <c r="CI190" s="92"/>
      <c r="CJ190" s="92"/>
      <c r="CK190" s="92"/>
      <c r="CL190" s="92"/>
      <c r="CM190" s="92"/>
      <c r="CN190" s="92"/>
      <c r="CO190" s="92"/>
      <c r="CP190" s="92"/>
      <c r="CQ190" s="92"/>
      <c r="CR190" s="92"/>
      <c r="CS190" s="92"/>
      <c r="CT190" s="92"/>
      <c r="CU190" s="92"/>
      <c r="CV190" s="92"/>
      <c r="CW190" s="92"/>
      <c r="CX190" s="92"/>
      <c r="CY190" s="92"/>
      <c r="CZ190" s="92"/>
      <c r="DA190" s="93"/>
      <c r="DB190" s="112"/>
      <c r="DC190" s="112"/>
      <c r="DD190" s="112"/>
      <c r="DE190" s="92"/>
      <c r="DF190" s="92"/>
      <c r="DG190" s="92"/>
      <c r="DH190" s="92"/>
      <c r="DI190" s="92"/>
      <c r="DJ190" s="92"/>
      <c r="DK190" s="92"/>
      <c r="DL190" s="92"/>
      <c r="DM190" s="92"/>
      <c r="DN190" s="92"/>
      <c r="DO190" s="92"/>
      <c r="DP190" s="85"/>
      <c r="DQ190" s="85"/>
      <c r="DR190" s="85"/>
      <c r="DS190" s="85"/>
      <c r="DT190" s="85"/>
      <c r="DU190" s="85"/>
      <c r="DV190" s="85"/>
      <c r="DW190" s="85"/>
      <c r="DX190" s="85"/>
      <c r="DY190" s="85"/>
      <c r="DZ190" s="85"/>
      <c r="EA190" s="85"/>
      <c r="EC190" s="85"/>
    </row>
    <row r="191" spans="2:133" s="90" customFormat="1" ht="12.75" customHeight="1">
      <c r="B191" s="93" t="s">
        <v>78</v>
      </c>
      <c r="C191" s="112"/>
      <c r="D191" s="112"/>
      <c r="E191" s="112"/>
      <c r="F191" s="112"/>
      <c r="G191" s="112"/>
      <c r="H191" s="112"/>
      <c r="I191" s="91"/>
      <c r="J191" s="91"/>
      <c r="K191" s="91">
        <f t="shared" ref="K191:U191" si="319">K101+K95+K94+K184</f>
        <v>-3021.7999999999997</v>
      </c>
      <c r="L191" s="91">
        <f t="shared" si="319"/>
        <v>-2563</v>
      </c>
      <c r="M191" s="91">
        <f t="shared" si="319"/>
        <v>-2950.9000000000005</v>
      </c>
      <c r="N191" s="91">
        <f t="shared" si="319"/>
        <v>-3537.7999999999997</v>
      </c>
      <c r="O191" s="91" t="e">
        <f t="shared" si="319"/>
        <v>#REF!</v>
      </c>
      <c r="P191" s="91" t="e">
        <f t="shared" si="319"/>
        <v>#REF!</v>
      </c>
      <c r="Q191" s="91" t="e">
        <f t="shared" si="319"/>
        <v>#REF!</v>
      </c>
      <c r="R191" s="91" t="e">
        <f t="shared" si="319"/>
        <v>#REF!</v>
      </c>
      <c r="S191" s="91" t="e">
        <f t="shared" si="319"/>
        <v>#REF!</v>
      </c>
      <c r="T191" s="91">
        <f t="shared" si="319"/>
        <v>-2190.2000000000003</v>
      </c>
      <c r="U191" s="91">
        <f t="shared" si="319"/>
        <v>-1877.1000000000001</v>
      </c>
      <c r="V191" s="91"/>
      <c r="W191" s="91"/>
      <c r="X191" s="91"/>
      <c r="Y191" s="92"/>
      <c r="Z191" s="91"/>
      <c r="AA191" s="92"/>
      <c r="AB191" s="91"/>
      <c r="AC191" s="91"/>
      <c r="AD191" s="91"/>
      <c r="AE191" s="91"/>
      <c r="AF191" s="91"/>
      <c r="AG191" s="91"/>
      <c r="AH191" s="91"/>
      <c r="AI191" s="91"/>
      <c r="AJ191" s="91"/>
      <c r="AK191" s="91"/>
      <c r="AL191" s="91"/>
      <c r="AM191" s="91"/>
      <c r="AN191" s="91"/>
      <c r="AO191" s="91"/>
      <c r="AP191" s="91"/>
      <c r="AQ191" s="91"/>
      <c r="AR191" s="91"/>
      <c r="AS191" s="91"/>
      <c r="AT191" s="91"/>
      <c r="AU191" s="91"/>
      <c r="AV191" s="91"/>
      <c r="AW191" s="91"/>
      <c r="AX191" s="91"/>
      <c r="AY191" s="91"/>
      <c r="AZ191" s="91"/>
      <c r="BA191" s="91"/>
      <c r="BB191" s="91"/>
      <c r="BC191" s="91"/>
      <c r="BD191" s="91"/>
      <c r="BE191" s="91"/>
      <c r="BF191" s="91"/>
      <c r="BG191" s="91"/>
      <c r="BH191" s="91"/>
      <c r="BI191" s="91"/>
      <c r="BJ191" s="91"/>
      <c r="BK191" s="91"/>
      <c r="BL191" s="91"/>
      <c r="BM191" s="91"/>
      <c r="BN191" s="91"/>
      <c r="BO191" s="91"/>
      <c r="BP191" s="91"/>
      <c r="BQ191" s="91"/>
      <c r="BR191" s="91"/>
      <c r="BS191" s="91"/>
      <c r="BT191" s="91"/>
      <c r="BU191" s="91"/>
      <c r="BV191" s="91"/>
      <c r="BW191" s="91"/>
      <c r="BX191" s="91"/>
      <c r="BY191" s="91"/>
      <c r="BZ191" s="91"/>
      <c r="CA191" s="91"/>
      <c r="CB191" s="91"/>
      <c r="CC191" s="91"/>
      <c r="CD191" s="91"/>
      <c r="CE191" s="91"/>
      <c r="CF191" s="91"/>
      <c r="CG191" s="91"/>
      <c r="CH191" s="91"/>
      <c r="CI191" s="91"/>
      <c r="CJ191" s="91"/>
      <c r="CK191" s="91"/>
      <c r="CL191" s="91"/>
      <c r="CM191" s="91"/>
      <c r="CN191" s="91"/>
      <c r="CO191" s="91"/>
      <c r="CP191" s="91"/>
      <c r="CQ191" s="91"/>
      <c r="CR191" s="91"/>
      <c r="CS191" s="91"/>
      <c r="CT191" s="91"/>
      <c r="CU191" s="91"/>
      <c r="CV191" s="91"/>
      <c r="CW191" s="91"/>
      <c r="CX191" s="91"/>
      <c r="CY191" s="91"/>
      <c r="CZ191" s="91"/>
      <c r="DA191" s="93"/>
      <c r="DB191" s="112"/>
      <c r="DC191" s="112"/>
      <c r="DD191" s="91">
        <f>DD101+DD95+DD94+DD184</f>
        <v>-9408.5</v>
      </c>
      <c r="DE191" s="91">
        <f>DE101+DE95+DE94+DE184</f>
        <v>-8785.5</v>
      </c>
      <c r="DF191" s="91">
        <f>DF101+DF95+DF94+DF184</f>
        <v>-8008.9999999999991</v>
      </c>
      <c r="DG191" s="91"/>
      <c r="DH191" s="91"/>
      <c r="DI191" s="91"/>
      <c r="DJ191" s="91"/>
      <c r="DK191" s="91"/>
      <c r="DL191" s="91"/>
      <c r="DM191" s="91"/>
      <c r="DN191" s="91"/>
      <c r="DO191" s="91"/>
      <c r="DP191" s="85"/>
      <c r="DQ191" s="85"/>
      <c r="DR191" s="85"/>
      <c r="DS191" s="85"/>
      <c r="DT191" s="85"/>
      <c r="DU191" s="85"/>
      <c r="DV191" s="85"/>
      <c r="DW191" s="85"/>
      <c r="DX191" s="85"/>
      <c r="DY191" s="85"/>
      <c r="DZ191" s="85"/>
      <c r="EA191" s="85"/>
      <c r="EC191" s="85"/>
    </row>
    <row r="192" spans="2:133" s="90" customFormat="1" ht="12.75" customHeight="1">
      <c r="B192" s="93"/>
      <c r="C192" s="112"/>
      <c r="D192" s="112"/>
      <c r="E192" s="112"/>
      <c r="F192" s="112"/>
      <c r="G192" s="112"/>
      <c r="H192" s="11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2"/>
      <c r="AT192" s="92"/>
      <c r="AU192" s="92"/>
      <c r="AV192" s="92"/>
      <c r="AW192" s="92"/>
      <c r="AX192" s="92"/>
      <c r="AY192" s="92"/>
      <c r="AZ192" s="92"/>
      <c r="BA192" s="92"/>
      <c r="BB192" s="92"/>
      <c r="BC192" s="92"/>
      <c r="BD192" s="92"/>
      <c r="BE192" s="92"/>
      <c r="BF192" s="92"/>
      <c r="BG192" s="92"/>
      <c r="BH192" s="92"/>
      <c r="BI192" s="92"/>
      <c r="BJ192" s="92"/>
      <c r="BK192" s="92"/>
      <c r="BL192" s="92"/>
      <c r="BM192" s="92"/>
      <c r="BN192" s="92"/>
      <c r="BO192" s="92"/>
      <c r="BP192" s="92"/>
      <c r="BQ192" s="92"/>
      <c r="BR192" s="92"/>
      <c r="BS192" s="92"/>
      <c r="BT192" s="92"/>
      <c r="BU192" s="92"/>
      <c r="BV192" s="92"/>
      <c r="BW192" s="92"/>
      <c r="BX192" s="92"/>
      <c r="BY192" s="92"/>
      <c r="BZ192" s="92"/>
      <c r="CA192" s="92"/>
      <c r="CB192" s="92"/>
      <c r="CC192" s="92"/>
      <c r="CD192" s="92"/>
      <c r="CE192" s="92"/>
      <c r="CF192" s="92"/>
      <c r="CG192" s="92"/>
      <c r="CH192" s="92"/>
      <c r="CI192" s="92"/>
      <c r="CJ192" s="92"/>
      <c r="CK192" s="92"/>
      <c r="CL192" s="92"/>
      <c r="CM192" s="92"/>
      <c r="CN192" s="92"/>
      <c r="CO192" s="92"/>
      <c r="CP192" s="92"/>
      <c r="CQ192" s="92"/>
      <c r="CR192" s="92"/>
      <c r="CS192" s="92"/>
      <c r="CT192" s="92"/>
      <c r="CU192" s="92"/>
      <c r="CV192" s="92"/>
      <c r="CW192" s="92"/>
      <c r="CX192" s="92"/>
      <c r="CY192" s="92"/>
      <c r="CZ192" s="92"/>
      <c r="DA192" s="93"/>
      <c r="DB192" s="112"/>
      <c r="DC192" s="112"/>
      <c r="DD192" s="112"/>
      <c r="DE192" s="92"/>
      <c r="DF192" s="92"/>
      <c r="DG192" s="92"/>
      <c r="DH192" s="92"/>
      <c r="DI192" s="92"/>
      <c r="DJ192" s="92"/>
      <c r="DK192" s="92"/>
      <c r="DL192" s="92"/>
      <c r="DM192" s="92"/>
      <c r="DN192" s="92"/>
      <c r="DO192" s="92"/>
      <c r="DP192" s="85"/>
      <c r="DQ192" s="85"/>
      <c r="DR192" s="85"/>
      <c r="DS192" s="85"/>
      <c r="DT192" s="85"/>
      <c r="DU192" s="85"/>
      <c r="DV192" s="85"/>
      <c r="DW192" s="85"/>
      <c r="DX192" s="85"/>
      <c r="DY192" s="85"/>
      <c r="DZ192" s="85"/>
      <c r="EA192" s="85"/>
      <c r="EC192" s="85"/>
    </row>
    <row r="193" spans="2:133" s="90" customFormat="1" ht="12.75" customHeight="1">
      <c r="B193" s="93" t="s">
        <v>89</v>
      </c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92"/>
      <c r="Z193" s="112"/>
      <c r="AA193" s="92"/>
      <c r="AB193" s="112"/>
      <c r="AC193" s="112"/>
      <c r="AD193" s="112"/>
      <c r="AE193" s="112"/>
      <c r="AF193" s="112"/>
      <c r="AG193" s="112"/>
      <c r="AH193" s="112"/>
      <c r="AI193" s="112"/>
      <c r="AJ193" s="112"/>
      <c r="AK193" s="112"/>
      <c r="AL193" s="112"/>
      <c r="AM193" s="112"/>
      <c r="AN193" s="112"/>
      <c r="AO193" s="112"/>
      <c r="AP193" s="112"/>
      <c r="AQ193" s="112"/>
      <c r="AR193" s="112"/>
      <c r="AS193" s="112"/>
      <c r="AT193" s="112"/>
      <c r="AU193" s="112"/>
      <c r="AV193" s="112"/>
      <c r="AW193" s="112"/>
      <c r="AX193" s="112"/>
      <c r="AY193" s="112"/>
      <c r="AZ193" s="112"/>
      <c r="BA193" s="112"/>
      <c r="BB193" s="112"/>
      <c r="BC193" s="112"/>
      <c r="BD193" s="112"/>
      <c r="BE193" s="112"/>
      <c r="BF193" s="112"/>
      <c r="BG193" s="112"/>
      <c r="BH193" s="112"/>
      <c r="BI193" s="112"/>
      <c r="BJ193" s="112"/>
      <c r="BK193" s="112"/>
      <c r="BL193" s="112"/>
      <c r="BM193" s="112"/>
      <c r="BN193" s="112"/>
      <c r="BO193" s="112"/>
      <c r="BP193" s="112"/>
      <c r="BQ193" s="112"/>
      <c r="BR193" s="112"/>
      <c r="BS193" s="112"/>
      <c r="BT193" s="112"/>
      <c r="BU193" s="112"/>
      <c r="BV193" s="112"/>
      <c r="BW193" s="112"/>
      <c r="BX193" s="112"/>
      <c r="BY193" s="112"/>
      <c r="BZ193" s="112"/>
      <c r="CA193" s="112"/>
      <c r="CB193" s="112"/>
      <c r="CC193" s="112"/>
      <c r="CD193" s="112"/>
      <c r="CE193" s="112"/>
      <c r="CF193" s="112"/>
      <c r="CG193" s="112"/>
      <c r="CH193" s="112"/>
      <c r="CI193" s="112"/>
      <c r="CJ193" s="112"/>
      <c r="CK193" s="112"/>
      <c r="CL193" s="112"/>
      <c r="CM193" s="112"/>
      <c r="CN193" s="112"/>
      <c r="CO193" s="112"/>
      <c r="CP193" s="112"/>
      <c r="CQ193" s="112"/>
      <c r="CR193" s="112"/>
      <c r="CS193" s="112"/>
      <c r="CT193" s="112"/>
      <c r="CU193" s="112"/>
      <c r="CV193" s="112"/>
      <c r="CW193" s="112"/>
      <c r="CX193" s="112"/>
      <c r="CY193" s="112"/>
      <c r="CZ193" s="112"/>
      <c r="DA193" s="93"/>
      <c r="DB193" s="112"/>
      <c r="DC193" s="112"/>
      <c r="DD193" s="112"/>
      <c r="DE193" s="112"/>
      <c r="DF193" s="112"/>
      <c r="DG193" s="112"/>
      <c r="DH193" s="112"/>
      <c r="DI193" s="112"/>
      <c r="DJ193" s="112"/>
      <c r="DK193" s="112"/>
      <c r="DL193" s="112"/>
      <c r="DM193" s="112"/>
      <c r="DN193" s="112"/>
      <c r="DO193" s="112"/>
      <c r="DP193" s="85"/>
      <c r="DQ193" s="85"/>
      <c r="DR193" s="85"/>
      <c r="DS193" s="85"/>
      <c r="DT193" s="85"/>
      <c r="DU193" s="85"/>
      <c r="DV193" s="85"/>
      <c r="DW193" s="85"/>
      <c r="DX193" s="85"/>
      <c r="DY193" s="85"/>
      <c r="DZ193" s="85"/>
      <c r="EA193" s="85"/>
      <c r="EC193" s="85"/>
    </row>
    <row r="194" spans="2:133" s="90" customFormat="1" ht="12.75" customHeight="1">
      <c r="B194" s="93" t="s">
        <v>90</v>
      </c>
      <c r="C194" s="112"/>
      <c r="D194" s="112"/>
      <c r="E194" s="112"/>
      <c r="F194" s="112"/>
      <c r="G194" s="112"/>
      <c r="H194" s="112"/>
      <c r="I194" s="112"/>
      <c r="J194" s="112"/>
      <c r="K194" s="112">
        <v>0</v>
      </c>
      <c r="L194" s="112">
        <v>0</v>
      </c>
      <c r="M194" s="112">
        <v>0</v>
      </c>
      <c r="N194" s="112">
        <v>195</v>
      </c>
      <c r="O194" s="112">
        <f>90-P194-Q194</f>
        <v>35</v>
      </c>
      <c r="P194" s="112">
        <v>21</v>
      </c>
      <c r="Q194" s="112">
        <v>34</v>
      </c>
      <c r="R194" s="112">
        <v>16</v>
      </c>
      <c r="S194" s="112"/>
      <c r="T194" s="112"/>
      <c r="U194" s="112"/>
      <c r="V194" s="112"/>
      <c r="W194" s="112"/>
      <c r="X194" s="112"/>
      <c r="Y194" s="92"/>
      <c r="Z194" s="112"/>
      <c r="AA194" s="9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/>
      <c r="AL194" s="112"/>
      <c r="AM194" s="112"/>
      <c r="AN194" s="112"/>
      <c r="AO194" s="112"/>
      <c r="AP194" s="112"/>
      <c r="AQ194" s="112"/>
      <c r="AR194" s="112"/>
      <c r="AS194" s="112"/>
      <c r="AT194" s="112"/>
      <c r="AU194" s="112"/>
      <c r="AV194" s="112"/>
      <c r="AW194" s="112"/>
      <c r="AX194" s="112"/>
      <c r="AY194" s="112"/>
      <c r="AZ194" s="112"/>
      <c r="BA194" s="112"/>
      <c r="BB194" s="112"/>
      <c r="BC194" s="112"/>
      <c r="BD194" s="112"/>
      <c r="BE194" s="112"/>
      <c r="BF194" s="112"/>
      <c r="BG194" s="112"/>
      <c r="BH194" s="112"/>
      <c r="BI194" s="112"/>
      <c r="BJ194" s="112"/>
      <c r="BK194" s="112"/>
      <c r="BL194" s="112"/>
      <c r="BM194" s="112"/>
      <c r="BN194" s="112"/>
      <c r="BO194" s="112"/>
      <c r="BP194" s="112"/>
      <c r="BQ194" s="112"/>
      <c r="BR194" s="112"/>
      <c r="BS194" s="112"/>
      <c r="BT194" s="112"/>
      <c r="BU194" s="112"/>
      <c r="BV194" s="112"/>
      <c r="BW194" s="112"/>
      <c r="BX194" s="112"/>
      <c r="BY194" s="112"/>
      <c r="BZ194" s="112"/>
      <c r="CA194" s="112"/>
      <c r="CB194" s="112"/>
      <c r="CC194" s="112"/>
      <c r="CD194" s="112"/>
      <c r="CE194" s="112"/>
      <c r="CF194" s="112"/>
      <c r="CG194" s="112"/>
      <c r="CH194" s="112"/>
      <c r="CI194" s="112"/>
      <c r="CJ194" s="112"/>
      <c r="CK194" s="112"/>
      <c r="CL194" s="112"/>
      <c r="CM194" s="112"/>
      <c r="CN194" s="112"/>
      <c r="CO194" s="112"/>
      <c r="CP194" s="112"/>
      <c r="CQ194" s="112"/>
      <c r="CR194" s="112"/>
      <c r="CS194" s="112"/>
      <c r="CT194" s="112"/>
      <c r="CU194" s="112"/>
      <c r="CV194" s="112"/>
      <c r="CW194" s="112"/>
      <c r="CX194" s="112"/>
      <c r="CY194" s="112"/>
      <c r="CZ194" s="112"/>
      <c r="DA194" s="93"/>
      <c r="DB194" s="112"/>
      <c r="DC194" s="112"/>
      <c r="DD194" s="91">
        <f t="shared" ref="DD194:DD199" si="320">SUM(K194:N194)</f>
        <v>195</v>
      </c>
      <c r="DE194" s="91">
        <f t="shared" ref="DE194:DE199" si="321">SUM(O194:R194)</f>
        <v>106</v>
      </c>
      <c r="DF194" s="114">
        <f>DF90/DE198-1</f>
        <v>0.17784746140269703</v>
      </c>
      <c r="DG194" s="114"/>
      <c r="DH194" s="114"/>
      <c r="DI194" s="114"/>
      <c r="DJ194" s="114"/>
      <c r="DK194" s="114"/>
      <c r="DL194" s="114"/>
      <c r="DM194" s="114"/>
      <c r="DN194" s="114"/>
      <c r="DO194" s="114"/>
      <c r="DP194" s="85"/>
      <c r="DQ194" s="85"/>
      <c r="DR194" s="85"/>
      <c r="DS194" s="85"/>
      <c r="DT194" s="85"/>
      <c r="DU194" s="85"/>
      <c r="DV194" s="85"/>
      <c r="DW194" s="85"/>
      <c r="DX194" s="85"/>
      <c r="DY194" s="85"/>
      <c r="DZ194" s="85"/>
      <c r="EA194" s="85"/>
      <c r="EC194" s="85"/>
    </row>
    <row r="195" spans="2:133" s="90" customFormat="1" ht="12.75" customHeight="1">
      <c r="B195" s="93" t="s">
        <v>91</v>
      </c>
      <c r="C195" s="112"/>
      <c r="D195" s="112"/>
      <c r="E195" s="112"/>
      <c r="F195" s="112"/>
      <c r="G195" s="112"/>
      <c r="H195" s="112"/>
      <c r="I195" s="85"/>
      <c r="J195" s="85"/>
      <c r="K195" s="85">
        <v>0</v>
      </c>
      <c r="L195" s="85">
        <v>0</v>
      </c>
      <c r="M195" s="85">
        <v>0</v>
      </c>
      <c r="N195" s="85">
        <v>0</v>
      </c>
      <c r="O195" s="85">
        <v>0</v>
      </c>
      <c r="P195" s="85">
        <v>0</v>
      </c>
      <c r="Q195" s="85">
        <v>93.2</v>
      </c>
      <c r="R195" s="85">
        <v>0</v>
      </c>
      <c r="S195" s="85"/>
      <c r="T195" s="85"/>
      <c r="U195" s="85"/>
      <c r="V195" s="85"/>
      <c r="W195" s="85"/>
      <c r="X195" s="85"/>
      <c r="Y195" s="92"/>
      <c r="Z195" s="85"/>
      <c r="AA195" s="92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85"/>
      <c r="AS195" s="85"/>
      <c r="AT195" s="85"/>
      <c r="AU195" s="85"/>
      <c r="AV195" s="85"/>
      <c r="AW195" s="85"/>
      <c r="AX195" s="85"/>
      <c r="AY195" s="85"/>
      <c r="AZ195" s="85"/>
      <c r="BA195" s="85"/>
      <c r="BB195" s="85"/>
      <c r="BC195" s="85"/>
      <c r="BD195" s="85"/>
      <c r="BE195" s="85"/>
      <c r="BF195" s="85"/>
      <c r="BG195" s="85"/>
      <c r="BH195" s="85"/>
      <c r="BI195" s="85"/>
      <c r="BJ195" s="85"/>
      <c r="BK195" s="85"/>
      <c r="BL195" s="85"/>
      <c r="BM195" s="85"/>
      <c r="BN195" s="85"/>
      <c r="BO195" s="85"/>
      <c r="BP195" s="85"/>
      <c r="BQ195" s="85"/>
      <c r="BR195" s="85"/>
      <c r="BS195" s="85"/>
      <c r="BT195" s="85"/>
      <c r="BU195" s="85"/>
      <c r="BV195" s="85"/>
      <c r="BW195" s="85"/>
      <c r="BX195" s="85"/>
      <c r="BY195" s="85"/>
      <c r="BZ195" s="85"/>
      <c r="CA195" s="85"/>
      <c r="CB195" s="85"/>
      <c r="CC195" s="85"/>
      <c r="CD195" s="85"/>
      <c r="CE195" s="85"/>
      <c r="CF195" s="85"/>
      <c r="CG195" s="85"/>
      <c r="CH195" s="85"/>
      <c r="CI195" s="85"/>
      <c r="CJ195" s="85"/>
      <c r="CK195" s="85"/>
      <c r="CL195" s="85"/>
      <c r="CM195" s="85"/>
      <c r="CN195" s="85"/>
      <c r="CO195" s="85"/>
      <c r="CP195" s="85"/>
      <c r="CQ195" s="85"/>
      <c r="CR195" s="85"/>
      <c r="CS195" s="85"/>
      <c r="CT195" s="85"/>
      <c r="CU195" s="85"/>
      <c r="CV195" s="85"/>
      <c r="CW195" s="85"/>
      <c r="CX195" s="85"/>
      <c r="CY195" s="85"/>
      <c r="CZ195" s="85"/>
      <c r="DA195" s="93"/>
      <c r="DB195" s="112"/>
      <c r="DC195" s="112"/>
      <c r="DD195" s="91">
        <f t="shared" si="320"/>
        <v>0</v>
      </c>
      <c r="DE195" s="91">
        <f t="shared" si="321"/>
        <v>93.2</v>
      </c>
      <c r="DF195" s="114">
        <f>1-(DE199/DE87)</f>
        <v>0.60155559194367114</v>
      </c>
      <c r="DG195" s="114"/>
      <c r="DH195" s="114"/>
      <c r="DI195" s="114"/>
      <c r="DJ195" s="114"/>
      <c r="DK195" s="114"/>
      <c r="DL195" s="114"/>
      <c r="DM195" s="114"/>
      <c r="DN195" s="114"/>
      <c r="DO195" s="114"/>
      <c r="DP195" s="85"/>
      <c r="DQ195" s="85"/>
      <c r="DR195" s="85"/>
      <c r="DS195" s="85"/>
      <c r="DT195" s="85"/>
      <c r="DU195" s="85"/>
      <c r="DV195" s="85"/>
      <c r="DW195" s="85"/>
      <c r="DX195" s="85"/>
      <c r="DY195" s="85"/>
      <c r="DZ195" s="85"/>
      <c r="EA195" s="85"/>
      <c r="EC195" s="85"/>
    </row>
    <row r="196" spans="2:133" s="90" customFormat="1" ht="12.75" customHeight="1">
      <c r="B196" s="93" t="s">
        <v>92</v>
      </c>
      <c r="C196" s="112"/>
      <c r="D196" s="112"/>
      <c r="E196" s="112"/>
      <c r="F196" s="112"/>
      <c r="G196" s="112"/>
      <c r="H196" s="112"/>
      <c r="I196" s="85"/>
      <c r="J196" s="85"/>
      <c r="K196" s="85">
        <v>0</v>
      </c>
      <c r="L196" s="85">
        <v>0</v>
      </c>
      <c r="M196" s="85">
        <v>0</v>
      </c>
      <c r="N196" s="85">
        <v>0</v>
      </c>
      <c r="O196" s="85">
        <v>0</v>
      </c>
      <c r="P196" s="85">
        <v>0</v>
      </c>
      <c r="Q196" s="85">
        <v>141.4</v>
      </c>
      <c r="R196" s="85">
        <v>604</v>
      </c>
      <c r="S196" s="85"/>
      <c r="T196" s="85"/>
      <c r="U196" s="85"/>
      <c r="V196" s="85"/>
      <c r="W196" s="85"/>
      <c r="X196" s="85"/>
      <c r="Y196" s="92"/>
      <c r="Z196" s="85"/>
      <c r="AA196" s="92"/>
      <c r="AB196" s="85"/>
      <c r="AC196" s="85"/>
      <c r="AD196" s="85"/>
      <c r="AE196" s="85"/>
      <c r="AF196" s="85"/>
      <c r="AG196" s="85"/>
      <c r="AH196" s="85"/>
      <c r="AI196" s="85"/>
      <c r="AJ196" s="85"/>
      <c r="AK196" s="85"/>
      <c r="AL196" s="85"/>
      <c r="AM196" s="85"/>
      <c r="AN196" s="85"/>
      <c r="AO196" s="85"/>
      <c r="AP196" s="85"/>
      <c r="AQ196" s="85"/>
      <c r="AR196" s="85"/>
      <c r="AS196" s="85"/>
      <c r="AT196" s="85"/>
      <c r="AU196" s="85"/>
      <c r="AV196" s="85"/>
      <c r="AW196" s="85"/>
      <c r="AX196" s="85"/>
      <c r="AY196" s="85"/>
      <c r="AZ196" s="85"/>
      <c r="BA196" s="85"/>
      <c r="BB196" s="85"/>
      <c r="BC196" s="85"/>
      <c r="BD196" s="85"/>
      <c r="BE196" s="85"/>
      <c r="BF196" s="85"/>
      <c r="BG196" s="85"/>
      <c r="BH196" s="85"/>
      <c r="BI196" s="85"/>
      <c r="BJ196" s="85"/>
      <c r="BK196" s="85"/>
      <c r="BL196" s="85"/>
      <c r="BM196" s="85"/>
      <c r="BN196" s="85"/>
      <c r="BO196" s="85"/>
      <c r="BP196" s="85"/>
      <c r="BQ196" s="85"/>
      <c r="BR196" s="85"/>
      <c r="BS196" s="85"/>
      <c r="BT196" s="85"/>
      <c r="BU196" s="85"/>
      <c r="BV196" s="85"/>
      <c r="BW196" s="85"/>
      <c r="BX196" s="85"/>
      <c r="BY196" s="85"/>
      <c r="BZ196" s="85"/>
      <c r="CA196" s="85"/>
      <c r="CB196" s="85"/>
      <c r="CC196" s="85"/>
      <c r="CD196" s="85"/>
      <c r="CE196" s="85"/>
      <c r="CF196" s="85"/>
      <c r="CG196" s="85"/>
      <c r="CH196" s="85"/>
      <c r="CI196" s="85"/>
      <c r="CJ196" s="85"/>
      <c r="CK196" s="85"/>
      <c r="CL196" s="85"/>
      <c r="CM196" s="85"/>
      <c r="CN196" s="85"/>
      <c r="CO196" s="85"/>
      <c r="CP196" s="85"/>
      <c r="CQ196" s="85"/>
      <c r="CR196" s="85"/>
      <c r="CS196" s="85"/>
      <c r="CT196" s="85"/>
      <c r="CU196" s="85"/>
      <c r="CV196" s="85"/>
      <c r="CW196" s="85"/>
      <c r="CX196" s="85"/>
      <c r="CY196" s="85"/>
      <c r="CZ196" s="85"/>
      <c r="DA196" s="93"/>
      <c r="DB196" s="112"/>
      <c r="DC196" s="112"/>
      <c r="DD196" s="91">
        <f t="shared" si="320"/>
        <v>0</v>
      </c>
      <c r="DE196" s="91">
        <f t="shared" si="321"/>
        <v>745.4</v>
      </c>
      <c r="DF196" s="114"/>
      <c r="DG196" s="114"/>
      <c r="DH196" s="114"/>
      <c r="DI196" s="114"/>
      <c r="DJ196" s="114"/>
      <c r="DK196" s="114"/>
      <c r="DL196" s="114"/>
      <c r="DM196" s="114"/>
      <c r="DN196" s="114"/>
      <c r="DO196" s="114"/>
      <c r="DP196" s="85"/>
      <c r="DQ196" s="85"/>
      <c r="DR196" s="85"/>
      <c r="DS196" s="85"/>
      <c r="DT196" s="85"/>
      <c r="DU196" s="85"/>
      <c r="DV196" s="85"/>
      <c r="DW196" s="85"/>
      <c r="DX196" s="85"/>
      <c r="DY196" s="85"/>
      <c r="DZ196" s="85"/>
      <c r="EA196" s="85"/>
      <c r="EC196" s="85"/>
    </row>
    <row r="197" spans="2:133" s="90" customFormat="1" ht="12.75" customHeight="1">
      <c r="B197" s="93" t="s">
        <v>93</v>
      </c>
      <c r="C197" s="112"/>
      <c r="D197" s="112"/>
      <c r="E197" s="112"/>
      <c r="F197" s="112"/>
      <c r="G197" s="112"/>
      <c r="H197" s="112"/>
      <c r="I197" s="85"/>
      <c r="J197" s="85"/>
      <c r="K197" s="85">
        <v>0</v>
      </c>
      <c r="L197" s="85">
        <v>0</v>
      </c>
      <c r="M197" s="85">
        <v>0</v>
      </c>
      <c r="N197" s="85">
        <v>0</v>
      </c>
      <c r="O197" s="85">
        <v>0</v>
      </c>
      <c r="P197" s="85">
        <v>0</v>
      </c>
      <c r="Q197" s="85">
        <v>-173.6</v>
      </c>
      <c r="R197" s="85">
        <v>0</v>
      </c>
      <c r="S197" s="85"/>
      <c r="T197" s="85"/>
      <c r="U197" s="85"/>
      <c r="V197" s="85"/>
      <c r="W197" s="85"/>
      <c r="X197" s="85"/>
      <c r="Y197" s="92"/>
      <c r="Z197" s="85"/>
      <c r="AA197" s="92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85"/>
      <c r="AS197" s="85"/>
      <c r="AT197" s="85"/>
      <c r="AU197" s="85"/>
      <c r="AV197" s="85"/>
      <c r="AW197" s="85"/>
      <c r="AX197" s="85"/>
      <c r="AY197" s="85"/>
      <c r="AZ197" s="85"/>
      <c r="BA197" s="85"/>
      <c r="BB197" s="85"/>
      <c r="BC197" s="85"/>
      <c r="BD197" s="85"/>
      <c r="BE197" s="85"/>
      <c r="BF197" s="85"/>
      <c r="BG197" s="85"/>
      <c r="BH197" s="85"/>
      <c r="BI197" s="85"/>
      <c r="BJ197" s="85"/>
      <c r="BK197" s="85"/>
      <c r="BL197" s="85"/>
      <c r="BM197" s="85"/>
      <c r="BN197" s="85"/>
      <c r="BO197" s="85"/>
      <c r="BP197" s="85"/>
      <c r="BQ197" s="85"/>
      <c r="BR197" s="85"/>
      <c r="BS197" s="85"/>
      <c r="BT197" s="85"/>
      <c r="BU197" s="85"/>
      <c r="BV197" s="85"/>
      <c r="BW197" s="85"/>
      <c r="BX197" s="85"/>
      <c r="BY197" s="85"/>
      <c r="BZ197" s="85"/>
      <c r="CA197" s="85"/>
      <c r="CB197" s="85"/>
      <c r="CC197" s="85"/>
      <c r="CD197" s="85"/>
      <c r="CE197" s="85"/>
      <c r="CF197" s="85"/>
      <c r="CG197" s="85"/>
      <c r="CH197" s="85"/>
      <c r="CI197" s="85"/>
      <c r="CJ197" s="85"/>
      <c r="CK197" s="85"/>
      <c r="CL197" s="85"/>
      <c r="CM197" s="85"/>
      <c r="CN197" s="85"/>
      <c r="CO197" s="85"/>
      <c r="CP197" s="85"/>
      <c r="CQ197" s="85"/>
      <c r="CR197" s="85"/>
      <c r="CS197" s="85"/>
      <c r="CT197" s="85"/>
      <c r="CU197" s="85"/>
      <c r="CV197" s="85"/>
      <c r="CW197" s="85"/>
      <c r="CX197" s="85"/>
      <c r="CY197" s="85"/>
      <c r="CZ197" s="85"/>
      <c r="DA197" s="93"/>
      <c r="DB197" s="112"/>
      <c r="DC197" s="112"/>
      <c r="DD197" s="91">
        <f t="shared" si="320"/>
        <v>0</v>
      </c>
      <c r="DE197" s="91">
        <f t="shared" si="321"/>
        <v>-173.6</v>
      </c>
      <c r="DF197" s="85"/>
      <c r="DG197" s="85"/>
      <c r="DH197" s="85"/>
      <c r="DI197" s="85"/>
      <c r="DJ197" s="85"/>
      <c r="DK197" s="85"/>
      <c r="DL197" s="85"/>
      <c r="DM197" s="85"/>
      <c r="DN197" s="85"/>
      <c r="DO197" s="85"/>
      <c r="DP197" s="85"/>
      <c r="DQ197" s="85"/>
      <c r="DR197" s="85"/>
      <c r="DS197" s="85"/>
      <c r="DT197" s="85"/>
      <c r="DU197" s="85"/>
      <c r="DV197" s="85"/>
      <c r="DW197" s="85"/>
      <c r="DX197" s="85"/>
      <c r="DY197" s="85"/>
      <c r="DZ197" s="85"/>
      <c r="EA197" s="85"/>
      <c r="EC197" s="85"/>
    </row>
    <row r="198" spans="2:133" s="90" customFormat="1" ht="12.75" customHeight="1">
      <c r="B198" s="93" t="s">
        <v>94</v>
      </c>
      <c r="C198" s="112"/>
      <c r="D198" s="112"/>
      <c r="E198" s="112"/>
      <c r="F198" s="112"/>
      <c r="G198" s="112"/>
      <c r="H198" s="112"/>
      <c r="I198" s="114"/>
      <c r="J198" s="114"/>
      <c r="K198" s="114">
        <f t="shared" ref="K198:P198" si="322">K90-K194</f>
        <v>1547.3</v>
      </c>
      <c r="L198" s="114">
        <f t="shared" si="322"/>
        <v>1589.9</v>
      </c>
      <c r="M198" s="114">
        <f t="shared" si="322"/>
        <v>1463.6</v>
      </c>
      <c r="N198" s="114">
        <f t="shared" si="322"/>
        <v>1599.1</v>
      </c>
      <c r="O198" s="114">
        <f t="shared" si="322"/>
        <v>1542.4</v>
      </c>
      <c r="P198" s="114">
        <f t="shared" si="322"/>
        <v>1574.2</v>
      </c>
      <c r="Q198" s="114">
        <f>Q90-Q194-Q196</f>
        <v>1577.5</v>
      </c>
      <c r="R198" s="114">
        <f>R90-R196-R194</f>
        <v>1141.8000000000002</v>
      </c>
      <c r="S198" s="114">
        <f>S90/O198-1</f>
        <v>4.5967323651452174E-2</v>
      </c>
      <c r="T198" s="114">
        <f>T90/P198-1</f>
        <v>0.11504256130097823</v>
      </c>
      <c r="U198" s="114">
        <f>U90/Q198-1</f>
        <v>5.3058637083993609E-2</v>
      </c>
      <c r="V198" s="114">
        <f>V90/R198-1</f>
        <v>0.61499386932912925</v>
      </c>
      <c r="W198" s="114"/>
      <c r="X198" s="114"/>
      <c r="Y198" s="92"/>
      <c r="Z198" s="114"/>
      <c r="AA198" s="92"/>
      <c r="AB198" s="114"/>
      <c r="AC198" s="114"/>
      <c r="AD198" s="114"/>
      <c r="AE198" s="114"/>
      <c r="AF198" s="114"/>
      <c r="AG198" s="114"/>
      <c r="AH198" s="114"/>
      <c r="AI198" s="114"/>
      <c r="AJ198" s="114"/>
      <c r="AK198" s="114"/>
      <c r="AL198" s="114"/>
      <c r="AM198" s="114"/>
      <c r="AN198" s="114"/>
      <c r="AO198" s="114"/>
      <c r="AP198" s="114"/>
      <c r="AQ198" s="114"/>
      <c r="AR198" s="114"/>
      <c r="AS198" s="114"/>
      <c r="AT198" s="114"/>
      <c r="AU198" s="114"/>
      <c r="AV198" s="114"/>
      <c r="AW198" s="114"/>
      <c r="AX198" s="114"/>
      <c r="AY198" s="114"/>
      <c r="AZ198" s="114"/>
      <c r="BA198" s="114"/>
      <c r="BB198" s="114"/>
      <c r="BC198" s="114"/>
      <c r="BD198" s="114"/>
      <c r="BE198" s="114"/>
      <c r="BF198" s="114"/>
      <c r="BG198" s="114"/>
      <c r="BH198" s="114"/>
      <c r="BI198" s="114"/>
      <c r="BJ198" s="114"/>
      <c r="BK198" s="114"/>
      <c r="BL198" s="114"/>
      <c r="BM198" s="114"/>
      <c r="BN198" s="114"/>
      <c r="BO198" s="114"/>
      <c r="BP198" s="114"/>
      <c r="BQ198" s="114"/>
      <c r="BR198" s="114"/>
      <c r="BS198" s="114"/>
      <c r="BT198" s="114"/>
      <c r="BU198" s="114"/>
      <c r="BV198" s="114"/>
      <c r="BW198" s="114"/>
      <c r="BX198" s="114"/>
      <c r="BY198" s="114"/>
      <c r="BZ198" s="114"/>
      <c r="CA198" s="114"/>
      <c r="CB198" s="114"/>
      <c r="CC198" s="114"/>
      <c r="CD198" s="114"/>
      <c r="CE198" s="114"/>
      <c r="CF198" s="114"/>
      <c r="CG198" s="114"/>
      <c r="CH198" s="114"/>
      <c r="CI198" s="114"/>
      <c r="CJ198" s="114"/>
      <c r="CK198" s="114"/>
      <c r="CL198" s="114"/>
      <c r="CM198" s="114"/>
      <c r="CN198" s="114"/>
      <c r="CO198" s="114"/>
      <c r="CP198" s="114"/>
      <c r="CQ198" s="114"/>
      <c r="CR198" s="114"/>
      <c r="CS198" s="114"/>
      <c r="CT198" s="114"/>
      <c r="CU198" s="114"/>
      <c r="CV198" s="114"/>
      <c r="CW198" s="114"/>
      <c r="CX198" s="114"/>
      <c r="CY198" s="114"/>
      <c r="CZ198" s="114"/>
      <c r="DA198" s="93"/>
      <c r="DB198" s="112"/>
      <c r="DC198" s="112"/>
      <c r="DD198" s="112">
        <f t="shared" si="320"/>
        <v>6199.9</v>
      </c>
      <c r="DE198" s="112">
        <f t="shared" si="321"/>
        <v>5835.9000000000005</v>
      </c>
      <c r="DF198" s="85"/>
      <c r="DG198" s="85"/>
      <c r="DH198" s="85"/>
      <c r="DI198" s="85"/>
      <c r="DJ198" s="85"/>
      <c r="DK198" s="85"/>
      <c r="DL198" s="85"/>
      <c r="DM198" s="85"/>
      <c r="DN198" s="85"/>
      <c r="DO198" s="85"/>
      <c r="DP198" s="85"/>
      <c r="DQ198" s="85"/>
      <c r="DR198" s="85"/>
      <c r="DS198" s="85"/>
      <c r="DT198" s="85"/>
      <c r="DU198" s="85"/>
      <c r="DV198" s="85"/>
      <c r="DW198" s="85"/>
      <c r="DX198" s="85"/>
      <c r="DY198" s="85"/>
      <c r="DZ198" s="85"/>
      <c r="EA198" s="85"/>
      <c r="EC198" s="85"/>
    </row>
    <row r="199" spans="2:133" s="90" customFormat="1" ht="12.75" customHeight="1">
      <c r="B199" s="93" t="s">
        <v>95</v>
      </c>
      <c r="C199" s="112"/>
      <c r="D199" s="112"/>
      <c r="E199" s="112"/>
      <c r="F199" s="112"/>
      <c r="G199" s="112"/>
      <c r="H199" s="112"/>
      <c r="I199" s="85"/>
      <c r="J199" s="85"/>
      <c r="K199" s="85">
        <f t="shared" ref="K199:R199" si="323">K88-K195</f>
        <v>1046.8</v>
      </c>
      <c r="L199" s="85">
        <f t="shared" si="323"/>
        <v>988.5</v>
      </c>
      <c r="M199" s="85">
        <f t="shared" si="323"/>
        <v>1083.4000000000001</v>
      </c>
      <c r="N199" s="85">
        <f t="shared" si="323"/>
        <v>1228.3</v>
      </c>
      <c r="O199" s="85">
        <f t="shared" si="323"/>
        <v>1147.8</v>
      </c>
      <c r="P199" s="85">
        <f t="shared" si="323"/>
        <v>1164.2</v>
      </c>
      <c r="Q199" s="85">
        <f t="shared" si="323"/>
        <v>1271</v>
      </c>
      <c r="R199" s="85">
        <f t="shared" si="323"/>
        <v>1283.5999999999999</v>
      </c>
      <c r="S199" s="85"/>
      <c r="T199" s="85"/>
      <c r="U199" s="85"/>
      <c r="V199" s="85"/>
      <c r="W199" s="85"/>
      <c r="X199" s="85"/>
      <c r="Y199" s="92"/>
      <c r="Z199" s="85"/>
      <c r="AA199" s="92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  <c r="AP199" s="85"/>
      <c r="AQ199" s="85"/>
      <c r="AR199" s="85"/>
      <c r="AS199" s="85"/>
      <c r="AT199" s="85"/>
      <c r="AU199" s="85"/>
      <c r="AV199" s="85"/>
      <c r="AW199" s="85"/>
      <c r="AX199" s="85"/>
      <c r="AY199" s="85"/>
      <c r="AZ199" s="85"/>
      <c r="BA199" s="85"/>
      <c r="BB199" s="85"/>
      <c r="BC199" s="85"/>
      <c r="BD199" s="85"/>
      <c r="BE199" s="85"/>
      <c r="BF199" s="85"/>
      <c r="BG199" s="85"/>
      <c r="BH199" s="85"/>
      <c r="BI199" s="85"/>
      <c r="BJ199" s="85"/>
      <c r="BK199" s="85"/>
      <c r="BL199" s="85"/>
      <c r="BM199" s="85"/>
      <c r="BN199" s="85"/>
      <c r="BO199" s="85"/>
      <c r="BP199" s="85"/>
      <c r="BQ199" s="85"/>
      <c r="BR199" s="85"/>
      <c r="BS199" s="85"/>
      <c r="BT199" s="85"/>
      <c r="BU199" s="85"/>
      <c r="BV199" s="85"/>
      <c r="BW199" s="85"/>
      <c r="BX199" s="85"/>
      <c r="BY199" s="85"/>
      <c r="BZ199" s="85"/>
      <c r="CA199" s="85"/>
      <c r="CB199" s="85"/>
      <c r="CC199" s="85"/>
      <c r="CD199" s="85"/>
      <c r="CE199" s="85"/>
      <c r="CF199" s="85"/>
      <c r="CG199" s="85"/>
      <c r="CH199" s="85"/>
      <c r="CI199" s="85"/>
      <c r="CJ199" s="85"/>
      <c r="CK199" s="85"/>
      <c r="CL199" s="85"/>
      <c r="CM199" s="85"/>
      <c r="CN199" s="85"/>
      <c r="CO199" s="85"/>
      <c r="CP199" s="85"/>
      <c r="CQ199" s="85"/>
      <c r="CR199" s="85"/>
      <c r="CS199" s="85"/>
      <c r="CT199" s="85"/>
      <c r="CU199" s="85"/>
      <c r="CV199" s="85"/>
      <c r="CW199" s="85"/>
      <c r="CX199" s="85"/>
      <c r="CY199" s="85"/>
      <c r="CZ199" s="85"/>
      <c r="DA199" s="93"/>
      <c r="DB199" s="112"/>
      <c r="DC199" s="112"/>
      <c r="DD199" s="112">
        <f t="shared" si="320"/>
        <v>4347</v>
      </c>
      <c r="DE199" s="112">
        <f t="shared" si="321"/>
        <v>4866.6000000000004</v>
      </c>
      <c r="DF199" s="85"/>
      <c r="DG199" s="85"/>
      <c r="DH199" s="85"/>
      <c r="DI199" s="85"/>
      <c r="DJ199" s="85"/>
      <c r="DK199" s="85"/>
      <c r="DL199" s="85"/>
      <c r="DM199" s="85"/>
      <c r="DN199" s="85"/>
      <c r="DO199" s="85"/>
      <c r="DP199" s="85"/>
      <c r="DQ199" s="85"/>
      <c r="DR199" s="85"/>
      <c r="DS199" s="85"/>
      <c r="DT199" s="85"/>
      <c r="DU199" s="85"/>
      <c r="DV199" s="85"/>
      <c r="DW199" s="85"/>
      <c r="DX199" s="85"/>
      <c r="DY199" s="85"/>
      <c r="DZ199" s="85"/>
      <c r="EA199" s="85"/>
      <c r="EC199" s="85"/>
    </row>
    <row r="200" spans="2:133" s="81" customFormat="1" ht="12.75" customHeight="1">
      <c r="B200" s="73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92"/>
      <c r="Z200" s="60"/>
      <c r="AA200" s="92"/>
      <c r="AB200" s="60"/>
      <c r="AC200" s="112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V200" s="60"/>
      <c r="BW200" s="60"/>
      <c r="BX200" s="60"/>
      <c r="BY200" s="60"/>
      <c r="BZ200" s="60"/>
      <c r="CA200" s="60"/>
      <c r="CB200" s="60"/>
      <c r="CC200" s="60"/>
      <c r="CD200" s="60"/>
      <c r="CE200" s="60"/>
      <c r="CF200" s="60"/>
      <c r="CG200" s="60"/>
      <c r="CH200" s="60"/>
      <c r="CI200" s="60"/>
      <c r="CJ200" s="60"/>
      <c r="CK200" s="60"/>
      <c r="CL200" s="60"/>
      <c r="CM200" s="60"/>
      <c r="CN200" s="60"/>
      <c r="CO200" s="60"/>
      <c r="CP200" s="60"/>
      <c r="CQ200" s="60"/>
      <c r="CR200" s="60"/>
      <c r="CS200" s="60"/>
      <c r="CT200" s="60"/>
      <c r="CU200" s="60"/>
      <c r="CV200" s="60"/>
      <c r="CW200" s="60"/>
      <c r="CX200" s="60"/>
      <c r="CY200" s="60"/>
      <c r="CZ200" s="60"/>
      <c r="DA200" s="73"/>
      <c r="DB200" s="60"/>
      <c r="DC200" s="60"/>
      <c r="DD200" s="60"/>
      <c r="DE200" s="60"/>
      <c r="DF200" s="60"/>
      <c r="DG200" s="60"/>
      <c r="DH200" s="60"/>
      <c r="DI200" s="60"/>
      <c r="DJ200" s="60"/>
      <c r="DK200" s="60"/>
      <c r="DL200" s="60"/>
      <c r="DM200" s="60"/>
      <c r="DN200" s="60"/>
      <c r="DO200" s="60"/>
      <c r="DP200" s="82"/>
      <c r="DQ200" s="82"/>
      <c r="DR200" s="82"/>
      <c r="DS200" s="82"/>
      <c r="DT200" s="82"/>
      <c r="DU200" s="82"/>
      <c r="DV200" s="82"/>
      <c r="DW200" s="82"/>
      <c r="DX200" s="82"/>
      <c r="DY200" s="82"/>
      <c r="DZ200" s="82"/>
      <c r="EA200" s="82"/>
      <c r="EC200" s="85"/>
    </row>
    <row r="201" spans="2:133" s="81" customFormat="1" ht="12.75" customHeight="1">
      <c r="B201" s="73"/>
      <c r="C201" s="60"/>
      <c r="D201" s="60"/>
      <c r="E201" s="60"/>
      <c r="F201" s="60"/>
      <c r="G201" s="60"/>
      <c r="H201" s="60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92"/>
      <c r="Z201" s="82"/>
      <c r="AA201" s="92"/>
      <c r="AB201" s="82"/>
      <c r="AC201" s="85"/>
      <c r="AD201" s="82"/>
      <c r="AE201" s="82"/>
      <c r="AF201" s="82"/>
      <c r="AG201" s="82"/>
      <c r="AH201" s="82"/>
      <c r="AI201" s="82"/>
      <c r="AJ201" s="82"/>
      <c r="AK201" s="82"/>
      <c r="AL201" s="82"/>
      <c r="AM201" s="82"/>
      <c r="AN201" s="82"/>
      <c r="AO201" s="82"/>
      <c r="AP201" s="82"/>
      <c r="AQ201" s="82"/>
      <c r="AR201" s="82"/>
      <c r="AS201" s="82"/>
      <c r="AT201" s="82"/>
      <c r="AU201" s="82"/>
      <c r="AV201" s="82"/>
      <c r="AW201" s="82"/>
      <c r="AX201" s="82"/>
      <c r="AY201" s="82"/>
      <c r="AZ201" s="82"/>
      <c r="BA201" s="82"/>
      <c r="BB201" s="82"/>
      <c r="BC201" s="82"/>
      <c r="BD201" s="82"/>
      <c r="BE201" s="82"/>
      <c r="BF201" s="82"/>
      <c r="BG201" s="82"/>
      <c r="BH201" s="82"/>
      <c r="BI201" s="82"/>
      <c r="BJ201" s="82"/>
      <c r="BK201" s="82"/>
      <c r="BL201" s="82"/>
      <c r="BM201" s="82"/>
      <c r="BN201" s="82"/>
      <c r="BO201" s="82"/>
      <c r="BP201" s="82"/>
      <c r="BQ201" s="82"/>
      <c r="BR201" s="82"/>
      <c r="BS201" s="82"/>
      <c r="BT201" s="82"/>
      <c r="BU201" s="82"/>
      <c r="BV201" s="82"/>
      <c r="BW201" s="82"/>
      <c r="BX201" s="82"/>
      <c r="BY201" s="82"/>
      <c r="BZ201" s="82"/>
      <c r="CA201" s="82"/>
      <c r="CB201" s="82"/>
      <c r="CC201" s="82"/>
      <c r="CD201" s="82"/>
      <c r="CE201" s="82"/>
      <c r="CF201" s="82"/>
      <c r="CG201" s="82"/>
      <c r="CH201" s="82"/>
      <c r="CI201" s="82"/>
      <c r="CJ201" s="82"/>
      <c r="CK201" s="82"/>
      <c r="CL201" s="82"/>
      <c r="CM201" s="82"/>
      <c r="CN201" s="82"/>
      <c r="CO201" s="82"/>
      <c r="CP201" s="82"/>
      <c r="CQ201" s="82"/>
      <c r="CR201" s="82"/>
      <c r="CS201" s="82"/>
      <c r="CT201" s="82"/>
      <c r="CU201" s="82"/>
      <c r="CV201" s="82"/>
      <c r="CW201" s="82"/>
      <c r="CX201" s="82"/>
      <c r="CY201" s="82"/>
      <c r="CZ201" s="82"/>
      <c r="DA201" s="73"/>
      <c r="DB201" s="60"/>
      <c r="DC201" s="60"/>
      <c r="DD201" s="60"/>
      <c r="DE201" s="60"/>
      <c r="DF201" s="82"/>
      <c r="DG201" s="82"/>
      <c r="DH201" s="82"/>
      <c r="DI201" s="82"/>
      <c r="DJ201" s="82"/>
      <c r="DK201" s="82"/>
      <c r="DL201" s="82"/>
      <c r="DM201" s="82"/>
      <c r="DN201" s="82"/>
      <c r="DO201" s="82"/>
      <c r="DP201" s="82"/>
      <c r="DQ201" s="82"/>
      <c r="DR201" s="82"/>
      <c r="DS201" s="82"/>
      <c r="DT201" s="82"/>
      <c r="DU201" s="82"/>
      <c r="DV201" s="82"/>
      <c r="DW201" s="82"/>
      <c r="DX201" s="82"/>
      <c r="DY201" s="82"/>
      <c r="DZ201" s="82"/>
      <c r="EA201" s="82"/>
      <c r="EC201" s="85"/>
    </row>
    <row r="202" spans="2:133" s="81" customFormat="1" ht="12.75" customHeight="1">
      <c r="B202" s="73" t="s">
        <v>607</v>
      </c>
      <c r="C202" s="60"/>
      <c r="D202" s="60"/>
      <c r="E202" s="60"/>
      <c r="F202" s="60"/>
      <c r="G202" s="60"/>
      <c r="H202" s="60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92"/>
      <c r="Z202" s="103"/>
      <c r="AA202" s="92"/>
      <c r="AB202" s="103"/>
      <c r="AC202" s="114"/>
      <c r="AD202" s="103"/>
      <c r="AE202" s="103"/>
      <c r="AF202" s="103"/>
      <c r="AG202" s="103"/>
      <c r="AH202" s="103"/>
      <c r="AI202" s="103"/>
      <c r="AJ202" s="103"/>
      <c r="AK202" s="103"/>
      <c r="AL202" s="103"/>
      <c r="AM202" s="115">
        <v>0.75</v>
      </c>
      <c r="AN202" s="103"/>
      <c r="AO202" s="103"/>
      <c r="AP202" s="103"/>
      <c r="AQ202" s="103"/>
      <c r="AR202" s="103"/>
      <c r="AS202" s="103"/>
      <c r="AT202" s="103"/>
      <c r="AU202" s="103"/>
      <c r="AV202" s="103"/>
      <c r="AW202" s="103"/>
      <c r="AX202" s="103"/>
      <c r="AY202" s="103"/>
      <c r="AZ202" s="103"/>
      <c r="BA202" s="103"/>
      <c r="BB202" s="103"/>
      <c r="BC202" s="103"/>
      <c r="BD202" s="103"/>
      <c r="BE202" s="103"/>
      <c r="BF202" s="103"/>
      <c r="BG202" s="103"/>
      <c r="BH202" s="103"/>
      <c r="BI202" s="103"/>
      <c r="BJ202" s="103"/>
      <c r="BK202" s="103"/>
      <c r="BL202" s="103"/>
      <c r="BM202" s="103"/>
      <c r="BN202" s="103"/>
      <c r="BO202" s="103"/>
      <c r="BP202" s="103"/>
      <c r="BQ202" s="103"/>
      <c r="BR202" s="103"/>
      <c r="BS202" s="103"/>
      <c r="BT202" s="103"/>
      <c r="BU202" s="103"/>
      <c r="BV202" s="103"/>
      <c r="BW202" s="103"/>
      <c r="BX202" s="103"/>
      <c r="BY202" s="103"/>
      <c r="BZ202" s="103"/>
      <c r="CA202" s="103"/>
      <c r="CB202" s="103"/>
      <c r="CC202" s="103"/>
      <c r="CD202" s="103"/>
      <c r="CE202" s="103"/>
      <c r="CF202" s="103"/>
      <c r="CG202" s="103"/>
      <c r="CH202" s="103"/>
      <c r="CI202" s="103"/>
      <c r="CJ202" s="103"/>
      <c r="CK202" s="103"/>
      <c r="CL202" s="103"/>
      <c r="CM202" s="103"/>
      <c r="CN202" s="103"/>
      <c r="CO202" s="103"/>
      <c r="CP202" s="103"/>
      <c r="CQ202" s="103"/>
      <c r="CR202" s="103"/>
      <c r="CS202" s="103"/>
      <c r="CT202" s="103"/>
      <c r="CU202" s="103"/>
      <c r="CV202" s="103"/>
      <c r="CW202" s="103"/>
      <c r="CX202" s="103"/>
      <c r="CY202" s="103"/>
      <c r="CZ202" s="103"/>
      <c r="DA202" s="73"/>
      <c r="DB202" s="60"/>
      <c r="DC202" s="60"/>
      <c r="DD202" s="60"/>
      <c r="DE202" s="60"/>
      <c r="DF202" s="60"/>
      <c r="DG202" s="60"/>
      <c r="DH202" s="60"/>
      <c r="DI202" s="60"/>
      <c r="DJ202" s="60"/>
      <c r="DK202" s="60" t="s">
        <v>608</v>
      </c>
      <c r="DL202" s="60"/>
      <c r="DM202" s="60"/>
      <c r="DN202" s="60"/>
      <c r="DO202" s="60"/>
      <c r="DP202" s="82"/>
      <c r="DQ202" s="82"/>
      <c r="DR202" s="82"/>
      <c r="DS202" s="82"/>
      <c r="DT202" s="82"/>
      <c r="DU202" s="82"/>
      <c r="DV202" s="82"/>
      <c r="DW202" s="82"/>
      <c r="DX202" s="82"/>
      <c r="DY202" s="82"/>
      <c r="DZ202" s="82"/>
      <c r="EA202" s="82"/>
      <c r="EC202" s="85"/>
    </row>
    <row r="203" spans="2:133" s="81" customFormat="1" ht="12.75" customHeight="1">
      <c r="B203" s="108"/>
      <c r="C203" s="99"/>
      <c r="D203" s="99"/>
      <c r="E203" s="99"/>
      <c r="F203" s="99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92"/>
      <c r="Z203" s="82"/>
      <c r="AA203" s="92"/>
      <c r="AB203" s="82"/>
      <c r="AC203" s="85"/>
      <c r="AD203" s="82"/>
      <c r="AE203" s="82"/>
      <c r="AF203" s="82"/>
      <c r="AG203" s="82"/>
      <c r="AH203" s="82"/>
      <c r="AI203" s="82"/>
      <c r="AJ203" s="82"/>
      <c r="AK203" s="82"/>
      <c r="AL203" s="82"/>
      <c r="AM203" s="82"/>
      <c r="AN203" s="82"/>
      <c r="AO203" s="82"/>
      <c r="AP203" s="82"/>
      <c r="AQ203" s="82"/>
      <c r="AR203" s="82"/>
      <c r="AS203" s="82"/>
      <c r="AT203" s="82"/>
      <c r="AU203" s="82"/>
      <c r="AV203" s="82"/>
      <c r="AW203" s="82"/>
      <c r="AX203" s="82"/>
      <c r="AY203" s="82"/>
      <c r="AZ203" s="82"/>
      <c r="BA203" s="82"/>
      <c r="BB203" s="82"/>
      <c r="BC203" s="82"/>
      <c r="BD203" s="82"/>
      <c r="BE203" s="82"/>
      <c r="BF203" s="82"/>
      <c r="BG203" s="82"/>
      <c r="BH203" s="82"/>
      <c r="BI203" s="82"/>
      <c r="BJ203" s="82"/>
      <c r="BK203" s="82"/>
      <c r="BL203" s="82"/>
      <c r="BM203" s="82"/>
      <c r="BN203" s="82"/>
      <c r="BO203" s="82"/>
      <c r="BP203" s="82"/>
      <c r="BQ203" s="82"/>
      <c r="BR203" s="82"/>
      <c r="BS203" s="82"/>
      <c r="BT203" s="82"/>
      <c r="BU203" s="82"/>
      <c r="BV203" s="82"/>
      <c r="BW203" s="82"/>
      <c r="BX203" s="82"/>
      <c r="BY203" s="82"/>
      <c r="BZ203" s="82"/>
      <c r="CA203" s="82"/>
      <c r="CB203" s="82"/>
      <c r="CC203" s="82"/>
      <c r="CD203" s="82"/>
      <c r="CE203" s="82"/>
      <c r="CF203" s="82"/>
      <c r="CG203" s="82"/>
      <c r="CH203" s="82"/>
      <c r="CI203" s="82"/>
      <c r="CJ203" s="82"/>
      <c r="CK203" s="82"/>
      <c r="CL203" s="82"/>
      <c r="CM203" s="82"/>
      <c r="CN203" s="82"/>
      <c r="CO203" s="82"/>
      <c r="CP203" s="82"/>
      <c r="CQ203" s="82"/>
      <c r="CR203" s="82"/>
      <c r="CS203" s="82"/>
      <c r="CT203" s="82"/>
      <c r="CU203" s="82"/>
      <c r="CV203" s="82"/>
      <c r="CW203" s="82"/>
      <c r="CX203" s="82"/>
      <c r="CY203" s="82"/>
      <c r="CZ203" s="82"/>
      <c r="DA203" s="73"/>
      <c r="DB203" s="99"/>
      <c r="DC203" s="82"/>
      <c r="DD203" s="82"/>
      <c r="DE203" s="82"/>
      <c r="DF203" s="82"/>
      <c r="DG203" s="82"/>
      <c r="DH203" s="82"/>
      <c r="DI203" s="82"/>
      <c r="DJ203" s="82"/>
      <c r="DK203" s="82"/>
      <c r="DL203" s="82"/>
      <c r="DM203" s="82"/>
      <c r="DN203" s="82"/>
      <c r="DO203" s="82"/>
      <c r="DP203" s="82"/>
      <c r="DQ203" s="82"/>
      <c r="DR203" s="82"/>
      <c r="DS203" s="82"/>
      <c r="DT203" s="82"/>
      <c r="DU203" s="82"/>
      <c r="DV203" s="82"/>
      <c r="DW203" s="82"/>
      <c r="DX203" s="82"/>
      <c r="DY203" s="82"/>
      <c r="DZ203" s="82"/>
      <c r="EA203" s="82"/>
      <c r="EC203" s="85"/>
    </row>
    <row r="204" spans="2:133" s="81" customFormat="1" ht="12.75" customHeight="1">
      <c r="B204" s="34" t="s">
        <v>618</v>
      </c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92"/>
      <c r="Z204" s="24"/>
      <c r="AA204" s="92"/>
      <c r="AB204" s="24"/>
      <c r="AC204" s="28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  <c r="BX204" s="24"/>
      <c r="BY204" s="24"/>
      <c r="BZ204" s="24"/>
      <c r="CA204" s="24"/>
      <c r="CB204" s="24"/>
      <c r="CC204" s="24"/>
      <c r="CD204" s="24"/>
      <c r="CE204" s="24"/>
      <c r="CF204" s="24"/>
      <c r="CG204" s="24"/>
      <c r="CH204" s="24"/>
      <c r="CI204" s="24"/>
      <c r="CJ204" s="24"/>
      <c r="CK204" s="24"/>
      <c r="CL204" s="24"/>
      <c r="CM204" s="24"/>
      <c r="CN204" s="24"/>
      <c r="CO204" s="24"/>
      <c r="CP204" s="24"/>
      <c r="CQ204" s="24"/>
      <c r="CR204" s="24"/>
      <c r="CS204" s="24"/>
      <c r="CT204" s="24"/>
      <c r="CU204" s="24"/>
      <c r="CV204" s="24"/>
      <c r="CW204" s="24"/>
      <c r="CX204" s="24"/>
      <c r="CY204" s="24"/>
      <c r="CZ204" s="24"/>
      <c r="DA204" s="73"/>
      <c r="DB204" s="24"/>
      <c r="DC204" s="24"/>
      <c r="DD204" s="24"/>
      <c r="DE204" s="24"/>
      <c r="DF204" s="24"/>
      <c r="DG204" s="24"/>
      <c r="DH204" s="24"/>
      <c r="DI204" s="29"/>
      <c r="DJ204" s="29"/>
      <c r="DK204" s="28">
        <f t="shared" ref="DK204:DT204" si="324">(DK62+DK54+DK51+DK50+DK10+DK47+DK34+DK53+DK14+DK37+DK63+DK32+DK11+DK25+DK35+DK38+DK58+DK46+DK59+DK48+DK61+DK55+DK57+DK64+DK56)</f>
        <v>25281</v>
      </c>
      <c r="DL204" s="28">
        <f t="shared" si="324"/>
        <v>26526</v>
      </c>
      <c r="DM204" s="28">
        <f t="shared" si="324"/>
        <v>24892</v>
      </c>
      <c r="DN204" s="28">
        <f t="shared" si="324"/>
        <v>20004</v>
      </c>
      <c r="DO204" s="28">
        <f t="shared" si="324"/>
        <v>18945</v>
      </c>
      <c r="DP204" s="28">
        <f t="shared" si="324"/>
        <v>16537</v>
      </c>
      <c r="DQ204" s="28">
        <f t="shared" si="324"/>
        <v>15768</v>
      </c>
      <c r="DR204" s="28">
        <f t="shared" si="324"/>
        <v>12932</v>
      </c>
      <c r="DS204" s="28">
        <f t="shared" si="324"/>
        <v>11819</v>
      </c>
      <c r="DT204" s="28">
        <f t="shared" si="324"/>
        <v>10003</v>
      </c>
      <c r="DU204" s="28"/>
      <c r="DV204" s="28"/>
      <c r="DW204" s="28"/>
      <c r="DX204" s="28"/>
      <c r="DY204" s="28"/>
      <c r="DZ204" s="28"/>
      <c r="EA204" s="28"/>
      <c r="EC204" s="85"/>
    </row>
    <row r="205" spans="2:133" s="81" customFormat="1" ht="12.75" customHeight="1">
      <c r="B205" s="98" t="s">
        <v>619</v>
      </c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92"/>
      <c r="Z205" s="116"/>
      <c r="AA205" s="92"/>
      <c r="AB205" s="116"/>
      <c r="AC205" s="114"/>
      <c r="AD205" s="116"/>
      <c r="AE205" s="116"/>
      <c r="AF205" s="116"/>
      <c r="AG205" s="116"/>
      <c r="AH205" s="116"/>
      <c r="AI205" s="116"/>
      <c r="AJ205" s="116"/>
      <c r="AK205" s="116"/>
      <c r="AL205" s="116"/>
      <c r="AM205" s="116"/>
      <c r="AN205" s="116"/>
      <c r="AO205" s="116"/>
      <c r="AP205" s="116"/>
      <c r="AQ205" s="116"/>
      <c r="AR205" s="116"/>
      <c r="AS205" s="116"/>
      <c r="AT205" s="116"/>
      <c r="AU205" s="116"/>
      <c r="AV205" s="116"/>
      <c r="AW205" s="116"/>
      <c r="AX205" s="116"/>
      <c r="AY205" s="116"/>
      <c r="AZ205" s="116"/>
      <c r="BA205" s="116"/>
      <c r="BB205" s="116"/>
      <c r="BC205" s="116"/>
      <c r="BD205" s="116"/>
      <c r="BE205" s="116"/>
      <c r="BF205" s="116"/>
      <c r="BG205" s="116"/>
      <c r="BH205" s="116"/>
      <c r="BI205" s="116"/>
      <c r="BJ205" s="116"/>
      <c r="BK205" s="116"/>
      <c r="BL205" s="116"/>
      <c r="BM205" s="116"/>
      <c r="BN205" s="116"/>
      <c r="BO205" s="116"/>
      <c r="BP205" s="116"/>
      <c r="BQ205" s="116"/>
      <c r="BR205" s="116"/>
      <c r="BS205" s="116"/>
      <c r="BT205" s="116"/>
      <c r="BU205" s="116"/>
      <c r="BV205" s="116"/>
      <c r="BW205" s="116"/>
      <c r="BX205" s="116"/>
      <c r="BY205" s="116"/>
      <c r="BZ205" s="116"/>
      <c r="CA205" s="116"/>
      <c r="CB205" s="116"/>
      <c r="CC205" s="116"/>
      <c r="CD205" s="116"/>
      <c r="CE205" s="116"/>
      <c r="CF205" s="116"/>
      <c r="CG205" s="116"/>
      <c r="CH205" s="116"/>
      <c r="CI205" s="116"/>
      <c r="CJ205" s="116"/>
      <c r="CK205" s="116"/>
      <c r="CL205" s="116"/>
      <c r="CM205" s="116"/>
      <c r="CN205" s="116"/>
      <c r="CO205" s="116"/>
      <c r="CP205" s="116"/>
      <c r="CQ205" s="116"/>
      <c r="CR205" s="116"/>
      <c r="CS205" s="116"/>
      <c r="CT205" s="116"/>
      <c r="CU205" s="116"/>
      <c r="CV205" s="116"/>
      <c r="CW205" s="116"/>
      <c r="CX205" s="116"/>
      <c r="CY205" s="116"/>
      <c r="CZ205" s="116"/>
      <c r="DA205" s="73"/>
      <c r="DB205" s="116"/>
      <c r="DC205" s="116"/>
      <c r="DD205" s="116"/>
      <c r="DE205" s="116"/>
      <c r="DF205" s="116"/>
      <c r="DG205" s="116"/>
      <c r="DH205" s="116"/>
      <c r="DI205" s="116"/>
      <c r="DJ205" s="116"/>
      <c r="DK205" s="117">
        <f t="shared" ref="DK205:DT205" si="325">DK204/DK87</f>
        <v>0.54900214988381946</v>
      </c>
      <c r="DL205" s="117">
        <f t="shared" si="325"/>
        <v>0.55278622931688404</v>
      </c>
      <c r="DM205" s="117">
        <f t="shared" si="325"/>
        <v>0.52659191876454414</v>
      </c>
      <c r="DN205" s="117">
        <f t="shared" si="325"/>
        <v>0.45430595930232559</v>
      </c>
      <c r="DO205" s="117">
        <f t="shared" si="325"/>
        <v>0.4485403792883017</v>
      </c>
      <c r="DP205" s="117">
        <f t="shared" si="325"/>
        <v>0.41867942680642056</v>
      </c>
      <c r="DQ205" s="117">
        <f t="shared" si="325"/>
        <v>0.39611123671716031</v>
      </c>
      <c r="DR205" s="117">
        <f t="shared" si="325"/>
        <v>0.32231693335327249</v>
      </c>
      <c r="DS205" s="117">
        <f t="shared" si="325"/>
        <v>0.27944862155388472</v>
      </c>
      <c r="DT205" s="117">
        <f t="shared" si="325"/>
        <v>0.21355222988407591</v>
      </c>
      <c r="DU205" s="117"/>
      <c r="DV205" s="117"/>
      <c r="DW205" s="117"/>
      <c r="DX205" s="117"/>
      <c r="DY205" s="117"/>
      <c r="DZ205" s="117"/>
      <c r="EA205" s="117"/>
      <c r="EC205" s="85"/>
    </row>
    <row r="206" spans="2:133" s="81" customFormat="1" ht="12.75" customHeight="1">
      <c r="B206" s="108"/>
      <c r="C206" s="99"/>
      <c r="D206" s="99"/>
      <c r="E206" s="99"/>
      <c r="F206" s="99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92"/>
      <c r="Z206" s="82"/>
      <c r="AA206" s="92"/>
      <c r="AB206" s="82"/>
      <c r="AC206" s="85"/>
      <c r="AD206" s="82"/>
      <c r="AE206" s="82"/>
      <c r="AF206" s="82"/>
      <c r="AG206" s="82"/>
      <c r="AH206" s="82"/>
      <c r="AI206" s="82"/>
      <c r="AJ206" s="82"/>
      <c r="AK206" s="82"/>
      <c r="AL206" s="82"/>
      <c r="AM206" s="82"/>
      <c r="AN206" s="82"/>
      <c r="AO206" s="82"/>
      <c r="AP206" s="82"/>
      <c r="AQ206" s="82"/>
      <c r="AR206" s="82"/>
      <c r="AS206" s="82"/>
      <c r="AT206" s="82"/>
      <c r="AU206" s="82"/>
      <c r="AV206" s="82"/>
      <c r="AW206" s="82"/>
      <c r="AX206" s="82"/>
      <c r="AY206" s="82"/>
      <c r="AZ206" s="82"/>
      <c r="BA206" s="82"/>
      <c r="BB206" s="82"/>
      <c r="BC206" s="82"/>
      <c r="BD206" s="82"/>
      <c r="BE206" s="82"/>
      <c r="BF206" s="82"/>
      <c r="BG206" s="82"/>
      <c r="BH206" s="82"/>
      <c r="BI206" s="82"/>
      <c r="BJ206" s="82"/>
      <c r="BK206" s="82"/>
      <c r="BL206" s="82"/>
      <c r="BM206" s="82"/>
      <c r="BN206" s="82"/>
      <c r="BO206" s="82"/>
      <c r="BP206" s="82"/>
      <c r="BQ206" s="82"/>
      <c r="BR206" s="82"/>
      <c r="BS206" s="82"/>
      <c r="BT206" s="82"/>
      <c r="BU206" s="82"/>
      <c r="BV206" s="82"/>
      <c r="BW206" s="82"/>
      <c r="BX206" s="82"/>
      <c r="BY206" s="82"/>
      <c r="BZ206" s="82"/>
      <c r="CA206" s="82"/>
      <c r="CB206" s="82"/>
      <c r="CC206" s="82"/>
      <c r="CD206" s="82"/>
      <c r="CE206" s="82"/>
      <c r="CF206" s="82"/>
      <c r="CG206" s="82"/>
      <c r="CH206" s="82"/>
      <c r="CI206" s="82"/>
      <c r="CJ206" s="82"/>
      <c r="CK206" s="82"/>
      <c r="CL206" s="82"/>
      <c r="CM206" s="82"/>
      <c r="CN206" s="82"/>
      <c r="CO206" s="82"/>
      <c r="CP206" s="82"/>
      <c r="CQ206" s="82"/>
      <c r="CR206" s="82"/>
      <c r="CS206" s="82"/>
      <c r="CT206" s="82"/>
      <c r="CU206" s="82"/>
      <c r="CV206" s="82"/>
      <c r="CW206" s="82"/>
      <c r="CX206" s="82"/>
      <c r="CY206" s="82"/>
      <c r="CZ206" s="82"/>
      <c r="DA206" s="73"/>
      <c r="DB206" s="99"/>
      <c r="DC206" s="82"/>
      <c r="DD206" s="82"/>
      <c r="DE206" s="82"/>
      <c r="DF206" s="82"/>
      <c r="DG206" s="82"/>
      <c r="DH206" s="82"/>
      <c r="DI206" s="82"/>
      <c r="DJ206" s="82"/>
      <c r="DK206" s="82"/>
      <c r="DL206" s="82"/>
      <c r="DM206" s="82"/>
      <c r="DN206" s="82"/>
      <c r="DO206" s="82"/>
      <c r="DP206" s="82"/>
      <c r="DQ206" s="82"/>
      <c r="DR206" s="82"/>
      <c r="DS206" s="82"/>
      <c r="DT206" s="82"/>
      <c r="DU206" s="82"/>
      <c r="DV206" s="82"/>
      <c r="DW206" s="82"/>
      <c r="DX206" s="82"/>
      <c r="DY206" s="82"/>
      <c r="DZ206" s="82"/>
      <c r="EA206" s="82"/>
      <c r="EC206" s="85"/>
    </row>
    <row r="207" spans="2:133" s="81" customFormat="1" ht="12.75" customHeight="1">
      <c r="B207" s="108"/>
      <c r="C207" s="99"/>
      <c r="D207" s="99"/>
      <c r="E207" s="99"/>
      <c r="F207" s="99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92"/>
      <c r="Z207" s="82"/>
      <c r="AA207" s="92"/>
      <c r="AB207" s="82"/>
      <c r="AC207" s="85"/>
      <c r="AD207" s="82"/>
      <c r="AE207" s="82"/>
      <c r="AF207" s="82"/>
      <c r="AG207" s="82"/>
      <c r="AH207" s="82"/>
      <c r="AI207" s="82"/>
      <c r="AJ207" s="82"/>
      <c r="AK207" s="82"/>
      <c r="AL207" s="82"/>
      <c r="AM207" s="82"/>
      <c r="AN207" s="82"/>
      <c r="AO207" s="82"/>
      <c r="AP207" s="82"/>
      <c r="AQ207" s="82"/>
      <c r="AR207" s="82"/>
      <c r="AS207" s="82"/>
      <c r="AT207" s="82"/>
      <c r="AU207" s="82"/>
      <c r="AV207" s="82"/>
      <c r="AW207" s="82"/>
      <c r="AX207" s="82"/>
      <c r="AY207" s="82"/>
      <c r="AZ207" s="82"/>
      <c r="BA207" s="82"/>
      <c r="BB207" s="82"/>
      <c r="BC207" s="82"/>
      <c r="BD207" s="82"/>
      <c r="BE207" s="82"/>
      <c r="BF207" s="82"/>
      <c r="BG207" s="82"/>
      <c r="BH207" s="82"/>
      <c r="BI207" s="82"/>
      <c r="BJ207" s="82"/>
      <c r="BK207" s="82"/>
      <c r="BL207" s="82"/>
      <c r="BM207" s="82"/>
      <c r="BN207" s="82"/>
      <c r="BO207" s="82"/>
      <c r="BP207" s="82"/>
      <c r="BQ207" s="82"/>
      <c r="BR207" s="82"/>
      <c r="BS207" s="82"/>
      <c r="BT207" s="82"/>
      <c r="BU207" s="82"/>
      <c r="BV207" s="82"/>
      <c r="BW207" s="82"/>
      <c r="BX207" s="82"/>
      <c r="BY207" s="82"/>
      <c r="BZ207" s="82"/>
      <c r="CA207" s="82"/>
      <c r="CB207" s="82"/>
      <c r="CC207" s="82"/>
      <c r="CD207" s="82"/>
      <c r="CE207" s="82"/>
      <c r="CF207" s="82"/>
      <c r="CG207" s="82"/>
      <c r="CH207" s="82"/>
      <c r="CI207" s="82"/>
      <c r="CJ207" s="82"/>
      <c r="CK207" s="82"/>
      <c r="CL207" s="82"/>
      <c r="CM207" s="82"/>
      <c r="CN207" s="82"/>
      <c r="CO207" s="82"/>
      <c r="CP207" s="82"/>
      <c r="CQ207" s="82"/>
      <c r="CR207" s="82"/>
      <c r="CS207" s="82"/>
      <c r="CT207" s="82"/>
      <c r="CU207" s="82"/>
      <c r="CV207" s="82"/>
      <c r="CW207" s="82"/>
      <c r="CX207" s="82"/>
      <c r="CY207" s="82"/>
      <c r="CZ207" s="82"/>
      <c r="DA207" s="73"/>
      <c r="DB207" s="99"/>
      <c r="DC207" s="82"/>
      <c r="DD207" s="82"/>
      <c r="DE207" s="82"/>
      <c r="DF207" s="82"/>
      <c r="DG207" s="82"/>
      <c r="DH207" s="82"/>
      <c r="DI207" s="82"/>
      <c r="DJ207" s="82"/>
      <c r="DK207" s="82"/>
      <c r="DL207" s="82"/>
      <c r="DM207" s="82"/>
      <c r="DN207" s="82"/>
      <c r="DO207" s="82"/>
      <c r="DP207" s="82"/>
      <c r="DQ207" s="82"/>
      <c r="DR207" s="82"/>
      <c r="DS207" s="82"/>
      <c r="DT207" s="82"/>
      <c r="DU207" s="82"/>
      <c r="DV207" s="82"/>
      <c r="DW207" s="82"/>
      <c r="DX207" s="82"/>
      <c r="DY207" s="82"/>
      <c r="DZ207" s="82"/>
      <c r="EA207" s="82"/>
      <c r="EC207" s="85"/>
    </row>
    <row r="208" spans="2:133" s="81" customFormat="1" ht="12.75" customHeight="1">
      <c r="B208" s="108"/>
      <c r="C208" s="99"/>
      <c r="D208" s="99"/>
      <c r="E208" s="99"/>
      <c r="F208" s="99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92"/>
      <c r="Z208" s="82"/>
      <c r="AA208" s="92"/>
      <c r="AB208" s="82"/>
      <c r="AC208" s="85"/>
      <c r="AD208" s="82"/>
      <c r="AE208" s="82"/>
      <c r="AF208" s="82"/>
      <c r="AG208" s="82"/>
      <c r="AH208" s="82"/>
      <c r="AI208" s="82"/>
      <c r="AJ208" s="82"/>
      <c r="AK208" s="82"/>
      <c r="AL208" s="82"/>
      <c r="AM208" s="82"/>
      <c r="AN208" s="82"/>
      <c r="AO208" s="82"/>
      <c r="AP208" s="82"/>
      <c r="AQ208" s="82"/>
      <c r="AR208" s="82"/>
      <c r="AS208" s="82"/>
      <c r="AT208" s="82"/>
      <c r="AU208" s="82"/>
      <c r="AV208" s="82"/>
      <c r="AW208" s="82"/>
      <c r="AX208" s="82"/>
      <c r="AY208" s="82"/>
      <c r="AZ208" s="82"/>
      <c r="BA208" s="82"/>
      <c r="BB208" s="82"/>
      <c r="BC208" s="82"/>
      <c r="BD208" s="82"/>
      <c r="BE208" s="82"/>
      <c r="BF208" s="82"/>
      <c r="BG208" s="82"/>
      <c r="BH208" s="82"/>
      <c r="BI208" s="82"/>
      <c r="BJ208" s="82"/>
      <c r="BK208" s="82"/>
      <c r="BL208" s="82"/>
      <c r="BM208" s="82"/>
      <c r="BN208" s="82"/>
      <c r="BO208" s="82"/>
      <c r="BP208" s="82"/>
      <c r="BQ208" s="82"/>
      <c r="BR208" s="82"/>
      <c r="BS208" s="82"/>
      <c r="BT208" s="82"/>
      <c r="BU208" s="82"/>
      <c r="BV208" s="82"/>
      <c r="BW208" s="82"/>
      <c r="BX208" s="82"/>
      <c r="BY208" s="82"/>
      <c r="BZ208" s="82"/>
      <c r="CA208" s="82"/>
      <c r="CB208" s="82"/>
      <c r="CC208" s="82"/>
      <c r="CD208" s="82"/>
      <c r="CE208" s="82"/>
      <c r="CF208" s="82"/>
      <c r="CG208" s="82"/>
      <c r="CH208" s="82"/>
      <c r="CI208" s="82"/>
      <c r="CJ208" s="82"/>
      <c r="CK208" s="82"/>
      <c r="CL208" s="82"/>
      <c r="CM208" s="82"/>
      <c r="CN208" s="82"/>
      <c r="CO208" s="82"/>
      <c r="CP208" s="82"/>
      <c r="CQ208" s="82"/>
      <c r="CR208" s="82"/>
      <c r="CS208" s="82"/>
      <c r="CT208" s="82"/>
      <c r="CU208" s="82"/>
      <c r="CV208" s="82"/>
      <c r="CW208" s="82"/>
      <c r="CX208" s="82"/>
      <c r="CY208" s="82"/>
      <c r="CZ208" s="82"/>
      <c r="DA208" s="73"/>
      <c r="DB208" s="99"/>
      <c r="DC208" s="82"/>
      <c r="DD208" s="82"/>
      <c r="DE208" s="82"/>
      <c r="DF208" s="82"/>
      <c r="DG208" s="82"/>
      <c r="DH208" s="82"/>
      <c r="DI208" s="82"/>
      <c r="DJ208" s="82"/>
      <c r="DK208" s="82"/>
      <c r="DL208" s="82"/>
      <c r="DM208" s="82"/>
      <c r="DN208" s="82"/>
      <c r="DO208" s="82"/>
      <c r="DP208" s="82"/>
      <c r="DQ208" s="82"/>
      <c r="DR208" s="82"/>
      <c r="DS208" s="82"/>
      <c r="DT208" s="82"/>
      <c r="DU208" s="82"/>
      <c r="DV208" s="82"/>
      <c r="DW208" s="82"/>
      <c r="DX208" s="82"/>
      <c r="DY208" s="82"/>
      <c r="DZ208" s="82"/>
      <c r="EA208" s="82"/>
      <c r="EC208" s="85"/>
    </row>
    <row r="209" spans="2:133" s="81" customFormat="1" ht="12.75" customHeight="1">
      <c r="B209" s="108"/>
      <c r="C209" s="99"/>
      <c r="D209" s="99"/>
      <c r="E209" s="99"/>
      <c r="F209" s="99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92"/>
      <c r="Z209" s="82"/>
      <c r="AA209" s="92"/>
      <c r="AB209" s="82"/>
      <c r="AC209" s="85"/>
      <c r="AD209" s="82"/>
      <c r="AE209" s="82"/>
      <c r="AF209" s="82"/>
      <c r="AG209" s="82"/>
      <c r="AH209" s="82"/>
      <c r="AI209" s="82"/>
      <c r="AJ209" s="82"/>
      <c r="AK209" s="82"/>
      <c r="AL209" s="82"/>
      <c r="AM209" s="82"/>
      <c r="AN209" s="82"/>
      <c r="AO209" s="82"/>
      <c r="AP209" s="82"/>
      <c r="AQ209" s="82"/>
      <c r="AR209" s="82"/>
      <c r="AS209" s="82"/>
      <c r="AT209" s="82"/>
      <c r="AU209" s="82"/>
      <c r="AV209" s="82"/>
      <c r="AW209" s="82"/>
      <c r="AX209" s="82"/>
      <c r="AY209" s="82"/>
      <c r="AZ209" s="82"/>
      <c r="BA209" s="82"/>
      <c r="BB209" s="82"/>
      <c r="BC209" s="82"/>
      <c r="BD209" s="82"/>
      <c r="BE209" s="82"/>
      <c r="BF209" s="82"/>
      <c r="BG209" s="82"/>
      <c r="BH209" s="82"/>
      <c r="BI209" s="82"/>
      <c r="BJ209" s="82"/>
      <c r="BK209" s="82"/>
      <c r="BL209" s="82"/>
      <c r="BM209" s="82"/>
      <c r="BN209" s="82"/>
      <c r="BO209" s="82"/>
      <c r="BP209" s="82"/>
      <c r="BQ209" s="82"/>
      <c r="BR209" s="82"/>
      <c r="BS209" s="82"/>
      <c r="BT209" s="82"/>
      <c r="BU209" s="82"/>
      <c r="BV209" s="82"/>
      <c r="BW209" s="82"/>
      <c r="BX209" s="82"/>
      <c r="BY209" s="82"/>
      <c r="BZ209" s="82"/>
      <c r="CA209" s="82"/>
      <c r="CB209" s="82"/>
      <c r="CC209" s="82"/>
      <c r="CD209" s="82"/>
      <c r="CE209" s="82"/>
      <c r="CF209" s="82"/>
      <c r="CG209" s="82"/>
      <c r="CH209" s="82"/>
      <c r="CI209" s="82"/>
      <c r="CJ209" s="82"/>
      <c r="CK209" s="82"/>
      <c r="CL209" s="82"/>
      <c r="CM209" s="82"/>
      <c r="CN209" s="82"/>
      <c r="CO209" s="82"/>
      <c r="CP209" s="82"/>
      <c r="CQ209" s="82"/>
      <c r="CR209" s="82"/>
      <c r="CS209" s="82"/>
      <c r="CT209" s="82"/>
      <c r="CU209" s="82"/>
      <c r="CV209" s="82"/>
      <c r="CW209" s="82"/>
      <c r="CX209" s="82"/>
      <c r="CY209" s="82"/>
      <c r="CZ209" s="82"/>
      <c r="DA209" s="73"/>
      <c r="DB209" s="99"/>
      <c r="DC209" s="82"/>
      <c r="DD209" s="82"/>
      <c r="DE209" s="82"/>
      <c r="DF209" s="82"/>
      <c r="DG209" s="82"/>
      <c r="DH209" s="82"/>
      <c r="DI209" s="82"/>
      <c r="DJ209" s="82"/>
      <c r="DK209" s="82"/>
      <c r="DL209" s="82"/>
      <c r="DM209" s="82"/>
      <c r="DN209" s="82"/>
      <c r="DO209" s="82"/>
      <c r="DP209" s="82"/>
      <c r="DQ209" s="82"/>
      <c r="DR209" s="82"/>
      <c r="DS209" s="82"/>
      <c r="DT209" s="82"/>
      <c r="DU209" s="82"/>
      <c r="DV209" s="82"/>
      <c r="DW209" s="82"/>
      <c r="DX209" s="82"/>
      <c r="DY209" s="82"/>
      <c r="DZ209" s="82"/>
      <c r="EA209" s="82"/>
      <c r="EC209" s="85"/>
    </row>
    <row r="210" spans="2:133" s="81" customFormat="1" ht="12.75" customHeight="1">
      <c r="B210" s="108"/>
      <c r="C210" s="99"/>
      <c r="D210" s="99"/>
      <c r="E210" s="99"/>
      <c r="F210" s="99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92"/>
      <c r="Z210" s="82"/>
      <c r="AA210" s="92"/>
      <c r="AB210" s="82"/>
      <c r="AC210" s="85"/>
      <c r="AD210" s="82"/>
      <c r="AE210" s="82"/>
      <c r="AF210" s="82"/>
      <c r="AG210" s="82"/>
      <c r="AH210" s="82"/>
      <c r="AI210" s="82"/>
      <c r="AJ210" s="82"/>
      <c r="AK210" s="82"/>
      <c r="AL210" s="82"/>
      <c r="AM210" s="82"/>
      <c r="AN210" s="82"/>
      <c r="AO210" s="82"/>
      <c r="AP210" s="82"/>
      <c r="AQ210" s="82"/>
      <c r="AR210" s="82"/>
      <c r="AS210" s="82"/>
      <c r="AT210" s="82"/>
      <c r="AU210" s="82"/>
      <c r="AV210" s="82"/>
      <c r="AW210" s="82"/>
      <c r="AX210" s="82"/>
      <c r="AY210" s="82"/>
      <c r="AZ210" s="82"/>
      <c r="BA210" s="82"/>
      <c r="BB210" s="82"/>
      <c r="BC210" s="82"/>
      <c r="BD210" s="82"/>
      <c r="BE210" s="82"/>
      <c r="BF210" s="82"/>
      <c r="BG210" s="82"/>
      <c r="BH210" s="82"/>
      <c r="BI210" s="82"/>
      <c r="BJ210" s="82"/>
      <c r="BK210" s="82"/>
      <c r="BL210" s="82"/>
      <c r="BM210" s="82"/>
      <c r="BN210" s="82"/>
      <c r="BO210" s="82"/>
      <c r="BP210" s="82"/>
      <c r="BQ210" s="82"/>
      <c r="BR210" s="82"/>
      <c r="BS210" s="82"/>
      <c r="BT210" s="82"/>
      <c r="BU210" s="82"/>
      <c r="BV210" s="82"/>
      <c r="BW210" s="82"/>
      <c r="BX210" s="82"/>
      <c r="BY210" s="82"/>
      <c r="BZ210" s="82"/>
      <c r="CA210" s="82"/>
      <c r="CB210" s="82"/>
      <c r="CC210" s="82"/>
      <c r="CD210" s="82"/>
      <c r="CE210" s="82"/>
      <c r="CF210" s="82"/>
      <c r="CG210" s="82"/>
      <c r="CH210" s="82"/>
      <c r="CI210" s="82"/>
      <c r="CJ210" s="82"/>
      <c r="CK210" s="82"/>
      <c r="CL210" s="82"/>
      <c r="CM210" s="82"/>
      <c r="CN210" s="82"/>
      <c r="CO210" s="82"/>
      <c r="CP210" s="82"/>
      <c r="CQ210" s="82"/>
      <c r="CR210" s="82"/>
      <c r="CS210" s="82"/>
      <c r="CT210" s="82"/>
      <c r="CU210" s="82"/>
      <c r="CV210" s="82"/>
      <c r="CW210" s="82"/>
      <c r="CX210" s="82"/>
      <c r="CY210" s="82"/>
      <c r="CZ210" s="82"/>
      <c r="DA210" s="73"/>
      <c r="DB210" s="99"/>
      <c r="DC210" s="82"/>
      <c r="DD210" s="82"/>
      <c r="DE210" s="82"/>
      <c r="DF210" s="82"/>
      <c r="DG210" s="82"/>
      <c r="DH210" s="82"/>
      <c r="DI210" s="82"/>
      <c r="DJ210" s="82"/>
      <c r="DK210" s="82"/>
      <c r="DL210" s="82"/>
      <c r="DM210" s="82"/>
      <c r="DN210" s="82"/>
      <c r="DO210" s="82"/>
      <c r="DP210" s="82"/>
      <c r="DQ210" s="82"/>
      <c r="DR210" s="82"/>
      <c r="DS210" s="82"/>
      <c r="DT210" s="82"/>
      <c r="DU210" s="82"/>
      <c r="DV210" s="82"/>
      <c r="DW210" s="82"/>
      <c r="DX210" s="82"/>
      <c r="DY210" s="82"/>
      <c r="DZ210" s="82"/>
      <c r="EA210" s="82"/>
      <c r="EC210" s="85"/>
    </row>
    <row r="211" spans="2:133" s="81" customFormat="1" ht="12.75" customHeight="1">
      <c r="B211" s="108"/>
      <c r="C211" s="99"/>
      <c r="D211" s="99"/>
      <c r="E211" s="99"/>
      <c r="F211" s="99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92"/>
      <c r="Z211" s="82"/>
      <c r="AA211" s="92"/>
      <c r="AB211" s="82"/>
      <c r="AC211" s="85"/>
      <c r="AD211" s="82"/>
      <c r="AE211" s="82"/>
      <c r="AF211" s="82"/>
      <c r="AG211" s="82"/>
      <c r="AH211" s="82"/>
      <c r="AI211" s="82"/>
      <c r="AJ211" s="82"/>
      <c r="AK211" s="82"/>
      <c r="AL211" s="82"/>
      <c r="AM211" s="82"/>
      <c r="AN211" s="82"/>
      <c r="AO211" s="82"/>
      <c r="AP211" s="82"/>
      <c r="AQ211" s="82"/>
      <c r="AR211" s="82"/>
      <c r="AS211" s="82"/>
      <c r="AT211" s="82"/>
      <c r="AU211" s="82"/>
      <c r="AV211" s="82"/>
      <c r="AW211" s="82"/>
      <c r="AX211" s="82"/>
      <c r="AY211" s="82"/>
      <c r="AZ211" s="82"/>
      <c r="BA211" s="82"/>
      <c r="BB211" s="82"/>
      <c r="BC211" s="82"/>
      <c r="BD211" s="82"/>
      <c r="BE211" s="82"/>
      <c r="BF211" s="82"/>
      <c r="BG211" s="82"/>
      <c r="BH211" s="82"/>
      <c r="BI211" s="82"/>
      <c r="BJ211" s="82"/>
      <c r="BK211" s="82"/>
      <c r="BL211" s="82"/>
      <c r="BM211" s="82"/>
      <c r="BN211" s="82"/>
      <c r="BO211" s="82"/>
      <c r="BP211" s="82"/>
      <c r="BQ211" s="82"/>
      <c r="BR211" s="82"/>
      <c r="BS211" s="82"/>
      <c r="BT211" s="82"/>
      <c r="BU211" s="82"/>
      <c r="BV211" s="82"/>
      <c r="BW211" s="82"/>
      <c r="BX211" s="82"/>
      <c r="BY211" s="82"/>
      <c r="BZ211" s="82"/>
      <c r="CA211" s="82"/>
      <c r="CB211" s="82"/>
      <c r="CC211" s="82"/>
      <c r="CD211" s="82"/>
      <c r="CE211" s="82"/>
      <c r="CF211" s="82"/>
      <c r="CG211" s="82"/>
      <c r="CH211" s="82"/>
      <c r="CI211" s="82"/>
      <c r="CJ211" s="82"/>
      <c r="CK211" s="82"/>
      <c r="CL211" s="82"/>
      <c r="CM211" s="82"/>
      <c r="CN211" s="82"/>
      <c r="CO211" s="82"/>
      <c r="CP211" s="82"/>
      <c r="CQ211" s="82"/>
      <c r="CR211" s="82"/>
      <c r="CS211" s="82"/>
      <c r="CT211" s="82"/>
      <c r="CU211" s="82"/>
      <c r="CV211" s="82"/>
      <c r="CW211" s="82"/>
      <c r="CX211" s="82"/>
      <c r="CY211" s="82"/>
      <c r="CZ211" s="82"/>
      <c r="DA211" s="73"/>
      <c r="DB211" s="99"/>
      <c r="DC211" s="82"/>
      <c r="DD211" s="82"/>
      <c r="DE211" s="82"/>
      <c r="DF211" s="82"/>
      <c r="DG211" s="82"/>
      <c r="DH211" s="82"/>
      <c r="DI211" s="82"/>
      <c r="DJ211" s="82"/>
      <c r="DK211" s="82"/>
      <c r="DL211" s="82"/>
      <c r="DM211" s="82"/>
      <c r="DN211" s="82"/>
      <c r="DO211" s="82"/>
      <c r="DP211" s="82"/>
      <c r="DQ211" s="82"/>
      <c r="DR211" s="82"/>
      <c r="DS211" s="82"/>
      <c r="DT211" s="82"/>
      <c r="DU211" s="82"/>
      <c r="DV211" s="82"/>
      <c r="DW211" s="82"/>
      <c r="DX211" s="82"/>
      <c r="DY211" s="82"/>
      <c r="DZ211" s="82"/>
      <c r="EA211" s="82"/>
      <c r="EC211" s="85"/>
    </row>
    <row r="212" spans="2:133" s="81" customFormat="1" ht="12.75" customHeight="1">
      <c r="B212" s="108"/>
      <c r="C212" s="99"/>
      <c r="D212" s="99"/>
      <c r="E212" s="99"/>
      <c r="F212" s="99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92"/>
      <c r="Z212" s="82"/>
      <c r="AA212" s="92"/>
      <c r="AB212" s="82"/>
      <c r="AC212" s="85"/>
      <c r="AD212" s="82"/>
      <c r="AE212" s="82"/>
      <c r="AF212" s="82"/>
      <c r="AG212" s="82"/>
      <c r="AH212" s="82"/>
      <c r="AI212" s="82"/>
      <c r="AJ212" s="82"/>
      <c r="AK212" s="82"/>
      <c r="AL212" s="82"/>
      <c r="AM212" s="82"/>
      <c r="AN212" s="82"/>
      <c r="AO212" s="82"/>
      <c r="AP212" s="82"/>
      <c r="AQ212" s="82"/>
      <c r="AR212" s="82"/>
      <c r="AS212" s="82"/>
      <c r="AT212" s="82"/>
      <c r="AU212" s="82"/>
      <c r="AV212" s="82"/>
      <c r="AW212" s="82"/>
      <c r="AX212" s="82"/>
      <c r="AY212" s="82"/>
      <c r="AZ212" s="82"/>
      <c r="BA212" s="82"/>
      <c r="BB212" s="82"/>
      <c r="BC212" s="82"/>
      <c r="BD212" s="82"/>
      <c r="BE212" s="82"/>
      <c r="BF212" s="82"/>
      <c r="BG212" s="82"/>
      <c r="BH212" s="82"/>
      <c r="BI212" s="82"/>
      <c r="BJ212" s="82"/>
      <c r="BK212" s="82"/>
      <c r="BL212" s="82"/>
      <c r="BM212" s="82"/>
      <c r="BN212" s="82"/>
      <c r="BO212" s="82"/>
      <c r="BP212" s="82"/>
      <c r="BQ212" s="82"/>
      <c r="BR212" s="82"/>
      <c r="BS212" s="82"/>
      <c r="BT212" s="82"/>
      <c r="BU212" s="82"/>
      <c r="BV212" s="82"/>
      <c r="BW212" s="82"/>
      <c r="BX212" s="82"/>
      <c r="BY212" s="82"/>
      <c r="BZ212" s="82"/>
      <c r="CA212" s="82"/>
      <c r="CB212" s="82"/>
      <c r="CC212" s="82"/>
      <c r="CD212" s="82"/>
      <c r="CE212" s="82"/>
      <c r="CF212" s="82"/>
      <c r="CG212" s="82"/>
      <c r="CH212" s="82"/>
      <c r="CI212" s="82"/>
      <c r="CJ212" s="82"/>
      <c r="CK212" s="82"/>
      <c r="CL212" s="82"/>
      <c r="CM212" s="82"/>
      <c r="CN212" s="82"/>
      <c r="CO212" s="82"/>
      <c r="CP212" s="82"/>
      <c r="CQ212" s="82"/>
      <c r="CR212" s="82"/>
      <c r="CS212" s="82"/>
      <c r="CT212" s="82"/>
      <c r="CU212" s="82"/>
      <c r="CV212" s="82"/>
      <c r="CW212" s="82"/>
      <c r="CX212" s="82"/>
      <c r="CY212" s="82"/>
      <c r="CZ212" s="82"/>
      <c r="DA212" s="73"/>
      <c r="DB212" s="99"/>
      <c r="DC212" s="82"/>
      <c r="DD212" s="82"/>
      <c r="DE212" s="82"/>
      <c r="DF212" s="82"/>
      <c r="DG212" s="82"/>
      <c r="DH212" s="82"/>
      <c r="DI212" s="82"/>
      <c r="DJ212" s="82"/>
      <c r="DK212" s="82"/>
      <c r="DL212" s="82"/>
      <c r="DM212" s="82"/>
      <c r="DN212" s="82"/>
      <c r="DO212" s="82"/>
      <c r="DP212" s="82"/>
      <c r="DQ212" s="82"/>
      <c r="DR212" s="82"/>
      <c r="DS212" s="82"/>
      <c r="DT212" s="82"/>
      <c r="DU212" s="82"/>
      <c r="DV212" s="82"/>
      <c r="DW212" s="82"/>
      <c r="DX212" s="82"/>
      <c r="DY212" s="82"/>
      <c r="DZ212" s="82"/>
      <c r="EA212" s="82"/>
      <c r="EC212" s="85"/>
    </row>
    <row r="213" spans="2:133" s="81" customFormat="1" ht="12.75" customHeight="1">
      <c r="B213" s="108"/>
      <c r="C213" s="99"/>
      <c r="D213" s="99"/>
      <c r="E213" s="99"/>
      <c r="F213" s="99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92"/>
      <c r="Z213" s="82"/>
      <c r="AA213" s="92"/>
      <c r="AB213" s="82"/>
      <c r="AC213" s="85"/>
      <c r="AD213" s="82"/>
      <c r="AE213" s="82"/>
      <c r="AF213" s="82"/>
      <c r="AG213" s="82"/>
      <c r="AH213" s="82"/>
      <c r="AI213" s="82"/>
      <c r="AJ213" s="82"/>
      <c r="AK213" s="82"/>
      <c r="AL213" s="82"/>
      <c r="AM213" s="82"/>
      <c r="AN213" s="82"/>
      <c r="AO213" s="82"/>
      <c r="AP213" s="82"/>
      <c r="AQ213" s="82"/>
      <c r="AR213" s="82"/>
      <c r="AS213" s="82"/>
      <c r="AT213" s="82"/>
      <c r="AU213" s="82"/>
      <c r="AV213" s="82"/>
      <c r="AW213" s="82"/>
      <c r="AX213" s="82"/>
      <c r="AY213" s="82"/>
      <c r="AZ213" s="82"/>
      <c r="BA213" s="82"/>
      <c r="BB213" s="82"/>
      <c r="BC213" s="82"/>
      <c r="BD213" s="82"/>
      <c r="BE213" s="82"/>
      <c r="BF213" s="82"/>
      <c r="BG213" s="82"/>
      <c r="BH213" s="82"/>
      <c r="BI213" s="82"/>
      <c r="BJ213" s="82"/>
      <c r="BK213" s="82"/>
      <c r="BL213" s="82"/>
      <c r="BM213" s="82"/>
      <c r="BN213" s="82"/>
      <c r="BO213" s="82"/>
      <c r="BP213" s="82"/>
      <c r="BQ213" s="82"/>
      <c r="BR213" s="82"/>
      <c r="BS213" s="82"/>
      <c r="BT213" s="82"/>
      <c r="BU213" s="82"/>
      <c r="BV213" s="82"/>
      <c r="BW213" s="82"/>
      <c r="BX213" s="82"/>
      <c r="BY213" s="82"/>
      <c r="BZ213" s="82"/>
      <c r="CA213" s="82"/>
      <c r="CB213" s="82"/>
      <c r="CC213" s="82"/>
      <c r="CD213" s="82"/>
      <c r="CE213" s="82"/>
      <c r="CF213" s="82"/>
      <c r="CG213" s="82"/>
      <c r="CH213" s="82"/>
      <c r="CI213" s="82"/>
      <c r="CJ213" s="82"/>
      <c r="CK213" s="82"/>
      <c r="CL213" s="82"/>
      <c r="CM213" s="82"/>
      <c r="CN213" s="82"/>
      <c r="CO213" s="82"/>
      <c r="CP213" s="82"/>
      <c r="CQ213" s="82"/>
      <c r="CR213" s="82"/>
      <c r="CS213" s="82"/>
      <c r="CT213" s="82"/>
      <c r="CU213" s="82"/>
      <c r="CV213" s="82"/>
      <c r="CW213" s="82"/>
      <c r="CX213" s="82"/>
      <c r="CY213" s="82"/>
      <c r="CZ213" s="82"/>
      <c r="DA213" s="73"/>
      <c r="DB213" s="99"/>
      <c r="DC213" s="82"/>
      <c r="DD213" s="82"/>
      <c r="DE213" s="82"/>
      <c r="DF213" s="82"/>
      <c r="DG213" s="82"/>
      <c r="DH213" s="82"/>
      <c r="DI213" s="82"/>
      <c r="DJ213" s="82"/>
      <c r="DK213" s="82"/>
      <c r="DL213" s="82"/>
      <c r="DM213" s="82"/>
      <c r="DN213" s="82"/>
      <c r="DO213" s="82"/>
      <c r="DP213" s="82"/>
      <c r="DQ213" s="82"/>
      <c r="DR213" s="82"/>
      <c r="DS213" s="82"/>
      <c r="DT213" s="82"/>
      <c r="DU213" s="82"/>
      <c r="DV213" s="82"/>
      <c r="DW213" s="82"/>
      <c r="DX213" s="82"/>
      <c r="DY213" s="82"/>
      <c r="DZ213" s="82"/>
      <c r="EA213" s="82"/>
      <c r="EC213" s="85"/>
    </row>
    <row r="214" spans="2:133" s="81" customFormat="1" ht="12.75" customHeight="1">
      <c r="B214" s="108"/>
      <c r="C214" s="99"/>
      <c r="D214" s="99"/>
      <c r="E214" s="99"/>
      <c r="F214" s="99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92"/>
      <c r="Z214" s="82"/>
      <c r="AA214" s="92"/>
      <c r="AB214" s="82"/>
      <c r="AC214" s="85"/>
      <c r="AD214" s="82"/>
      <c r="AE214" s="82"/>
      <c r="AF214" s="82"/>
      <c r="AG214" s="82"/>
      <c r="AH214" s="82"/>
      <c r="AI214" s="82"/>
      <c r="AJ214" s="82"/>
      <c r="AK214" s="82"/>
      <c r="AL214" s="82"/>
      <c r="AM214" s="82"/>
      <c r="AN214" s="82"/>
      <c r="AO214" s="82"/>
      <c r="AP214" s="82"/>
      <c r="AQ214" s="82"/>
      <c r="AR214" s="82"/>
      <c r="AS214" s="82"/>
      <c r="AT214" s="82"/>
      <c r="AU214" s="82"/>
      <c r="AV214" s="82"/>
      <c r="AW214" s="82"/>
      <c r="AX214" s="82"/>
      <c r="AY214" s="82"/>
      <c r="AZ214" s="82"/>
      <c r="BA214" s="82"/>
      <c r="BB214" s="82"/>
      <c r="BC214" s="82"/>
      <c r="BD214" s="82"/>
      <c r="BE214" s="82"/>
      <c r="BF214" s="82"/>
      <c r="BG214" s="82"/>
      <c r="BH214" s="82"/>
      <c r="BI214" s="82"/>
      <c r="BJ214" s="82"/>
      <c r="BK214" s="82"/>
      <c r="BL214" s="82"/>
      <c r="BM214" s="82"/>
      <c r="BN214" s="82"/>
      <c r="BO214" s="82"/>
      <c r="BP214" s="82"/>
      <c r="BQ214" s="82"/>
      <c r="BR214" s="82"/>
      <c r="BS214" s="82"/>
      <c r="BT214" s="82"/>
      <c r="BU214" s="82"/>
      <c r="BV214" s="82"/>
      <c r="BW214" s="82"/>
      <c r="BX214" s="82"/>
      <c r="BY214" s="82"/>
      <c r="BZ214" s="82"/>
      <c r="CA214" s="82"/>
      <c r="CB214" s="82"/>
      <c r="CC214" s="82"/>
      <c r="CD214" s="82"/>
      <c r="CE214" s="82"/>
      <c r="CF214" s="82"/>
      <c r="CG214" s="82"/>
      <c r="CH214" s="82"/>
      <c r="CI214" s="82"/>
      <c r="CJ214" s="82"/>
      <c r="CK214" s="82"/>
      <c r="CL214" s="82"/>
      <c r="CM214" s="82"/>
      <c r="CN214" s="82"/>
      <c r="CO214" s="82"/>
      <c r="CP214" s="82"/>
      <c r="CQ214" s="82"/>
      <c r="CR214" s="82"/>
      <c r="CS214" s="82"/>
      <c r="CT214" s="82"/>
      <c r="CU214" s="82"/>
      <c r="CV214" s="82"/>
      <c r="CW214" s="82"/>
      <c r="CX214" s="82"/>
      <c r="CY214" s="82"/>
      <c r="CZ214" s="82"/>
      <c r="DA214" s="73"/>
      <c r="DB214" s="99"/>
      <c r="DC214" s="82"/>
      <c r="DD214" s="82"/>
      <c r="DE214" s="82"/>
      <c r="DF214" s="82"/>
      <c r="DG214" s="82"/>
      <c r="DH214" s="82"/>
      <c r="DI214" s="82"/>
      <c r="DJ214" s="82"/>
      <c r="DK214" s="82"/>
      <c r="DL214" s="82"/>
      <c r="DM214" s="82"/>
      <c r="DN214" s="82"/>
      <c r="DO214" s="82"/>
      <c r="DP214" s="82"/>
      <c r="DQ214" s="82"/>
      <c r="DR214" s="82"/>
      <c r="DS214" s="82"/>
      <c r="DT214" s="82"/>
      <c r="DU214" s="82"/>
      <c r="DV214" s="82"/>
      <c r="DW214" s="82"/>
      <c r="DX214" s="82"/>
      <c r="DY214" s="82"/>
      <c r="DZ214" s="82"/>
      <c r="EA214" s="82"/>
      <c r="EC214" s="85"/>
    </row>
    <row r="215" spans="2:133" s="81" customFormat="1" ht="12.75" customHeight="1">
      <c r="B215" s="108"/>
      <c r="C215" s="99"/>
      <c r="D215" s="99"/>
      <c r="E215" s="99"/>
      <c r="F215" s="99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92"/>
      <c r="Z215" s="82"/>
      <c r="AA215" s="92"/>
      <c r="AB215" s="82"/>
      <c r="AC215" s="85"/>
      <c r="AD215" s="82"/>
      <c r="AE215" s="82"/>
      <c r="AF215" s="82"/>
      <c r="AG215" s="82"/>
      <c r="AH215" s="82"/>
      <c r="AI215" s="82"/>
      <c r="AJ215" s="82"/>
      <c r="AK215" s="82"/>
      <c r="AL215" s="82"/>
      <c r="AM215" s="82"/>
      <c r="AN215" s="82"/>
      <c r="AO215" s="82"/>
      <c r="AP215" s="82"/>
      <c r="AQ215" s="82"/>
      <c r="AR215" s="82"/>
      <c r="AS215" s="82"/>
      <c r="AT215" s="82"/>
      <c r="AU215" s="82"/>
      <c r="AV215" s="82"/>
      <c r="AW215" s="82"/>
      <c r="AX215" s="82"/>
      <c r="AY215" s="82"/>
      <c r="AZ215" s="82"/>
      <c r="BA215" s="82"/>
      <c r="BB215" s="82"/>
      <c r="BC215" s="82"/>
      <c r="BD215" s="82"/>
      <c r="BE215" s="82"/>
      <c r="BF215" s="82"/>
      <c r="BG215" s="82"/>
      <c r="BH215" s="82"/>
      <c r="BI215" s="82"/>
      <c r="BJ215" s="82"/>
      <c r="BK215" s="82"/>
      <c r="BL215" s="82"/>
      <c r="BM215" s="82"/>
      <c r="BN215" s="82"/>
      <c r="BO215" s="82"/>
      <c r="BP215" s="82"/>
      <c r="BQ215" s="82"/>
      <c r="BR215" s="82"/>
      <c r="BS215" s="82"/>
      <c r="BT215" s="82"/>
      <c r="BU215" s="82"/>
      <c r="BV215" s="82"/>
      <c r="BW215" s="82"/>
      <c r="BX215" s="82"/>
      <c r="BY215" s="82"/>
      <c r="BZ215" s="82"/>
      <c r="CA215" s="82"/>
      <c r="CB215" s="82"/>
      <c r="CC215" s="82"/>
      <c r="CD215" s="82"/>
      <c r="CE215" s="82"/>
      <c r="CF215" s="82"/>
      <c r="CG215" s="82"/>
      <c r="CH215" s="82"/>
      <c r="CI215" s="82"/>
      <c r="CJ215" s="82"/>
      <c r="CK215" s="82"/>
      <c r="CL215" s="82"/>
      <c r="CM215" s="82"/>
      <c r="CN215" s="82"/>
      <c r="CO215" s="82"/>
      <c r="CP215" s="82"/>
      <c r="CQ215" s="82"/>
      <c r="CR215" s="82"/>
      <c r="CS215" s="82"/>
      <c r="CT215" s="82"/>
      <c r="CU215" s="82"/>
      <c r="CV215" s="82"/>
      <c r="CW215" s="82"/>
      <c r="CX215" s="82"/>
      <c r="CY215" s="82"/>
      <c r="CZ215" s="82"/>
      <c r="DA215" s="73"/>
      <c r="DB215" s="99"/>
      <c r="DC215" s="82"/>
      <c r="DD215" s="82"/>
      <c r="DE215" s="82"/>
      <c r="DF215" s="82"/>
      <c r="DG215" s="82"/>
      <c r="DH215" s="82"/>
      <c r="DI215" s="82"/>
      <c r="DJ215" s="82"/>
      <c r="DK215" s="82"/>
      <c r="DL215" s="82"/>
      <c r="DM215" s="82"/>
      <c r="DN215" s="82"/>
      <c r="DO215" s="82"/>
      <c r="DP215" s="82"/>
      <c r="DQ215" s="82"/>
      <c r="DR215" s="82"/>
      <c r="DS215" s="82"/>
      <c r="DT215" s="82"/>
      <c r="DU215" s="82"/>
      <c r="DV215" s="82"/>
      <c r="DW215" s="82"/>
      <c r="DX215" s="82"/>
      <c r="DY215" s="82"/>
      <c r="DZ215" s="82"/>
      <c r="EA215" s="82"/>
      <c r="EC215" s="85"/>
    </row>
    <row r="216" spans="2:133" s="81" customFormat="1" ht="12.75" customHeight="1">
      <c r="B216" s="108"/>
      <c r="C216" s="99"/>
      <c r="D216" s="99"/>
      <c r="E216" s="99"/>
      <c r="F216" s="99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92"/>
      <c r="Z216" s="82"/>
      <c r="AA216" s="92"/>
      <c r="AB216" s="82"/>
      <c r="AC216" s="85"/>
      <c r="AD216" s="82"/>
      <c r="AE216" s="82"/>
      <c r="AF216" s="82"/>
      <c r="AG216" s="82"/>
      <c r="AH216" s="82"/>
      <c r="AI216" s="82"/>
      <c r="AJ216" s="82"/>
      <c r="AK216" s="82"/>
      <c r="AL216" s="82"/>
      <c r="AM216" s="82"/>
      <c r="AN216" s="82"/>
      <c r="AO216" s="82"/>
      <c r="AP216" s="82"/>
      <c r="AQ216" s="82"/>
      <c r="AR216" s="82"/>
      <c r="AS216" s="82"/>
      <c r="AT216" s="82"/>
      <c r="AU216" s="82"/>
      <c r="AV216" s="82"/>
      <c r="AW216" s="82"/>
      <c r="AX216" s="82"/>
      <c r="AY216" s="82"/>
      <c r="AZ216" s="82"/>
      <c r="BA216" s="82"/>
      <c r="BB216" s="82"/>
      <c r="BC216" s="82"/>
      <c r="BD216" s="82"/>
      <c r="BE216" s="82"/>
      <c r="BF216" s="82"/>
      <c r="BG216" s="82"/>
      <c r="BH216" s="82"/>
      <c r="BI216" s="82"/>
      <c r="BJ216" s="82"/>
      <c r="BK216" s="82"/>
      <c r="BL216" s="82"/>
      <c r="BM216" s="82"/>
      <c r="BN216" s="82"/>
      <c r="BO216" s="82"/>
      <c r="BP216" s="82"/>
      <c r="BQ216" s="82"/>
      <c r="BR216" s="82"/>
      <c r="BS216" s="82"/>
      <c r="BT216" s="82"/>
      <c r="BU216" s="82"/>
      <c r="BV216" s="82"/>
      <c r="BW216" s="82"/>
      <c r="BX216" s="82"/>
      <c r="BY216" s="82"/>
      <c r="BZ216" s="82"/>
      <c r="CA216" s="82"/>
      <c r="CB216" s="82"/>
      <c r="CC216" s="82"/>
      <c r="CD216" s="82"/>
      <c r="CE216" s="82"/>
      <c r="CF216" s="82"/>
      <c r="CG216" s="82"/>
      <c r="CH216" s="82"/>
      <c r="CI216" s="82"/>
      <c r="CJ216" s="82"/>
      <c r="CK216" s="82"/>
      <c r="CL216" s="82"/>
      <c r="CM216" s="82"/>
      <c r="CN216" s="82"/>
      <c r="CO216" s="82"/>
      <c r="CP216" s="82"/>
      <c r="CQ216" s="82"/>
      <c r="CR216" s="82"/>
      <c r="CS216" s="82"/>
      <c r="CT216" s="82"/>
      <c r="CU216" s="82"/>
      <c r="CV216" s="82"/>
      <c r="CW216" s="82"/>
      <c r="CX216" s="82"/>
      <c r="CY216" s="82"/>
      <c r="CZ216" s="82"/>
      <c r="DA216" s="73"/>
      <c r="DB216" s="99"/>
      <c r="DC216" s="82"/>
      <c r="DD216" s="82"/>
      <c r="DE216" s="82"/>
      <c r="DF216" s="82"/>
      <c r="DG216" s="82"/>
      <c r="DH216" s="82"/>
      <c r="DI216" s="82"/>
      <c r="DJ216" s="82"/>
      <c r="DK216" s="82"/>
      <c r="DL216" s="82"/>
      <c r="DM216" s="82"/>
      <c r="DN216" s="82"/>
      <c r="DO216" s="82"/>
      <c r="DP216" s="82"/>
      <c r="DQ216" s="82"/>
      <c r="DR216" s="82"/>
      <c r="DS216" s="82"/>
      <c r="DT216" s="82"/>
      <c r="DU216" s="82"/>
      <c r="DV216" s="82"/>
      <c r="DW216" s="82"/>
      <c r="DX216" s="82"/>
      <c r="DY216" s="82"/>
      <c r="DZ216" s="82"/>
      <c r="EA216" s="82"/>
      <c r="EC216" s="85"/>
    </row>
    <row r="217" spans="2:133" s="81" customFormat="1" ht="12.75" customHeight="1">
      <c r="B217" s="108"/>
      <c r="C217" s="99"/>
      <c r="D217" s="99"/>
      <c r="E217" s="99"/>
      <c r="F217" s="99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92"/>
      <c r="Z217" s="82"/>
      <c r="AA217" s="92"/>
      <c r="AB217" s="82"/>
      <c r="AC217" s="85"/>
      <c r="AD217" s="82"/>
      <c r="AE217" s="82"/>
      <c r="AF217" s="82"/>
      <c r="AG217" s="82"/>
      <c r="AH217" s="82"/>
      <c r="AI217" s="82"/>
      <c r="AJ217" s="82"/>
      <c r="AK217" s="82"/>
      <c r="AL217" s="82"/>
      <c r="AM217" s="82"/>
      <c r="AN217" s="82"/>
      <c r="AO217" s="82"/>
      <c r="AP217" s="82"/>
      <c r="AQ217" s="82"/>
      <c r="AR217" s="82"/>
      <c r="AS217" s="82"/>
      <c r="AT217" s="82"/>
      <c r="AU217" s="82"/>
      <c r="AV217" s="82"/>
      <c r="AW217" s="82"/>
      <c r="AX217" s="82"/>
      <c r="AY217" s="82"/>
      <c r="AZ217" s="82"/>
      <c r="BA217" s="82"/>
      <c r="BB217" s="82"/>
      <c r="BC217" s="82"/>
      <c r="BD217" s="82"/>
      <c r="BE217" s="82"/>
      <c r="BF217" s="82"/>
      <c r="BG217" s="82"/>
      <c r="BH217" s="82"/>
      <c r="BI217" s="82"/>
      <c r="BJ217" s="82"/>
      <c r="BK217" s="82"/>
      <c r="BL217" s="82"/>
      <c r="BM217" s="82"/>
      <c r="BN217" s="82"/>
      <c r="BO217" s="82"/>
      <c r="BP217" s="82"/>
      <c r="BQ217" s="82"/>
      <c r="BR217" s="82"/>
      <c r="BS217" s="82"/>
      <c r="BT217" s="82"/>
      <c r="BU217" s="82"/>
      <c r="BV217" s="82"/>
      <c r="BW217" s="82"/>
      <c r="BX217" s="82"/>
      <c r="BY217" s="82"/>
      <c r="BZ217" s="82"/>
      <c r="CA217" s="82"/>
      <c r="CB217" s="82"/>
      <c r="CC217" s="82"/>
      <c r="CD217" s="82"/>
      <c r="CE217" s="82"/>
      <c r="CF217" s="82"/>
      <c r="CG217" s="82"/>
      <c r="CH217" s="82"/>
      <c r="CI217" s="82"/>
      <c r="CJ217" s="82"/>
      <c r="CK217" s="82"/>
      <c r="CL217" s="82"/>
      <c r="CM217" s="82"/>
      <c r="CN217" s="82"/>
      <c r="CO217" s="82"/>
      <c r="CP217" s="82"/>
      <c r="CQ217" s="82"/>
      <c r="CR217" s="82"/>
      <c r="CS217" s="82"/>
      <c r="CT217" s="82"/>
      <c r="CU217" s="82"/>
      <c r="CV217" s="82"/>
      <c r="CW217" s="82"/>
      <c r="CX217" s="82"/>
      <c r="CY217" s="82"/>
      <c r="CZ217" s="82"/>
      <c r="DA217" s="73"/>
      <c r="DB217" s="99"/>
      <c r="DC217" s="82"/>
      <c r="DD217" s="82"/>
      <c r="DE217" s="82"/>
      <c r="DF217" s="82"/>
      <c r="DG217" s="82"/>
      <c r="DH217" s="82"/>
      <c r="DI217" s="82"/>
      <c r="DJ217" s="82"/>
      <c r="DK217" s="82"/>
      <c r="DL217" s="82"/>
      <c r="DM217" s="82"/>
      <c r="DN217" s="82"/>
      <c r="DO217" s="82"/>
      <c r="DP217" s="82"/>
      <c r="DQ217" s="82"/>
      <c r="DR217" s="82"/>
      <c r="DS217" s="82"/>
      <c r="DT217" s="82"/>
      <c r="DU217" s="82"/>
      <c r="DV217" s="82"/>
      <c r="DW217" s="82"/>
      <c r="DX217" s="82"/>
      <c r="DY217" s="82"/>
      <c r="DZ217" s="82"/>
      <c r="EA217" s="82"/>
      <c r="EC217" s="85"/>
    </row>
    <row r="218" spans="2:133" s="81" customFormat="1" ht="12.75" customHeight="1">
      <c r="B218" s="108"/>
      <c r="C218" s="99"/>
      <c r="D218" s="99"/>
      <c r="E218" s="99"/>
      <c r="F218" s="99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92"/>
      <c r="Z218" s="82"/>
      <c r="AA218" s="92"/>
      <c r="AB218" s="82"/>
      <c r="AC218" s="85"/>
      <c r="AD218" s="82"/>
      <c r="AE218" s="82"/>
      <c r="AF218" s="82"/>
      <c r="AG218" s="82"/>
      <c r="AH218" s="82"/>
      <c r="AI218" s="82"/>
      <c r="AJ218" s="82"/>
      <c r="AK218" s="82"/>
      <c r="AL218" s="82"/>
      <c r="AM218" s="82"/>
      <c r="AN218" s="82"/>
      <c r="AO218" s="82"/>
      <c r="AP218" s="82"/>
      <c r="AQ218" s="82"/>
      <c r="AR218" s="82"/>
      <c r="AS218" s="82"/>
      <c r="AT218" s="82"/>
      <c r="AU218" s="82"/>
      <c r="AV218" s="82"/>
      <c r="AW218" s="82"/>
      <c r="AX218" s="82"/>
      <c r="AY218" s="82"/>
      <c r="AZ218" s="82"/>
      <c r="BA218" s="82"/>
      <c r="BB218" s="82"/>
      <c r="BC218" s="82"/>
      <c r="BD218" s="82"/>
      <c r="BE218" s="82"/>
      <c r="BF218" s="82"/>
      <c r="BG218" s="82"/>
      <c r="BH218" s="82"/>
      <c r="BI218" s="82"/>
      <c r="BJ218" s="82"/>
      <c r="BK218" s="82"/>
      <c r="BL218" s="82"/>
      <c r="BM218" s="82"/>
      <c r="BN218" s="82"/>
      <c r="BO218" s="82"/>
      <c r="BP218" s="82"/>
      <c r="BQ218" s="82"/>
      <c r="BR218" s="82"/>
      <c r="BS218" s="82"/>
      <c r="BT218" s="82"/>
      <c r="BU218" s="82"/>
      <c r="BV218" s="82"/>
      <c r="BW218" s="82"/>
      <c r="BX218" s="82"/>
      <c r="BY218" s="82"/>
      <c r="BZ218" s="82"/>
      <c r="CA218" s="82"/>
      <c r="CB218" s="82"/>
      <c r="CC218" s="82"/>
      <c r="CD218" s="82"/>
      <c r="CE218" s="82"/>
      <c r="CF218" s="82"/>
      <c r="CG218" s="82"/>
      <c r="CH218" s="82"/>
      <c r="CI218" s="82"/>
      <c r="CJ218" s="82"/>
      <c r="CK218" s="82"/>
      <c r="CL218" s="82"/>
      <c r="CM218" s="82"/>
      <c r="CN218" s="82"/>
      <c r="CO218" s="82"/>
      <c r="CP218" s="82"/>
      <c r="CQ218" s="82"/>
      <c r="CR218" s="82"/>
      <c r="CS218" s="82"/>
      <c r="CT218" s="82"/>
      <c r="CU218" s="82"/>
      <c r="CV218" s="82"/>
      <c r="CW218" s="82"/>
      <c r="CX218" s="82"/>
      <c r="CY218" s="82"/>
      <c r="CZ218" s="82"/>
      <c r="DA218" s="73"/>
      <c r="DB218" s="99"/>
      <c r="DC218" s="82"/>
      <c r="DD218" s="82"/>
      <c r="DE218" s="82"/>
      <c r="DF218" s="82"/>
      <c r="DG218" s="82"/>
      <c r="DH218" s="82"/>
      <c r="DI218" s="82"/>
      <c r="DJ218" s="82"/>
      <c r="DK218" s="82"/>
      <c r="DL218" s="82"/>
      <c r="DM218" s="82"/>
      <c r="DN218" s="82"/>
      <c r="DO218" s="82"/>
      <c r="DP218" s="82"/>
      <c r="DQ218" s="82"/>
      <c r="DR218" s="82"/>
      <c r="DS218" s="82"/>
      <c r="DT218" s="82"/>
      <c r="DU218" s="82"/>
      <c r="DV218" s="82"/>
      <c r="DW218" s="82"/>
      <c r="DX218" s="82"/>
      <c r="DY218" s="82"/>
      <c r="DZ218" s="82"/>
      <c r="EA218" s="82"/>
      <c r="EC218" s="85"/>
    </row>
    <row r="219" spans="2:133" s="81" customFormat="1" ht="12.75" customHeight="1">
      <c r="B219" s="108"/>
      <c r="C219" s="99"/>
      <c r="D219" s="99"/>
      <c r="E219" s="99"/>
      <c r="F219" s="99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92"/>
      <c r="Z219" s="82"/>
      <c r="AA219" s="92"/>
      <c r="AB219" s="82"/>
      <c r="AC219" s="85"/>
      <c r="AD219" s="82"/>
      <c r="AE219" s="82"/>
      <c r="AF219" s="82"/>
      <c r="AG219" s="82"/>
      <c r="AH219" s="82"/>
      <c r="AI219" s="82"/>
      <c r="AJ219" s="82"/>
      <c r="AK219" s="82"/>
      <c r="AL219" s="82"/>
      <c r="AM219" s="82"/>
      <c r="AN219" s="82"/>
      <c r="AO219" s="82"/>
      <c r="AP219" s="82"/>
      <c r="AQ219" s="82"/>
      <c r="AR219" s="82"/>
      <c r="AS219" s="82"/>
      <c r="AT219" s="82"/>
      <c r="AU219" s="82"/>
      <c r="AV219" s="82"/>
      <c r="AW219" s="82"/>
      <c r="AX219" s="82"/>
      <c r="AY219" s="82"/>
      <c r="AZ219" s="82"/>
      <c r="BA219" s="82"/>
      <c r="BB219" s="82"/>
      <c r="BC219" s="82"/>
      <c r="BD219" s="82"/>
      <c r="BE219" s="82"/>
      <c r="BF219" s="82"/>
      <c r="BG219" s="82"/>
      <c r="BH219" s="82"/>
      <c r="BI219" s="82"/>
      <c r="BJ219" s="82"/>
      <c r="BK219" s="82"/>
      <c r="BL219" s="82"/>
      <c r="BM219" s="82"/>
      <c r="BN219" s="82"/>
      <c r="BO219" s="82"/>
      <c r="BP219" s="82"/>
      <c r="BQ219" s="82"/>
      <c r="BR219" s="82"/>
      <c r="BS219" s="82"/>
      <c r="BT219" s="82"/>
      <c r="BU219" s="82"/>
      <c r="BV219" s="82"/>
      <c r="BW219" s="82"/>
      <c r="BX219" s="82"/>
      <c r="BY219" s="82"/>
      <c r="BZ219" s="82"/>
      <c r="CA219" s="82"/>
      <c r="CB219" s="82"/>
      <c r="CC219" s="82"/>
      <c r="CD219" s="82"/>
      <c r="CE219" s="82"/>
      <c r="CF219" s="82"/>
      <c r="CG219" s="82"/>
      <c r="CH219" s="82"/>
      <c r="CI219" s="82"/>
      <c r="CJ219" s="82"/>
      <c r="CK219" s="82"/>
      <c r="CL219" s="82"/>
      <c r="CM219" s="82"/>
      <c r="CN219" s="82"/>
      <c r="CO219" s="82"/>
      <c r="CP219" s="82"/>
      <c r="CQ219" s="82"/>
      <c r="CR219" s="82"/>
      <c r="CS219" s="82"/>
      <c r="CT219" s="82"/>
      <c r="CU219" s="82"/>
      <c r="CV219" s="82"/>
      <c r="CW219" s="82"/>
      <c r="CX219" s="82"/>
      <c r="CY219" s="82"/>
      <c r="CZ219" s="82"/>
      <c r="DA219" s="73"/>
      <c r="DB219" s="99"/>
      <c r="DC219" s="82"/>
      <c r="DD219" s="82"/>
      <c r="DE219" s="82"/>
      <c r="DF219" s="82"/>
      <c r="DG219" s="82"/>
      <c r="DH219" s="82"/>
      <c r="DI219" s="82"/>
      <c r="DJ219" s="82"/>
      <c r="DK219" s="82"/>
      <c r="DL219" s="82"/>
      <c r="DM219" s="82"/>
      <c r="DN219" s="82"/>
      <c r="DO219" s="82"/>
      <c r="DP219" s="82"/>
      <c r="DQ219" s="82"/>
      <c r="DR219" s="82"/>
      <c r="DS219" s="82"/>
      <c r="DT219" s="82"/>
      <c r="DU219" s="82"/>
      <c r="DV219" s="82"/>
      <c r="DW219" s="82"/>
      <c r="DX219" s="82"/>
      <c r="DY219" s="82"/>
      <c r="DZ219" s="82"/>
      <c r="EA219" s="82"/>
      <c r="EC219" s="85"/>
    </row>
    <row r="220" spans="2:133" s="81" customFormat="1" ht="12.75" customHeight="1">
      <c r="B220" s="108"/>
      <c r="C220" s="99"/>
      <c r="D220" s="99"/>
      <c r="E220" s="99"/>
      <c r="F220" s="99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92"/>
      <c r="Z220" s="82"/>
      <c r="AA220" s="92"/>
      <c r="AB220" s="82"/>
      <c r="AC220" s="85"/>
      <c r="AD220" s="82"/>
      <c r="AE220" s="82"/>
      <c r="AF220" s="82"/>
      <c r="AG220" s="82"/>
      <c r="AH220" s="82"/>
      <c r="AI220" s="82"/>
      <c r="AJ220" s="82"/>
      <c r="AK220" s="82"/>
      <c r="AL220" s="82"/>
      <c r="AM220" s="82"/>
      <c r="AN220" s="82"/>
      <c r="AO220" s="82"/>
      <c r="AP220" s="82"/>
      <c r="AQ220" s="82"/>
      <c r="AR220" s="82"/>
      <c r="AS220" s="82"/>
      <c r="AT220" s="82"/>
      <c r="AU220" s="82"/>
      <c r="AV220" s="82"/>
      <c r="AW220" s="82"/>
      <c r="AX220" s="82"/>
      <c r="AY220" s="82"/>
      <c r="AZ220" s="82"/>
      <c r="BA220" s="82"/>
      <c r="BB220" s="82"/>
      <c r="BC220" s="82"/>
      <c r="BD220" s="82"/>
      <c r="BE220" s="82"/>
      <c r="BF220" s="82"/>
      <c r="BG220" s="82"/>
      <c r="BH220" s="82"/>
      <c r="BI220" s="82"/>
      <c r="BJ220" s="82"/>
      <c r="BK220" s="82"/>
      <c r="BL220" s="82"/>
      <c r="BM220" s="82"/>
      <c r="BN220" s="82"/>
      <c r="BO220" s="82"/>
      <c r="BP220" s="82"/>
      <c r="BQ220" s="82"/>
      <c r="BR220" s="82"/>
      <c r="BS220" s="82"/>
      <c r="BT220" s="82"/>
      <c r="BU220" s="82"/>
      <c r="BV220" s="82"/>
      <c r="BW220" s="82"/>
      <c r="BX220" s="82"/>
      <c r="BY220" s="82"/>
      <c r="BZ220" s="82"/>
      <c r="CA220" s="82"/>
      <c r="CB220" s="82"/>
      <c r="CC220" s="82"/>
      <c r="CD220" s="82"/>
      <c r="CE220" s="82"/>
      <c r="CF220" s="82"/>
      <c r="CG220" s="82"/>
      <c r="CH220" s="82"/>
      <c r="CI220" s="82"/>
      <c r="CJ220" s="82"/>
      <c r="CK220" s="82"/>
      <c r="CL220" s="82"/>
      <c r="CM220" s="82"/>
      <c r="CN220" s="82"/>
      <c r="CO220" s="82"/>
      <c r="CP220" s="82"/>
      <c r="CQ220" s="82"/>
      <c r="CR220" s="82"/>
      <c r="CS220" s="82"/>
      <c r="CT220" s="82"/>
      <c r="CU220" s="82"/>
      <c r="CV220" s="82"/>
      <c r="CW220" s="82"/>
      <c r="CX220" s="82"/>
      <c r="CY220" s="82"/>
      <c r="CZ220" s="82"/>
      <c r="DA220" s="73"/>
      <c r="DB220" s="99"/>
      <c r="DC220" s="82"/>
      <c r="DD220" s="82"/>
      <c r="DE220" s="82"/>
      <c r="DF220" s="82"/>
      <c r="DG220" s="82"/>
      <c r="DH220" s="82"/>
      <c r="DI220" s="82"/>
      <c r="DJ220" s="82"/>
      <c r="DK220" s="82"/>
      <c r="DL220" s="82"/>
      <c r="DM220" s="82"/>
      <c r="DN220" s="82"/>
      <c r="DO220" s="82"/>
      <c r="DP220" s="82"/>
      <c r="DQ220" s="82"/>
      <c r="DR220" s="82"/>
      <c r="DS220" s="82"/>
      <c r="DT220" s="82"/>
      <c r="DU220" s="82"/>
      <c r="DV220" s="82"/>
      <c r="DW220" s="82"/>
      <c r="DX220" s="82"/>
      <c r="DY220" s="82"/>
      <c r="DZ220" s="82"/>
      <c r="EA220" s="82"/>
      <c r="EC220" s="85"/>
    </row>
    <row r="221" spans="2:133" s="81" customFormat="1" ht="12.75" customHeight="1">
      <c r="B221" s="108"/>
      <c r="C221" s="99"/>
      <c r="D221" s="99"/>
      <c r="E221" s="99"/>
      <c r="F221" s="99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92"/>
      <c r="Z221" s="82"/>
      <c r="AA221" s="92"/>
      <c r="AB221" s="82"/>
      <c r="AC221" s="85"/>
      <c r="AD221" s="82"/>
      <c r="AE221" s="82"/>
      <c r="AF221" s="82"/>
      <c r="AG221" s="82"/>
      <c r="AH221" s="82"/>
      <c r="AI221" s="82"/>
      <c r="AJ221" s="82"/>
      <c r="AK221" s="82"/>
      <c r="AL221" s="82"/>
      <c r="AM221" s="82"/>
      <c r="AN221" s="82"/>
      <c r="AO221" s="82"/>
      <c r="AP221" s="82"/>
      <c r="AQ221" s="82"/>
      <c r="AR221" s="82"/>
      <c r="AS221" s="82"/>
      <c r="AT221" s="82"/>
      <c r="AU221" s="82"/>
      <c r="AV221" s="82"/>
      <c r="AW221" s="82"/>
      <c r="AX221" s="82"/>
      <c r="AY221" s="82"/>
      <c r="AZ221" s="82"/>
      <c r="BA221" s="82"/>
      <c r="BB221" s="82"/>
      <c r="BC221" s="82"/>
      <c r="BD221" s="82"/>
      <c r="BE221" s="82"/>
      <c r="BF221" s="82"/>
      <c r="BG221" s="82"/>
      <c r="BH221" s="82"/>
      <c r="BI221" s="82"/>
      <c r="BJ221" s="82"/>
      <c r="BK221" s="82"/>
      <c r="BL221" s="82"/>
      <c r="BM221" s="82"/>
      <c r="BN221" s="82"/>
      <c r="BO221" s="82"/>
      <c r="BP221" s="82"/>
      <c r="BQ221" s="82"/>
      <c r="BR221" s="82"/>
      <c r="BS221" s="82"/>
      <c r="BT221" s="82"/>
      <c r="BU221" s="82"/>
      <c r="BV221" s="82"/>
      <c r="BW221" s="82"/>
      <c r="BX221" s="82"/>
      <c r="BY221" s="82"/>
      <c r="BZ221" s="82"/>
      <c r="CA221" s="82"/>
      <c r="CB221" s="82"/>
      <c r="CC221" s="82"/>
      <c r="CD221" s="82"/>
      <c r="CE221" s="82"/>
      <c r="CF221" s="82"/>
      <c r="CG221" s="82"/>
      <c r="CH221" s="82"/>
      <c r="CI221" s="82"/>
      <c r="CJ221" s="82"/>
      <c r="CK221" s="82"/>
      <c r="CL221" s="82"/>
      <c r="CM221" s="82"/>
      <c r="CN221" s="82"/>
      <c r="CO221" s="82"/>
      <c r="CP221" s="82"/>
      <c r="CQ221" s="82"/>
      <c r="CR221" s="82"/>
      <c r="CS221" s="82"/>
      <c r="CT221" s="82"/>
      <c r="CU221" s="82"/>
      <c r="CV221" s="82"/>
      <c r="CW221" s="82"/>
      <c r="CX221" s="82"/>
      <c r="CY221" s="82"/>
      <c r="CZ221" s="82"/>
      <c r="DA221" s="73"/>
      <c r="DB221" s="99"/>
      <c r="DC221" s="82"/>
      <c r="DD221" s="82"/>
      <c r="DE221" s="82"/>
      <c r="DF221" s="82"/>
      <c r="DG221" s="82"/>
      <c r="DH221" s="82"/>
      <c r="DI221" s="82"/>
      <c r="DJ221" s="82"/>
      <c r="DK221" s="82"/>
      <c r="DL221" s="82"/>
      <c r="DM221" s="82"/>
      <c r="DN221" s="82"/>
      <c r="DO221" s="82"/>
      <c r="DP221" s="82"/>
      <c r="DQ221" s="82"/>
      <c r="DR221" s="82"/>
      <c r="DS221" s="82"/>
      <c r="DT221" s="82"/>
      <c r="DU221" s="82"/>
      <c r="DV221" s="82"/>
      <c r="DW221" s="82"/>
      <c r="DX221" s="82"/>
      <c r="DY221" s="82"/>
      <c r="DZ221" s="82"/>
      <c r="EA221" s="82"/>
      <c r="EC221" s="85"/>
    </row>
    <row r="222" spans="2:133" s="81" customFormat="1" ht="12.75" customHeight="1">
      <c r="B222" s="108"/>
      <c r="C222" s="99"/>
      <c r="D222" s="99"/>
      <c r="E222" s="99"/>
      <c r="F222" s="99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92"/>
      <c r="Z222" s="82"/>
      <c r="AA222" s="92"/>
      <c r="AB222" s="82"/>
      <c r="AC222" s="85"/>
      <c r="AD222" s="82"/>
      <c r="AE222" s="82"/>
      <c r="AF222" s="82"/>
      <c r="AG222" s="82"/>
      <c r="AH222" s="82"/>
      <c r="AI222" s="82"/>
      <c r="AJ222" s="82"/>
      <c r="AK222" s="82"/>
      <c r="AL222" s="82"/>
      <c r="AM222" s="82"/>
      <c r="AN222" s="82"/>
      <c r="AO222" s="82"/>
      <c r="AP222" s="82"/>
      <c r="AQ222" s="82"/>
      <c r="AR222" s="82"/>
      <c r="AS222" s="82"/>
      <c r="AT222" s="82"/>
      <c r="AU222" s="82"/>
      <c r="AV222" s="82"/>
      <c r="AW222" s="82"/>
      <c r="AX222" s="82"/>
      <c r="AY222" s="82"/>
      <c r="AZ222" s="82"/>
      <c r="BA222" s="82"/>
      <c r="BB222" s="82"/>
      <c r="BC222" s="82"/>
      <c r="BD222" s="82"/>
      <c r="BE222" s="82"/>
      <c r="BF222" s="82"/>
      <c r="BG222" s="82"/>
      <c r="BH222" s="82"/>
      <c r="BI222" s="82"/>
      <c r="BJ222" s="82"/>
      <c r="BK222" s="82"/>
      <c r="BL222" s="82"/>
      <c r="BM222" s="82"/>
      <c r="BN222" s="82"/>
      <c r="BO222" s="82"/>
      <c r="BP222" s="82"/>
      <c r="BQ222" s="82"/>
      <c r="BR222" s="82"/>
      <c r="BS222" s="82"/>
      <c r="BT222" s="82"/>
      <c r="BU222" s="82"/>
      <c r="BV222" s="82"/>
      <c r="BW222" s="82"/>
      <c r="BX222" s="82"/>
      <c r="BY222" s="82"/>
      <c r="BZ222" s="82"/>
      <c r="CA222" s="82"/>
      <c r="CB222" s="82"/>
      <c r="CC222" s="82"/>
      <c r="CD222" s="82"/>
      <c r="CE222" s="82"/>
      <c r="CF222" s="82"/>
      <c r="CG222" s="82"/>
      <c r="CH222" s="82"/>
      <c r="CI222" s="82"/>
      <c r="CJ222" s="82"/>
      <c r="CK222" s="82"/>
      <c r="CL222" s="82"/>
      <c r="CM222" s="82"/>
      <c r="CN222" s="82"/>
      <c r="CO222" s="82"/>
      <c r="CP222" s="82"/>
      <c r="CQ222" s="82"/>
      <c r="CR222" s="82"/>
      <c r="CS222" s="82"/>
      <c r="CT222" s="82"/>
      <c r="CU222" s="82"/>
      <c r="CV222" s="82"/>
      <c r="CW222" s="82"/>
      <c r="CX222" s="82"/>
      <c r="CY222" s="82"/>
      <c r="CZ222" s="82"/>
      <c r="DA222" s="73"/>
      <c r="DB222" s="99"/>
      <c r="DC222" s="82"/>
      <c r="DD222" s="82"/>
      <c r="DE222" s="82"/>
      <c r="DF222" s="82"/>
      <c r="DG222" s="82"/>
      <c r="DH222" s="82"/>
      <c r="DI222" s="82"/>
      <c r="DJ222" s="82"/>
      <c r="DK222" s="82"/>
      <c r="DL222" s="82"/>
      <c r="DM222" s="82"/>
      <c r="DN222" s="82"/>
      <c r="DO222" s="82"/>
      <c r="DP222" s="82"/>
      <c r="DQ222" s="82"/>
      <c r="DR222" s="82"/>
      <c r="DS222" s="82"/>
      <c r="DT222" s="82"/>
      <c r="DU222" s="82"/>
      <c r="DV222" s="82"/>
      <c r="DW222" s="82"/>
      <c r="DX222" s="82"/>
      <c r="DY222" s="82"/>
      <c r="DZ222" s="82"/>
      <c r="EA222" s="82"/>
      <c r="EC222" s="85"/>
    </row>
    <row r="223" spans="2:133" s="81" customFormat="1" ht="12.75" customHeight="1">
      <c r="B223" s="108"/>
      <c r="C223" s="99"/>
      <c r="D223" s="99"/>
      <c r="E223" s="99"/>
      <c r="F223" s="99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92"/>
      <c r="Z223" s="82"/>
      <c r="AA223" s="92"/>
      <c r="AB223" s="82"/>
      <c r="AC223" s="85"/>
      <c r="AD223" s="82"/>
      <c r="AE223" s="82"/>
      <c r="AF223" s="82"/>
      <c r="AG223" s="82"/>
      <c r="AH223" s="82"/>
      <c r="AI223" s="82"/>
      <c r="AJ223" s="82"/>
      <c r="AK223" s="82"/>
      <c r="AL223" s="82"/>
      <c r="AM223" s="82"/>
      <c r="AN223" s="82"/>
      <c r="AO223" s="82"/>
      <c r="AP223" s="82"/>
      <c r="AQ223" s="82"/>
      <c r="AR223" s="82"/>
      <c r="AS223" s="82"/>
      <c r="AT223" s="82"/>
      <c r="AU223" s="82"/>
      <c r="AV223" s="82"/>
      <c r="AW223" s="82"/>
      <c r="AX223" s="82"/>
      <c r="AY223" s="82"/>
      <c r="AZ223" s="82"/>
      <c r="BA223" s="82"/>
      <c r="BB223" s="82"/>
      <c r="BC223" s="82"/>
      <c r="BD223" s="82"/>
      <c r="BE223" s="82"/>
      <c r="BF223" s="82"/>
      <c r="BG223" s="82"/>
      <c r="BH223" s="82"/>
      <c r="BI223" s="82"/>
      <c r="BJ223" s="82"/>
      <c r="BK223" s="82"/>
      <c r="BL223" s="82"/>
      <c r="BM223" s="82"/>
      <c r="BN223" s="82"/>
      <c r="BO223" s="82"/>
      <c r="BP223" s="82"/>
      <c r="BQ223" s="82"/>
      <c r="BR223" s="82"/>
      <c r="BS223" s="82"/>
      <c r="BT223" s="82"/>
      <c r="BU223" s="82"/>
      <c r="BV223" s="82"/>
      <c r="BW223" s="82"/>
      <c r="BX223" s="82"/>
      <c r="BY223" s="82"/>
      <c r="BZ223" s="82"/>
      <c r="CA223" s="82"/>
      <c r="CB223" s="82"/>
      <c r="CC223" s="82"/>
      <c r="CD223" s="82"/>
      <c r="CE223" s="82"/>
      <c r="CF223" s="82"/>
      <c r="CG223" s="82"/>
      <c r="CH223" s="82"/>
      <c r="CI223" s="82"/>
      <c r="CJ223" s="82"/>
      <c r="CK223" s="82"/>
      <c r="CL223" s="82"/>
      <c r="CM223" s="82"/>
      <c r="CN223" s="82"/>
      <c r="CO223" s="82"/>
      <c r="CP223" s="82"/>
      <c r="CQ223" s="82"/>
      <c r="CR223" s="82"/>
      <c r="CS223" s="82"/>
      <c r="CT223" s="82"/>
      <c r="CU223" s="82"/>
      <c r="CV223" s="82"/>
      <c r="CW223" s="82"/>
      <c r="CX223" s="82"/>
      <c r="CY223" s="82"/>
      <c r="CZ223" s="82"/>
      <c r="DA223" s="73"/>
      <c r="DB223" s="99"/>
      <c r="DC223" s="82"/>
      <c r="DD223" s="82"/>
      <c r="DE223" s="82"/>
      <c r="DF223" s="82"/>
      <c r="DG223" s="82"/>
      <c r="DH223" s="82"/>
      <c r="DI223" s="82"/>
      <c r="DJ223" s="82"/>
      <c r="DK223" s="82"/>
      <c r="DL223" s="82"/>
      <c r="DM223" s="82"/>
      <c r="DN223" s="82"/>
      <c r="DO223" s="82"/>
      <c r="DP223" s="82"/>
      <c r="DQ223" s="82"/>
      <c r="DR223" s="82"/>
      <c r="DS223" s="82"/>
      <c r="DT223" s="82"/>
      <c r="DU223" s="82"/>
      <c r="DV223" s="82"/>
      <c r="DW223" s="82"/>
      <c r="DX223" s="82"/>
      <c r="DY223" s="82"/>
      <c r="DZ223" s="82"/>
      <c r="EA223" s="82"/>
      <c r="EC223" s="85"/>
    </row>
    <row r="224" spans="2:133" s="81" customFormat="1" ht="12.75" customHeight="1">
      <c r="B224" s="108"/>
      <c r="C224" s="99"/>
      <c r="D224" s="99"/>
      <c r="E224" s="99"/>
      <c r="F224" s="99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92"/>
      <c r="Z224" s="82"/>
      <c r="AA224" s="92"/>
      <c r="AB224" s="82"/>
      <c r="AC224" s="85"/>
      <c r="AD224" s="82"/>
      <c r="AE224" s="82"/>
      <c r="AF224" s="82"/>
      <c r="AG224" s="82"/>
      <c r="AH224" s="82"/>
      <c r="AI224" s="82"/>
      <c r="AJ224" s="82"/>
      <c r="AK224" s="82"/>
      <c r="AL224" s="82"/>
      <c r="AM224" s="82"/>
      <c r="AN224" s="82"/>
      <c r="AO224" s="82"/>
      <c r="AP224" s="82"/>
      <c r="AQ224" s="82"/>
      <c r="AR224" s="82"/>
      <c r="AS224" s="82"/>
      <c r="AT224" s="82"/>
      <c r="AU224" s="82"/>
      <c r="AV224" s="82"/>
      <c r="AW224" s="82"/>
      <c r="AX224" s="82"/>
      <c r="AY224" s="82"/>
      <c r="AZ224" s="82"/>
      <c r="BA224" s="82"/>
      <c r="BB224" s="82"/>
      <c r="BC224" s="82"/>
      <c r="BD224" s="82"/>
      <c r="BE224" s="82"/>
      <c r="BF224" s="82"/>
      <c r="BG224" s="82"/>
      <c r="BH224" s="82"/>
      <c r="BI224" s="82"/>
      <c r="BJ224" s="82"/>
      <c r="BK224" s="82"/>
      <c r="BL224" s="82"/>
      <c r="BM224" s="82"/>
      <c r="BN224" s="82"/>
      <c r="BO224" s="82"/>
      <c r="BP224" s="82"/>
      <c r="BQ224" s="82"/>
      <c r="BR224" s="82"/>
      <c r="BS224" s="82"/>
      <c r="BT224" s="82"/>
      <c r="BU224" s="82"/>
      <c r="BV224" s="82"/>
      <c r="BW224" s="82"/>
      <c r="BX224" s="82"/>
      <c r="BY224" s="82"/>
      <c r="BZ224" s="82"/>
      <c r="CA224" s="82"/>
      <c r="CB224" s="82"/>
      <c r="CC224" s="82"/>
      <c r="CD224" s="82"/>
      <c r="CE224" s="82"/>
      <c r="CF224" s="82"/>
      <c r="CG224" s="82"/>
      <c r="CH224" s="82"/>
      <c r="CI224" s="82"/>
      <c r="CJ224" s="82"/>
      <c r="CK224" s="82"/>
      <c r="CL224" s="82"/>
      <c r="CM224" s="82"/>
      <c r="CN224" s="82"/>
      <c r="CO224" s="82"/>
      <c r="CP224" s="82"/>
      <c r="CQ224" s="82"/>
      <c r="CR224" s="82"/>
      <c r="CS224" s="82"/>
      <c r="CT224" s="82"/>
      <c r="CU224" s="82"/>
      <c r="CV224" s="82"/>
      <c r="CW224" s="82"/>
      <c r="CX224" s="82"/>
      <c r="CY224" s="82"/>
      <c r="CZ224" s="82"/>
      <c r="DA224" s="73"/>
      <c r="DB224" s="99"/>
      <c r="DC224" s="82"/>
      <c r="DD224" s="82"/>
      <c r="DE224" s="82"/>
      <c r="DF224" s="82"/>
      <c r="DG224" s="82"/>
      <c r="DH224" s="82"/>
      <c r="DI224" s="82"/>
      <c r="DJ224" s="82"/>
      <c r="DK224" s="82"/>
      <c r="DL224" s="82"/>
      <c r="DM224" s="82"/>
      <c r="DN224" s="82"/>
      <c r="DO224" s="82"/>
      <c r="DP224" s="82"/>
      <c r="DQ224" s="82"/>
      <c r="DR224" s="82"/>
      <c r="DS224" s="82"/>
      <c r="DT224" s="82"/>
      <c r="DU224" s="82"/>
      <c r="DV224" s="82"/>
      <c r="DW224" s="82"/>
      <c r="DX224" s="82"/>
      <c r="DY224" s="82"/>
      <c r="DZ224" s="82"/>
      <c r="EA224" s="82"/>
      <c r="EC224" s="85"/>
    </row>
    <row r="225" spans="2:133" s="81" customFormat="1" ht="12.75" customHeight="1">
      <c r="B225" s="108"/>
      <c r="C225" s="99"/>
      <c r="D225" s="99"/>
      <c r="E225" s="99"/>
      <c r="F225" s="99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92"/>
      <c r="Z225" s="82"/>
      <c r="AA225" s="92"/>
      <c r="AB225" s="82"/>
      <c r="AC225" s="85"/>
      <c r="AD225" s="82"/>
      <c r="AE225" s="82"/>
      <c r="AF225" s="82"/>
      <c r="AG225" s="82"/>
      <c r="AH225" s="82"/>
      <c r="AI225" s="82"/>
      <c r="AJ225" s="82"/>
      <c r="AK225" s="82"/>
      <c r="AL225" s="82"/>
      <c r="AM225" s="82"/>
      <c r="AN225" s="82"/>
      <c r="AO225" s="82"/>
      <c r="AP225" s="82"/>
      <c r="AQ225" s="82"/>
      <c r="AR225" s="82"/>
      <c r="AS225" s="82"/>
      <c r="AT225" s="82"/>
      <c r="AU225" s="82"/>
      <c r="AV225" s="82"/>
      <c r="AW225" s="82"/>
      <c r="AX225" s="82"/>
      <c r="AY225" s="82"/>
      <c r="AZ225" s="82"/>
      <c r="BA225" s="82"/>
      <c r="BB225" s="82"/>
      <c r="BC225" s="82"/>
      <c r="BD225" s="82"/>
      <c r="BE225" s="82"/>
      <c r="BF225" s="82"/>
      <c r="BG225" s="82"/>
      <c r="BH225" s="82"/>
      <c r="BI225" s="82"/>
      <c r="BJ225" s="82"/>
      <c r="BK225" s="82"/>
      <c r="BL225" s="82"/>
      <c r="BM225" s="82"/>
      <c r="BN225" s="82"/>
      <c r="BO225" s="82"/>
      <c r="BP225" s="82"/>
      <c r="BQ225" s="82"/>
      <c r="BR225" s="82"/>
      <c r="BS225" s="82"/>
      <c r="BT225" s="82"/>
      <c r="BU225" s="82"/>
      <c r="BV225" s="82"/>
      <c r="BW225" s="82"/>
      <c r="BX225" s="82"/>
      <c r="BY225" s="82"/>
      <c r="BZ225" s="82"/>
      <c r="CA225" s="82"/>
      <c r="CB225" s="82"/>
      <c r="CC225" s="82"/>
      <c r="CD225" s="82"/>
      <c r="CE225" s="82"/>
      <c r="CF225" s="82"/>
      <c r="CG225" s="82"/>
      <c r="CH225" s="82"/>
      <c r="CI225" s="82"/>
      <c r="CJ225" s="82"/>
      <c r="CK225" s="82"/>
      <c r="CL225" s="82"/>
      <c r="CM225" s="82"/>
      <c r="CN225" s="82"/>
      <c r="CO225" s="82"/>
      <c r="CP225" s="82"/>
      <c r="CQ225" s="82"/>
      <c r="CR225" s="82"/>
      <c r="CS225" s="82"/>
      <c r="CT225" s="82"/>
      <c r="CU225" s="82"/>
      <c r="CV225" s="82"/>
      <c r="CW225" s="82"/>
      <c r="CX225" s="82"/>
      <c r="CY225" s="82"/>
      <c r="CZ225" s="82"/>
      <c r="DA225" s="73"/>
      <c r="DB225" s="99"/>
      <c r="DC225" s="82"/>
      <c r="DD225" s="82"/>
      <c r="DE225" s="82"/>
      <c r="DF225" s="82"/>
      <c r="DG225" s="82"/>
      <c r="DH225" s="82"/>
      <c r="DI225" s="82"/>
      <c r="DJ225" s="82"/>
      <c r="DK225" s="82"/>
      <c r="DL225" s="82"/>
      <c r="DM225" s="82"/>
      <c r="DN225" s="82"/>
      <c r="DO225" s="82"/>
      <c r="DP225" s="82"/>
      <c r="DQ225" s="82"/>
      <c r="DR225" s="82"/>
      <c r="DS225" s="82"/>
      <c r="DT225" s="82"/>
      <c r="DU225" s="82"/>
      <c r="DV225" s="82"/>
      <c r="DW225" s="82"/>
      <c r="DX225" s="82"/>
      <c r="DY225" s="82"/>
      <c r="DZ225" s="82"/>
      <c r="EA225" s="82"/>
      <c r="EC225" s="85"/>
    </row>
    <row r="226" spans="2:133" s="81" customFormat="1" ht="12.75" customHeight="1">
      <c r="B226" s="108"/>
      <c r="C226" s="99"/>
      <c r="D226" s="99"/>
      <c r="E226" s="99"/>
      <c r="F226" s="99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92"/>
      <c r="Z226" s="82"/>
      <c r="AA226" s="92"/>
      <c r="AB226" s="82"/>
      <c r="AC226" s="85"/>
      <c r="AD226" s="82"/>
      <c r="AE226" s="82"/>
      <c r="AF226" s="82"/>
      <c r="AG226" s="82"/>
      <c r="AH226" s="82"/>
      <c r="AI226" s="82"/>
      <c r="AJ226" s="82"/>
      <c r="AK226" s="82"/>
      <c r="AL226" s="82"/>
      <c r="AM226" s="82"/>
      <c r="AN226" s="82"/>
      <c r="AO226" s="82"/>
      <c r="AP226" s="82"/>
      <c r="AQ226" s="82"/>
      <c r="AR226" s="82"/>
      <c r="AS226" s="82"/>
      <c r="AT226" s="82"/>
      <c r="AU226" s="82"/>
      <c r="AV226" s="82"/>
      <c r="AW226" s="82"/>
      <c r="AX226" s="82"/>
      <c r="AY226" s="82"/>
      <c r="AZ226" s="82"/>
      <c r="BA226" s="82"/>
      <c r="BB226" s="82"/>
      <c r="BC226" s="82"/>
      <c r="BD226" s="82"/>
      <c r="BE226" s="82"/>
      <c r="BF226" s="82"/>
      <c r="BG226" s="82"/>
      <c r="BH226" s="82"/>
      <c r="BI226" s="82"/>
      <c r="BJ226" s="82"/>
      <c r="BK226" s="82"/>
      <c r="BL226" s="82"/>
      <c r="BM226" s="82"/>
      <c r="BN226" s="82"/>
      <c r="BO226" s="82"/>
      <c r="BP226" s="82"/>
      <c r="BQ226" s="82"/>
      <c r="BR226" s="82"/>
      <c r="BS226" s="82"/>
      <c r="BT226" s="82"/>
      <c r="BU226" s="82"/>
      <c r="BV226" s="82"/>
      <c r="BW226" s="82"/>
      <c r="BX226" s="82"/>
      <c r="BY226" s="82"/>
      <c r="BZ226" s="82"/>
      <c r="CA226" s="82"/>
      <c r="CB226" s="82"/>
      <c r="CC226" s="82"/>
      <c r="CD226" s="82"/>
      <c r="CE226" s="82"/>
      <c r="CF226" s="82"/>
      <c r="CG226" s="82"/>
      <c r="CH226" s="82"/>
      <c r="CI226" s="82"/>
      <c r="CJ226" s="82"/>
      <c r="CK226" s="82"/>
      <c r="CL226" s="82"/>
      <c r="CM226" s="82"/>
      <c r="CN226" s="82"/>
      <c r="CO226" s="82"/>
      <c r="CP226" s="82"/>
      <c r="CQ226" s="82"/>
      <c r="CR226" s="82"/>
      <c r="CS226" s="82"/>
      <c r="CT226" s="82"/>
      <c r="CU226" s="82"/>
      <c r="CV226" s="82"/>
      <c r="CW226" s="82"/>
      <c r="CX226" s="82"/>
      <c r="CY226" s="82"/>
      <c r="CZ226" s="82"/>
      <c r="DA226" s="73"/>
      <c r="DB226" s="99"/>
      <c r="DC226" s="82"/>
      <c r="DD226" s="82"/>
      <c r="DE226" s="82"/>
      <c r="DF226" s="82"/>
      <c r="DG226" s="82"/>
      <c r="DH226" s="82"/>
      <c r="DI226" s="82"/>
      <c r="DJ226" s="82"/>
      <c r="DK226" s="82"/>
      <c r="DL226" s="82"/>
      <c r="DM226" s="82"/>
      <c r="DN226" s="82"/>
      <c r="DO226" s="82"/>
      <c r="DP226" s="82"/>
      <c r="DQ226" s="82"/>
      <c r="DR226" s="82"/>
      <c r="DS226" s="82"/>
      <c r="DT226" s="82"/>
      <c r="DU226" s="82"/>
      <c r="DV226" s="82"/>
      <c r="DW226" s="82"/>
      <c r="DX226" s="82"/>
      <c r="DY226" s="82"/>
      <c r="DZ226" s="82"/>
      <c r="EA226" s="82"/>
      <c r="EC226" s="85"/>
    </row>
    <row r="227" spans="2:133" s="81" customFormat="1" ht="12.75" customHeight="1">
      <c r="B227" s="108"/>
      <c r="C227" s="99"/>
      <c r="D227" s="99"/>
      <c r="E227" s="99"/>
      <c r="F227" s="99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92"/>
      <c r="Z227" s="82"/>
      <c r="AA227" s="92"/>
      <c r="AB227" s="82"/>
      <c r="AC227" s="85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  <c r="AO227" s="82"/>
      <c r="AP227" s="82"/>
      <c r="AQ227" s="82"/>
      <c r="AR227" s="82"/>
      <c r="AS227" s="82"/>
      <c r="AT227" s="82"/>
      <c r="AU227" s="82"/>
      <c r="AV227" s="82"/>
      <c r="AW227" s="82"/>
      <c r="AX227" s="82"/>
      <c r="AY227" s="82"/>
      <c r="AZ227" s="82"/>
      <c r="BA227" s="82"/>
      <c r="BB227" s="82"/>
      <c r="BC227" s="82"/>
      <c r="BD227" s="82"/>
      <c r="BE227" s="82"/>
      <c r="BF227" s="82"/>
      <c r="BG227" s="82"/>
      <c r="BH227" s="82"/>
      <c r="BI227" s="82"/>
      <c r="BJ227" s="82"/>
      <c r="BK227" s="82"/>
      <c r="BL227" s="82"/>
      <c r="BM227" s="82"/>
      <c r="BN227" s="82"/>
      <c r="BO227" s="82"/>
      <c r="BP227" s="82"/>
      <c r="BQ227" s="82"/>
      <c r="BR227" s="82"/>
      <c r="BS227" s="82"/>
      <c r="BT227" s="82"/>
      <c r="BU227" s="82"/>
      <c r="BV227" s="82"/>
      <c r="BW227" s="82"/>
      <c r="BX227" s="82"/>
      <c r="BY227" s="82"/>
      <c r="BZ227" s="82"/>
      <c r="CA227" s="82"/>
      <c r="CB227" s="82"/>
      <c r="CC227" s="82"/>
      <c r="CD227" s="82"/>
      <c r="CE227" s="82"/>
      <c r="CF227" s="82"/>
      <c r="CG227" s="82"/>
      <c r="CH227" s="82"/>
      <c r="CI227" s="82"/>
      <c r="CJ227" s="82"/>
      <c r="CK227" s="82"/>
      <c r="CL227" s="82"/>
      <c r="CM227" s="82"/>
      <c r="CN227" s="82"/>
      <c r="CO227" s="82"/>
      <c r="CP227" s="82"/>
      <c r="CQ227" s="82"/>
      <c r="CR227" s="82"/>
      <c r="CS227" s="82"/>
      <c r="CT227" s="82"/>
      <c r="CU227" s="82"/>
      <c r="CV227" s="82"/>
      <c r="CW227" s="82"/>
      <c r="CX227" s="82"/>
      <c r="CY227" s="82"/>
      <c r="CZ227" s="82"/>
      <c r="DA227" s="73"/>
      <c r="DB227" s="99"/>
      <c r="DC227" s="82"/>
      <c r="DD227" s="82"/>
      <c r="DE227" s="82"/>
      <c r="DF227" s="82"/>
      <c r="DG227" s="82"/>
      <c r="DH227" s="82"/>
      <c r="DI227" s="82"/>
      <c r="DJ227" s="82"/>
      <c r="DK227" s="82"/>
      <c r="DL227" s="82"/>
      <c r="DM227" s="82"/>
      <c r="DN227" s="82"/>
      <c r="DO227" s="82"/>
      <c r="DP227" s="82"/>
      <c r="DQ227" s="82"/>
      <c r="DR227" s="82"/>
      <c r="DS227" s="82"/>
      <c r="DT227" s="82"/>
      <c r="DU227" s="82"/>
      <c r="DV227" s="82"/>
      <c r="DW227" s="82"/>
      <c r="DX227" s="82"/>
      <c r="DY227" s="82"/>
      <c r="DZ227" s="82"/>
      <c r="EA227" s="82"/>
      <c r="EC227" s="85"/>
    </row>
    <row r="228" spans="2:133" s="81" customFormat="1" ht="12.75" customHeight="1">
      <c r="B228" s="108"/>
      <c r="C228" s="99"/>
      <c r="D228" s="99"/>
      <c r="E228" s="99"/>
      <c r="F228" s="99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92"/>
      <c r="Z228" s="82"/>
      <c r="AA228" s="92"/>
      <c r="AB228" s="82"/>
      <c r="AC228" s="85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82"/>
      <c r="AP228" s="82"/>
      <c r="AQ228" s="82"/>
      <c r="AR228" s="82"/>
      <c r="AS228" s="82"/>
      <c r="AT228" s="82"/>
      <c r="AU228" s="82"/>
      <c r="AV228" s="82"/>
      <c r="AW228" s="82"/>
      <c r="AX228" s="82"/>
      <c r="AY228" s="82"/>
      <c r="AZ228" s="82"/>
      <c r="BA228" s="82"/>
      <c r="BB228" s="82"/>
      <c r="BC228" s="82"/>
      <c r="BD228" s="82"/>
      <c r="BE228" s="82"/>
      <c r="BF228" s="82"/>
      <c r="BG228" s="82"/>
      <c r="BH228" s="82"/>
      <c r="BI228" s="82"/>
      <c r="BJ228" s="82"/>
      <c r="BK228" s="82"/>
      <c r="BL228" s="82"/>
      <c r="BM228" s="82"/>
      <c r="BN228" s="82"/>
      <c r="BO228" s="82"/>
      <c r="BP228" s="82"/>
      <c r="BQ228" s="82"/>
      <c r="BR228" s="82"/>
      <c r="BS228" s="82"/>
      <c r="BT228" s="82"/>
      <c r="BU228" s="82"/>
      <c r="BV228" s="82"/>
      <c r="BW228" s="82"/>
      <c r="BX228" s="82"/>
      <c r="BY228" s="82"/>
      <c r="BZ228" s="82"/>
      <c r="CA228" s="82"/>
      <c r="CB228" s="82"/>
      <c r="CC228" s="82"/>
      <c r="CD228" s="82"/>
      <c r="CE228" s="82"/>
      <c r="CF228" s="82"/>
      <c r="CG228" s="82"/>
      <c r="CH228" s="82"/>
      <c r="CI228" s="82"/>
      <c r="CJ228" s="82"/>
      <c r="CK228" s="82"/>
      <c r="CL228" s="82"/>
      <c r="CM228" s="82"/>
      <c r="CN228" s="82"/>
      <c r="CO228" s="82"/>
      <c r="CP228" s="82"/>
      <c r="CQ228" s="82"/>
      <c r="CR228" s="82"/>
      <c r="CS228" s="82"/>
      <c r="CT228" s="82"/>
      <c r="CU228" s="82"/>
      <c r="CV228" s="82"/>
      <c r="CW228" s="82"/>
      <c r="CX228" s="82"/>
      <c r="CY228" s="82"/>
      <c r="CZ228" s="82"/>
      <c r="DA228" s="73"/>
      <c r="DB228" s="99"/>
      <c r="DC228" s="82"/>
      <c r="DD228" s="82"/>
      <c r="DE228" s="82"/>
      <c r="DF228" s="82"/>
      <c r="DG228" s="82"/>
      <c r="DH228" s="82"/>
      <c r="DI228" s="82"/>
      <c r="DJ228" s="82"/>
      <c r="DK228" s="82"/>
      <c r="DL228" s="82"/>
      <c r="DM228" s="82"/>
      <c r="DN228" s="82"/>
      <c r="DO228" s="82"/>
      <c r="DP228" s="82"/>
      <c r="DQ228" s="82"/>
      <c r="DR228" s="82"/>
      <c r="DS228" s="82"/>
      <c r="DT228" s="82"/>
      <c r="DU228" s="82"/>
      <c r="DV228" s="82"/>
      <c r="DW228" s="82"/>
      <c r="DX228" s="82"/>
      <c r="DY228" s="82"/>
      <c r="DZ228" s="82"/>
      <c r="EA228" s="82"/>
      <c r="EC228" s="85"/>
    </row>
    <row r="229" spans="2:133" s="81" customFormat="1" ht="12.75" customHeight="1">
      <c r="B229" s="108"/>
      <c r="C229" s="99"/>
      <c r="D229" s="99"/>
      <c r="E229" s="99"/>
      <c r="F229" s="99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92"/>
      <c r="Z229" s="82"/>
      <c r="AA229" s="92"/>
      <c r="AB229" s="82"/>
      <c r="AC229" s="85"/>
      <c r="AD229" s="82"/>
      <c r="AE229" s="82"/>
      <c r="AF229" s="82"/>
      <c r="AG229" s="82"/>
      <c r="AH229" s="82"/>
      <c r="AI229" s="82"/>
      <c r="AJ229" s="82"/>
      <c r="AK229" s="82"/>
      <c r="AL229" s="82"/>
      <c r="AM229" s="82"/>
      <c r="AN229" s="82"/>
      <c r="AO229" s="82"/>
      <c r="AP229" s="82"/>
      <c r="AQ229" s="82"/>
      <c r="AR229" s="82"/>
      <c r="AS229" s="82"/>
      <c r="AT229" s="82"/>
      <c r="AU229" s="82"/>
      <c r="AV229" s="82"/>
      <c r="AW229" s="82"/>
      <c r="AX229" s="82"/>
      <c r="AY229" s="82"/>
      <c r="AZ229" s="82"/>
      <c r="BA229" s="82"/>
      <c r="BB229" s="82"/>
      <c r="BC229" s="82"/>
      <c r="BD229" s="82"/>
      <c r="BE229" s="82"/>
      <c r="BF229" s="82"/>
      <c r="BG229" s="82"/>
      <c r="BH229" s="82"/>
      <c r="BI229" s="82"/>
      <c r="BJ229" s="82"/>
      <c r="BK229" s="82"/>
      <c r="BL229" s="82"/>
      <c r="BM229" s="82"/>
      <c r="BN229" s="82"/>
      <c r="BO229" s="82"/>
      <c r="BP229" s="82"/>
      <c r="BQ229" s="82"/>
      <c r="BR229" s="82"/>
      <c r="BS229" s="82"/>
      <c r="BT229" s="82"/>
      <c r="BU229" s="82"/>
      <c r="BV229" s="82"/>
      <c r="BW229" s="82"/>
      <c r="BX229" s="82"/>
      <c r="BY229" s="82"/>
      <c r="BZ229" s="82"/>
      <c r="CA229" s="82"/>
      <c r="CB229" s="82"/>
      <c r="CC229" s="82"/>
      <c r="CD229" s="82"/>
      <c r="CE229" s="82"/>
      <c r="CF229" s="82"/>
      <c r="CG229" s="82"/>
      <c r="CH229" s="82"/>
      <c r="CI229" s="82"/>
      <c r="CJ229" s="82"/>
      <c r="CK229" s="82"/>
      <c r="CL229" s="82"/>
      <c r="CM229" s="82"/>
      <c r="CN229" s="82"/>
      <c r="CO229" s="82"/>
      <c r="CP229" s="82"/>
      <c r="CQ229" s="82"/>
      <c r="CR229" s="82"/>
      <c r="CS229" s="82"/>
      <c r="CT229" s="82"/>
      <c r="CU229" s="82"/>
      <c r="CV229" s="82"/>
      <c r="CW229" s="82"/>
      <c r="CX229" s="82"/>
      <c r="CY229" s="82"/>
      <c r="CZ229" s="82"/>
      <c r="DA229" s="73"/>
      <c r="DB229" s="99"/>
      <c r="DC229" s="82"/>
      <c r="DD229" s="82"/>
      <c r="DE229" s="82"/>
      <c r="DF229" s="82"/>
      <c r="DG229" s="82"/>
      <c r="DH229" s="82"/>
      <c r="DI229" s="82"/>
      <c r="DJ229" s="82"/>
      <c r="DK229" s="82"/>
      <c r="DL229" s="82"/>
      <c r="DM229" s="82"/>
      <c r="DN229" s="82"/>
      <c r="DO229" s="82"/>
      <c r="DP229" s="82"/>
      <c r="DQ229" s="82"/>
      <c r="DR229" s="82"/>
      <c r="DS229" s="82"/>
      <c r="DT229" s="82"/>
      <c r="DU229" s="82"/>
      <c r="DV229" s="82"/>
      <c r="DW229" s="82"/>
      <c r="DX229" s="82"/>
      <c r="DY229" s="82"/>
      <c r="DZ229" s="82"/>
      <c r="EA229" s="82"/>
      <c r="EC229" s="85"/>
    </row>
    <row r="230" spans="2:133" s="81" customFormat="1" ht="12.75" customHeight="1">
      <c r="B230" s="108"/>
      <c r="C230" s="99"/>
      <c r="D230" s="99"/>
      <c r="E230" s="99"/>
      <c r="F230" s="99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92"/>
      <c r="Z230" s="82"/>
      <c r="AA230" s="92"/>
      <c r="AB230" s="82"/>
      <c r="AC230" s="85"/>
      <c r="AD230" s="82"/>
      <c r="AE230" s="82"/>
      <c r="AF230" s="82"/>
      <c r="AG230" s="82"/>
      <c r="AH230" s="82"/>
      <c r="AI230" s="82"/>
      <c r="AJ230" s="82"/>
      <c r="AK230" s="82"/>
      <c r="AL230" s="82"/>
      <c r="AM230" s="82"/>
      <c r="AN230" s="82"/>
      <c r="AO230" s="82"/>
      <c r="AP230" s="82"/>
      <c r="AQ230" s="82"/>
      <c r="AR230" s="82"/>
      <c r="AS230" s="82"/>
      <c r="AT230" s="82"/>
      <c r="AU230" s="82"/>
      <c r="AV230" s="82"/>
      <c r="AW230" s="82"/>
      <c r="AX230" s="82"/>
      <c r="AY230" s="82"/>
      <c r="AZ230" s="82"/>
      <c r="BA230" s="82"/>
      <c r="BB230" s="82"/>
      <c r="BC230" s="82"/>
      <c r="BD230" s="82"/>
      <c r="BE230" s="82"/>
      <c r="BF230" s="82"/>
      <c r="BG230" s="82"/>
      <c r="BH230" s="82"/>
      <c r="BI230" s="82"/>
      <c r="BJ230" s="82"/>
      <c r="BK230" s="82"/>
      <c r="BL230" s="82"/>
      <c r="BM230" s="82"/>
      <c r="BN230" s="82"/>
      <c r="BO230" s="82"/>
      <c r="BP230" s="82"/>
      <c r="BQ230" s="82"/>
      <c r="BR230" s="82"/>
      <c r="BS230" s="82"/>
      <c r="BT230" s="82"/>
      <c r="BU230" s="82"/>
      <c r="BV230" s="82"/>
      <c r="BW230" s="82"/>
      <c r="BX230" s="82"/>
      <c r="BY230" s="82"/>
      <c r="BZ230" s="82"/>
      <c r="CA230" s="82"/>
      <c r="CB230" s="82"/>
      <c r="CC230" s="82"/>
      <c r="CD230" s="82"/>
      <c r="CE230" s="82"/>
      <c r="CF230" s="82"/>
      <c r="CG230" s="82"/>
      <c r="CH230" s="82"/>
      <c r="CI230" s="82"/>
      <c r="CJ230" s="82"/>
      <c r="CK230" s="82"/>
      <c r="CL230" s="82"/>
      <c r="CM230" s="82"/>
      <c r="CN230" s="82"/>
      <c r="CO230" s="82"/>
      <c r="CP230" s="82"/>
      <c r="CQ230" s="82"/>
      <c r="CR230" s="82"/>
      <c r="CS230" s="82"/>
      <c r="CT230" s="82"/>
      <c r="CU230" s="82"/>
      <c r="CV230" s="82"/>
      <c r="CW230" s="82"/>
      <c r="CX230" s="82"/>
      <c r="CY230" s="82"/>
      <c r="CZ230" s="82"/>
      <c r="DA230" s="73"/>
      <c r="DB230" s="99"/>
      <c r="DC230" s="82"/>
      <c r="DD230" s="82"/>
      <c r="DE230" s="82"/>
      <c r="DF230" s="82"/>
      <c r="DG230" s="82"/>
      <c r="DH230" s="82"/>
      <c r="DI230" s="82"/>
      <c r="DJ230" s="82"/>
      <c r="DK230" s="82"/>
      <c r="DL230" s="82"/>
      <c r="DM230" s="82"/>
      <c r="DN230" s="82"/>
      <c r="DO230" s="82"/>
      <c r="DP230" s="82"/>
      <c r="DQ230" s="82"/>
      <c r="DR230" s="82"/>
      <c r="DS230" s="82"/>
      <c r="DT230" s="82"/>
      <c r="DU230" s="82"/>
      <c r="DV230" s="82"/>
      <c r="DW230" s="82"/>
      <c r="DX230" s="82"/>
      <c r="DY230" s="82"/>
      <c r="DZ230" s="82"/>
      <c r="EA230" s="82"/>
      <c r="EC230" s="85"/>
    </row>
    <row r="231" spans="2:133" s="81" customFormat="1" ht="12.75" customHeight="1">
      <c r="B231" s="108"/>
      <c r="C231" s="99"/>
      <c r="D231" s="99"/>
      <c r="E231" s="99"/>
      <c r="F231" s="99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92"/>
      <c r="Z231" s="82"/>
      <c r="AA231" s="92"/>
      <c r="AB231" s="82"/>
      <c r="AC231" s="85"/>
      <c r="AD231" s="82"/>
      <c r="AE231" s="82"/>
      <c r="AF231" s="82"/>
      <c r="AG231" s="82"/>
      <c r="AH231" s="82"/>
      <c r="AI231" s="82"/>
      <c r="AJ231" s="82"/>
      <c r="AK231" s="82"/>
      <c r="AL231" s="82"/>
      <c r="AM231" s="82"/>
      <c r="AN231" s="82"/>
      <c r="AO231" s="82"/>
      <c r="AP231" s="82"/>
      <c r="AQ231" s="82"/>
      <c r="AR231" s="82"/>
      <c r="AS231" s="82"/>
      <c r="AT231" s="82"/>
      <c r="AU231" s="82"/>
      <c r="AV231" s="82"/>
      <c r="AW231" s="82"/>
      <c r="AX231" s="82"/>
      <c r="AY231" s="82"/>
      <c r="AZ231" s="82"/>
      <c r="BA231" s="82"/>
      <c r="BB231" s="82"/>
      <c r="BC231" s="82"/>
      <c r="BD231" s="82"/>
      <c r="BE231" s="82"/>
      <c r="BF231" s="82"/>
      <c r="BG231" s="82"/>
      <c r="BH231" s="82"/>
      <c r="BI231" s="82"/>
      <c r="BJ231" s="82"/>
      <c r="BK231" s="82"/>
      <c r="BL231" s="82"/>
      <c r="BM231" s="82"/>
      <c r="BN231" s="82"/>
      <c r="BO231" s="82"/>
      <c r="BP231" s="82"/>
      <c r="BQ231" s="82"/>
      <c r="BR231" s="82"/>
      <c r="BS231" s="82"/>
      <c r="BT231" s="82"/>
      <c r="BU231" s="82"/>
      <c r="BV231" s="82"/>
      <c r="BW231" s="82"/>
      <c r="BX231" s="82"/>
      <c r="BY231" s="82"/>
      <c r="BZ231" s="82"/>
      <c r="CA231" s="82"/>
      <c r="CB231" s="82"/>
      <c r="CC231" s="82"/>
      <c r="CD231" s="82"/>
      <c r="CE231" s="82"/>
      <c r="CF231" s="82"/>
      <c r="CG231" s="82"/>
      <c r="CH231" s="82"/>
      <c r="CI231" s="82"/>
      <c r="CJ231" s="82"/>
      <c r="CK231" s="82"/>
      <c r="CL231" s="82"/>
      <c r="CM231" s="82"/>
      <c r="CN231" s="82"/>
      <c r="CO231" s="82"/>
      <c r="CP231" s="82"/>
      <c r="CQ231" s="82"/>
      <c r="CR231" s="82"/>
      <c r="CS231" s="82"/>
      <c r="CT231" s="82"/>
      <c r="CU231" s="82"/>
      <c r="CV231" s="82"/>
      <c r="CW231" s="82"/>
      <c r="CX231" s="82"/>
      <c r="CY231" s="82"/>
      <c r="CZ231" s="82"/>
      <c r="DA231" s="73"/>
      <c r="DB231" s="99"/>
      <c r="DC231" s="82"/>
      <c r="DD231" s="82"/>
      <c r="DE231" s="82"/>
      <c r="DF231" s="82"/>
      <c r="DG231" s="82"/>
      <c r="DH231" s="82"/>
      <c r="DI231" s="82"/>
      <c r="DJ231" s="82"/>
      <c r="DK231" s="82"/>
      <c r="DL231" s="82"/>
      <c r="DM231" s="82"/>
      <c r="DN231" s="82"/>
      <c r="DO231" s="82"/>
      <c r="DP231" s="82"/>
      <c r="DQ231" s="82"/>
      <c r="DR231" s="82"/>
      <c r="DS231" s="82"/>
      <c r="DT231" s="82"/>
      <c r="DU231" s="82"/>
      <c r="DV231" s="82"/>
      <c r="DW231" s="82"/>
      <c r="DX231" s="82"/>
      <c r="DY231" s="82"/>
      <c r="DZ231" s="82"/>
      <c r="EA231" s="82"/>
      <c r="EC231" s="85"/>
    </row>
    <row r="232" spans="2:133" s="81" customFormat="1" ht="12.75" customHeight="1">
      <c r="B232" s="108"/>
      <c r="C232" s="99"/>
      <c r="D232" s="99"/>
      <c r="E232" s="99"/>
      <c r="F232" s="99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92"/>
      <c r="Z232" s="82"/>
      <c r="AA232" s="92"/>
      <c r="AB232" s="82"/>
      <c r="AC232" s="85"/>
      <c r="AD232" s="82"/>
      <c r="AE232" s="82"/>
      <c r="AF232" s="82"/>
      <c r="AG232" s="82"/>
      <c r="AH232" s="82"/>
      <c r="AI232" s="82"/>
      <c r="AJ232" s="82"/>
      <c r="AK232" s="82"/>
      <c r="AL232" s="82"/>
      <c r="AM232" s="82"/>
      <c r="AN232" s="82"/>
      <c r="AO232" s="82"/>
      <c r="AP232" s="82"/>
      <c r="AQ232" s="82"/>
      <c r="AR232" s="82"/>
      <c r="AS232" s="82"/>
      <c r="AT232" s="82"/>
      <c r="AU232" s="82"/>
      <c r="AV232" s="82"/>
      <c r="AW232" s="82"/>
      <c r="AX232" s="82"/>
      <c r="AY232" s="82"/>
      <c r="AZ232" s="82"/>
      <c r="BA232" s="82"/>
      <c r="BB232" s="82"/>
      <c r="BC232" s="82"/>
      <c r="BD232" s="82"/>
      <c r="BE232" s="82"/>
      <c r="BF232" s="82"/>
      <c r="BG232" s="82"/>
      <c r="BH232" s="82"/>
      <c r="BI232" s="82"/>
      <c r="BJ232" s="82"/>
      <c r="BK232" s="82"/>
      <c r="BL232" s="82"/>
      <c r="BM232" s="82"/>
      <c r="BN232" s="82"/>
      <c r="BO232" s="82"/>
      <c r="BP232" s="82"/>
      <c r="BQ232" s="82"/>
      <c r="BR232" s="82"/>
      <c r="BS232" s="82"/>
      <c r="BT232" s="82"/>
      <c r="BU232" s="82"/>
      <c r="BV232" s="82"/>
      <c r="BW232" s="82"/>
      <c r="BX232" s="82"/>
      <c r="BY232" s="82"/>
      <c r="BZ232" s="82"/>
      <c r="CA232" s="82"/>
      <c r="CB232" s="82"/>
      <c r="CC232" s="82"/>
      <c r="CD232" s="82"/>
      <c r="CE232" s="82"/>
      <c r="CF232" s="82"/>
      <c r="CG232" s="82"/>
      <c r="CH232" s="82"/>
      <c r="CI232" s="82"/>
      <c r="CJ232" s="82"/>
      <c r="CK232" s="82"/>
      <c r="CL232" s="82"/>
      <c r="CM232" s="82"/>
      <c r="CN232" s="82"/>
      <c r="CO232" s="82"/>
      <c r="CP232" s="82"/>
      <c r="CQ232" s="82"/>
      <c r="CR232" s="82"/>
      <c r="CS232" s="82"/>
      <c r="CT232" s="82"/>
      <c r="CU232" s="82"/>
      <c r="CV232" s="82"/>
      <c r="CW232" s="82"/>
      <c r="CX232" s="82"/>
      <c r="CY232" s="82"/>
      <c r="CZ232" s="82"/>
      <c r="DA232" s="73"/>
      <c r="DB232" s="99"/>
      <c r="DC232" s="82"/>
      <c r="DD232" s="82"/>
      <c r="DE232" s="82"/>
      <c r="DF232" s="82"/>
      <c r="DG232" s="82"/>
      <c r="DH232" s="82"/>
      <c r="DI232" s="82"/>
      <c r="DJ232" s="82"/>
      <c r="DK232" s="82"/>
      <c r="DL232" s="82"/>
      <c r="DM232" s="82"/>
      <c r="DN232" s="82"/>
      <c r="DO232" s="82"/>
      <c r="DP232" s="82"/>
      <c r="DQ232" s="82"/>
      <c r="DR232" s="82"/>
      <c r="DS232" s="82"/>
      <c r="DT232" s="82"/>
      <c r="DU232" s="82"/>
      <c r="DV232" s="82"/>
      <c r="DW232" s="82"/>
      <c r="DX232" s="82"/>
      <c r="DY232" s="82"/>
      <c r="DZ232" s="82"/>
      <c r="EA232" s="82"/>
      <c r="EC232" s="85"/>
    </row>
    <row r="233" spans="2:133" s="81" customFormat="1" ht="12.75" customHeight="1">
      <c r="B233" s="108"/>
      <c r="C233" s="99"/>
      <c r="D233" s="99"/>
      <c r="E233" s="99"/>
      <c r="F233" s="99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92"/>
      <c r="Z233" s="82"/>
      <c r="AA233" s="92"/>
      <c r="AB233" s="82"/>
      <c r="AC233" s="85"/>
      <c r="AD233" s="82"/>
      <c r="AE233" s="82"/>
      <c r="AF233" s="82"/>
      <c r="AG233" s="82"/>
      <c r="AH233" s="82"/>
      <c r="AI233" s="82"/>
      <c r="AJ233" s="82"/>
      <c r="AK233" s="82"/>
      <c r="AL233" s="82"/>
      <c r="AM233" s="82"/>
      <c r="AN233" s="82"/>
      <c r="AO233" s="82"/>
      <c r="AP233" s="82"/>
      <c r="AQ233" s="82"/>
      <c r="AR233" s="82"/>
      <c r="AS233" s="82"/>
      <c r="AT233" s="82"/>
      <c r="AU233" s="82"/>
      <c r="AV233" s="82"/>
      <c r="AW233" s="82"/>
      <c r="AX233" s="82"/>
      <c r="AY233" s="82"/>
      <c r="AZ233" s="82"/>
      <c r="BA233" s="82"/>
      <c r="BB233" s="82"/>
      <c r="BC233" s="82"/>
      <c r="BD233" s="82"/>
      <c r="BE233" s="82"/>
      <c r="BF233" s="82"/>
      <c r="BG233" s="82"/>
      <c r="BH233" s="82"/>
      <c r="BI233" s="82"/>
      <c r="BJ233" s="82"/>
      <c r="BK233" s="82"/>
      <c r="BL233" s="82"/>
      <c r="BM233" s="82"/>
      <c r="BN233" s="82"/>
      <c r="BO233" s="82"/>
      <c r="BP233" s="82"/>
      <c r="BQ233" s="82"/>
      <c r="BR233" s="82"/>
      <c r="BS233" s="82"/>
      <c r="BT233" s="82"/>
      <c r="BU233" s="82"/>
      <c r="BV233" s="82"/>
      <c r="BW233" s="82"/>
      <c r="BX233" s="82"/>
      <c r="BY233" s="82"/>
      <c r="BZ233" s="82"/>
      <c r="CA233" s="82"/>
      <c r="CB233" s="82"/>
      <c r="CC233" s="82"/>
      <c r="CD233" s="82"/>
      <c r="CE233" s="82"/>
      <c r="CF233" s="82"/>
      <c r="CG233" s="82"/>
      <c r="CH233" s="82"/>
      <c r="CI233" s="82"/>
      <c r="CJ233" s="82"/>
      <c r="CK233" s="82"/>
      <c r="CL233" s="82"/>
      <c r="CM233" s="82"/>
      <c r="CN233" s="82"/>
      <c r="CO233" s="82"/>
      <c r="CP233" s="82"/>
      <c r="CQ233" s="82"/>
      <c r="CR233" s="82"/>
      <c r="CS233" s="82"/>
      <c r="CT233" s="82"/>
      <c r="CU233" s="82"/>
      <c r="CV233" s="82"/>
      <c r="CW233" s="82"/>
      <c r="CX233" s="82"/>
      <c r="CY233" s="82"/>
      <c r="CZ233" s="82"/>
      <c r="DA233" s="73"/>
      <c r="DB233" s="99"/>
      <c r="DC233" s="82"/>
      <c r="DD233" s="82"/>
      <c r="DE233" s="82"/>
      <c r="DF233" s="82"/>
      <c r="DG233" s="82"/>
      <c r="DH233" s="82"/>
      <c r="DI233" s="82"/>
      <c r="DJ233" s="82"/>
      <c r="DK233" s="82"/>
      <c r="DL233" s="82"/>
      <c r="DM233" s="82"/>
      <c r="DN233" s="82"/>
      <c r="DO233" s="82"/>
      <c r="DP233" s="82"/>
      <c r="DQ233" s="82"/>
      <c r="DR233" s="82"/>
      <c r="DS233" s="82"/>
      <c r="DT233" s="82"/>
      <c r="DU233" s="82"/>
      <c r="DV233" s="82"/>
      <c r="DW233" s="82"/>
      <c r="DX233" s="82"/>
      <c r="DY233" s="82"/>
      <c r="DZ233" s="82"/>
      <c r="EA233" s="82"/>
      <c r="EC233" s="85"/>
    </row>
    <row r="234" spans="2:133" s="81" customFormat="1" ht="12.75" customHeight="1">
      <c r="B234" s="108"/>
      <c r="C234" s="99"/>
      <c r="D234" s="99"/>
      <c r="E234" s="99"/>
      <c r="F234" s="99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92"/>
      <c r="Z234" s="82"/>
      <c r="AA234" s="92"/>
      <c r="AB234" s="82"/>
      <c r="AC234" s="85"/>
      <c r="AD234" s="82"/>
      <c r="AE234" s="82"/>
      <c r="AF234" s="82"/>
      <c r="AG234" s="82"/>
      <c r="AH234" s="82"/>
      <c r="AI234" s="82"/>
      <c r="AJ234" s="82"/>
      <c r="AK234" s="82"/>
      <c r="AL234" s="82"/>
      <c r="AM234" s="82"/>
      <c r="AN234" s="82"/>
      <c r="AO234" s="82"/>
      <c r="AP234" s="82"/>
      <c r="AQ234" s="82"/>
      <c r="AR234" s="82"/>
      <c r="AS234" s="82"/>
      <c r="AT234" s="82"/>
      <c r="AU234" s="82"/>
      <c r="AV234" s="82"/>
      <c r="AW234" s="82"/>
      <c r="AX234" s="82"/>
      <c r="AY234" s="82"/>
      <c r="AZ234" s="82"/>
      <c r="BA234" s="82"/>
      <c r="BB234" s="82"/>
      <c r="BC234" s="82"/>
      <c r="BD234" s="82"/>
      <c r="BE234" s="82"/>
      <c r="BF234" s="82"/>
      <c r="BG234" s="82"/>
      <c r="BH234" s="82"/>
      <c r="BI234" s="82"/>
      <c r="BJ234" s="82"/>
      <c r="BK234" s="82"/>
      <c r="BL234" s="82"/>
      <c r="BM234" s="82"/>
      <c r="BN234" s="82"/>
      <c r="BO234" s="82"/>
      <c r="BP234" s="82"/>
      <c r="BQ234" s="82"/>
      <c r="BR234" s="82"/>
      <c r="BS234" s="82"/>
      <c r="BT234" s="82"/>
      <c r="BU234" s="82"/>
      <c r="BV234" s="82"/>
      <c r="BW234" s="82"/>
      <c r="BX234" s="82"/>
      <c r="BY234" s="82"/>
      <c r="BZ234" s="82"/>
      <c r="CA234" s="82"/>
      <c r="CB234" s="82"/>
      <c r="CC234" s="82"/>
      <c r="CD234" s="82"/>
      <c r="CE234" s="82"/>
      <c r="CF234" s="82"/>
      <c r="CG234" s="82"/>
      <c r="CH234" s="82"/>
      <c r="CI234" s="82"/>
      <c r="CJ234" s="82"/>
      <c r="CK234" s="82"/>
      <c r="CL234" s="82"/>
      <c r="CM234" s="82"/>
      <c r="CN234" s="82"/>
      <c r="CO234" s="82"/>
      <c r="CP234" s="82"/>
      <c r="CQ234" s="82"/>
      <c r="CR234" s="82"/>
      <c r="CS234" s="82"/>
      <c r="CT234" s="82"/>
      <c r="CU234" s="82"/>
      <c r="CV234" s="82"/>
      <c r="CW234" s="82"/>
      <c r="CX234" s="82"/>
      <c r="CY234" s="82"/>
      <c r="CZ234" s="82"/>
      <c r="DA234" s="73"/>
      <c r="DB234" s="99"/>
      <c r="DC234" s="82"/>
      <c r="DD234" s="82"/>
      <c r="DE234" s="82"/>
      <c r="DF234" s="82"/>
      <c r="DG234" s="82"/>
      <c r="DH234" s="82"/>
      <c r="DI234" s="82"/>
      <c r="DJ234" s="82"/>
      <c r="DK234" s="82"/>
      <c r="DL234" s="82"/>
      <c r="DM234" s="82"/>
      <c r="DN234" s="82"/>
      <c r="DO234" s="82"/>
      <c r="DP234" s="82"/>
      <c r="DQ234" s="82"/>
      <c r="DR234" s="82"/>
      <c r="DS234" s="82"/>
      <c r="DT234" s="82"/>
      <c r="DU234" s="82"/>
      <c r="DV234" s="82"/>
      <c r="DW234" s="82"/>
      <c r="DX234" s="82"/>
      <c r="DY234" s="82"/>
      <c r="DZ234" s="82"/>
      <c r="EA234" s="82"/>
      <c r="EC234" s="85"/>
    </row>
    <row r="235" spans="2:133" s="81" customFormat="1" ht="12.75" customHeight="1">
      <c r="B235" s="108"/>
      <c r="C235" s="99"/>
      <c r="D235" s="99"/>
      <c r="E235" s="99"/>
      <c r="F235" s="99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92"/>
      <c r="Z235" s="82"/>
      <c r="AA235" s="92"/>
      <c r="AB235" s="82"/>
      <c r="AC235" s="85"/>
      <c r="AD235" s="82"/>
      <c r="AE235" s="82"/>
      <c r="AF235" s="82"/>
      <c r="AG235" s="82"/>
      <c r="AH235" s="82"/>
      <c r="AI235" s="82"/>
      <c r="AJ235" s="82"/>
      <c r="AK235" s="82"/>
      <c r="AL235" s="82"/>
      <c r="AM235" s="82"/>
      <c r="AN235" s="82"/>
      <c r="AO235" s="82"/>
      <c r="AP235" s="82"/>
      <c r="AQ235" s="82"/>
      <c r="AR235" s="82"/>
      <c r="AS235" s="82"/>
      <c r="AT235" s="82"/>
      <c r="AU235" s="82"/>
      <c r="AV235" s="82"/>
      <c r="AW235" s="82"/>
      <c r="AX235" s="82"/>
      <c r="AY235" s="82"/>
      <c r="AZ235" s="82"/>
      <c r="BA235" s="82"/>
      <c r="BB235" s="82"/>
      <c r="BC235" s="82"/>
      <c r="BD235" s="82"/>
      <c r="BE235" s="82"/>
      <c r="BF235" s="82"/>
      <c r="BG235" s="82"/>
      <c r="BH235" s="82"/>
      <c r="BI235" s="82"/>
      <c r="BJ235" s="82"/>
      <c r="BK235" s="82"/>
      <c r="BL235" s="82"/>
      <c r="BM235" s="82"/>
      <c r="BN235" s="82"/>
      <c r="BO235" s="82"/>
      <c r="BP235" s="82"/>
      <c r="BQ235" s="82"/>
      <c r="BR235" s="82"/>
      <c r="BS235" s="82"/>
      <c r="BT235" s="82"/>
      <c r="BU235" s="82"/>
      <c r="BV235" s="82"/>
      <c r="BW235" s="82"/>
      <c r="BX235" s="82"/>
      <c r="BY235" s="82"/>
      <c r="BZ235" s="82"/>
      <c r="CA235" s="82"/>
      <c r="CB235" s="82"/>
      <c r="CC235" s="82"/>
      <c r="CD235" s="82"/>
      <c r="CE235" s="82"/>
      <c r="CF235" s="82"/>
      <c r="CG235" s="82"/>
      <c r="CH235" s="82"/>
      <c r="CI235" s="82"/>
      <c r="CJ235" s="82"/>
      <c r="CK235" s="82"/>
      <c r="CL235" s="82"/>
      <c r="CM235" s="82"/>
      <c r="CN235" s="82"/>
      <c r="CO235" s="82"/>
      <c r="CP235" s="82"/>
      <c r="CQ235" s="82"/>
      <c r="CR235" s="82"/>
      <c r="CS235" s="82"/>
      <c r="CT235" s="82"/>
      <c r="CU235" s="82"/>
      <c r="CV235" s="82"/>
      <c r="CW235" s="82"/>
      <c r="CX235" s="82"/>
      <c r="CY235" s="82"/>
      <c r="CZ235" s="82"/>
      <c r="DA235" s="73"/>
      <c r="DB235" s="99"/>
      <c r="DC235" s="82"/>
      <c r="DD235" s="82"/>
      <c r="DE235" s="82"/>
      <c r="DF235" s="82"/>
      <c r="DG235" s="82"/>
      <c r="DH235" s="82"/>
      <c r="DI235" s="82"/>
      <c r="DJ235" s="82"/>
      <c r="DK235" s="82"/>
      <c r="DL235" s="82"/>
      <c r="DM235" s="82"/>
      <c r="DN235" s="82"/>
      <c r="DO235" s="82"/>
      <c r="DP235" s="82"/>
      <c r="DQ235" s="82"/>
      <c r="DR235" s="82"/>
      <c r="DS235" s="82"/>
      <c r="DT235" s="82"/>
      <c r="DU235" s="82"/>
      <c r="DV235" s="82"/>
      <c r="DW235" s="82"/>
      <c r="DX235" s="82"/>
      <c r="DY235" s="82"/>
      <c r="DZ235" s="82"/>
      <c r="EA235" s="82"/>
      <c r="EC235" s="85"/>
    </row>
    <row r="236" spans="2:133" s="81" customFormat="1" ht="12.75" customHeight="1">
      <c r="B236" s="108"/>
      <c r="C236" s="99"/>
      <c r="D236" s="99"/>
      <c r="E236" s="99"/>
      <c r="F236" s="99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92"/>
      <c r="Z236" s="82"/>
      <c r="AA236" s="92"/>
      <c r="AB236" s="82"/>
      <c r="AC236" s="85"/>
      <c r="AD236" s="82"/>
      <c r="AE236" s="82"/>
      <c r="AF236" s="82"/>
      <c r="AG236" s="82"/>
      <c r="AH236" s="82"/>
      <c r="AI236" s="82"/>
      <c r="AJ236" s="82"/>
      <c r="AK236" s="82"/>
      <c r="AL236" s="82"/>
      <c r="AM236" s="82"/>
      <c r="AN236" s="82"/>
      <c r="AO236" s="82"/>
      <c r="AP236" s="82"/>
      <c r="AQ236" s="82"/>
      <c r="AR236" s="82"/>
      <c r="AS236" s="82"/>
      <c r="AT236" s="82"/>
      <c r="AU236" s="82"/>
      <c r="AV236" s="82"/>
      <c r="AW236" s="82"/>
      <c r="AX236" s="82"/>
      <c r="AY236" s="82"/>
      <c r="AZ236" s="82"/>
      <c r="BA236" s="82"/>
      <c r="BB236" s="82"/>
      <c r="BC236" s="82"/>
      <c r="BD236" s="82"/>
      <c r="BE236" s="82"/>
      <c r="BF236" s="82"/>
      <c r="BG236" s="82"/>
      <c r="BH236" s="82"/>
      <c r="BI236" s="82"/>
      <c r="BJ236" s="82"/>
      <c r="BK236" s="82"/>
      <c r="BL236" s="82"/>
      <c r="BM236" s="82"/>
      <c r="BN236" s="82"/>
      <c r="BO236" s="82"/>
      <c r="BP236" s="82"/>
      <c r="BQ236" s="82"/>
      <c r="BR236" s="82"/>
      <c r="BS236" s="82"/>
      <c r="BT236" s="82"/>
      <c r="BU236" s="82"/>
      <c r="BV236" s="82"/>
      <c r="BW236" s="82"/>
      <c r="BX236" s="82"/>
      <c r="BY236" s="82"/>
      <c r="BZ236" s="82"/>
      <c r="CA236" s="82"/>
      <c r="CB236" s="82"/>
      <c r="CC236" s="82"/>
      <c r="CD236" s="82"/>
      <c r="CE236" s="82"/>
      <c r="CF236" s="82"/>
      <c r="CG236" s="82"/>
      <c r="CH236" s="82"/>
      <c r="CI236" s="82"/>
      <c r="CJ236" s="82"/>
      <c r="CK236" s="82"/>
      <c r="CL236" s="82"/>
      <c r="CM236" s="82"/>
      <c r="CN236" s="82"/>
      <c r="CO236" s="82"/>
      <c r="CP236" s="82"/>
      <c r="CQ236" s="82"/>
      <c r="CR236" s="82"/>
      <c r="CS236" s="82"/>
      <c r="CT236" s="82"/>
      <c r="CU236" s="82"/>
      <c r="CV236" s="82"/>
      <c r="CW236" s="82"/>
      <c r="CX236" s="82"/>
      <c r="CY236" s="82"/>
      <c r="CZ236" s="82"/>
      <c r="DA236" s="73"/>
      <c r="DB236" s="99"/>
      <c r="DC236" s="82"/>
      <c r="DD236" s="82"/>
      <c r="DE236" s="82"/>
      <c r="DF236" s="82"/>
      <c r="DG236" s="82"/>
      <c r="DH236" s="82"/>
      <c r="DI236" s="82"/>
      <c r="DJ236" s="82"/>
      <c r="DK236" s="82"/>
      <c r="DL236" s="82"/>
      <c r="DM236" s="82"/>
      <c r="DN236" s="82"/>
      <c r="DO236" s="82"/>
      <c r="DP236" s="82"/>
      <c r="DQ236" s="82"/>
      <c r="DR236" s="82"/>
      <c r="DS236" s="82"/>
      <c r="DT236" s="82"/>
      <c r="DU236" s="82"/>
      <c r="DV236" s="82"/>
      <c r="DW236" s="82"/>
      <c r="DX236" s="82"/>
      <c r="DY236" s="82"/>
      <c r="DZ236" s="82"/>
      <c r="EA236" s="82"/>
      <c r="EC236" s="85"/>
    </row>
    <row r="237" spans="2:133" s="81" customFormat="1" ht="12.75" customHeight="1">
      <c r="B237" s="108"/>
      <c r="C237" s="99"/>
      <c r="D237" s="99"/>
      <c r="E237" s="99"/>
      <c r="F237" s="99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92"/>
      <c r="Z237" s="82"/>
      <c r="AA237" s="92"/>
      <c r="AB237" s="82"/>
      <c r="AC237" s="85"/>
      <c r="AD237" s="82"/>
      <c r="AE237" s="82"/>
      <c r="AF237" s="82"/>
      <c r="AG237" s="82"/>
      <c r="AH237" s="82"/>
      <c r="AI237" s="82"/>
      <c r="AJ237" s="82"/>
      <c r="AK237" s="82"/>
      <c r="AL237" s="82"/>
      <c r="AM237" s="82"/>
      <c r="AN237" s="82"/>
      <c r="AO237" s="82"/>
      <c r="AP237" s="82"/>
      <c r="AQ237" s="82"/>
      <c r="AR237" s="82"/>
      <c r="AS237" s="82"/>
      <c r="AT237" s="82"/>
      <c r="AU237" s="82"/>
      <c r="AV237" s="82"/>
      <c r="AW237" s="82"/>
      <c r="AX237" s="82"/>
      <c r="AY237" s="82"/>
      <c r="AZ237" s="82"/>
      <c r="BA237" s="82"/>
      <c r="BB237" s="82"/>
      <c r="BC237" s="82"/>
      <c r="BD237" s="82"/>
      <c r="BE237" s="82"/>
      <c r="BF237" s="82"/>
      <c r="BG237" s="82"/>
      <c r="BH237" s="82"/>
      <c r="BI237" s="82"/>
      <c r="BJ237" s="82"/>
      <c r="BK237" s="82"/>
      <c r="BL237" s="82"/>
      <c r="BM237" s="82"/>
      <c r="BN237" s="82"/>
      <c r="BO237" s="82"/>
      <c r="BP237" s="82"/>
      <c r="BQ237" s="82"/>
      <c r="BR237" s="82"/>
      <c r="BS237" s="82"/>
      <c r="BT237" s="82"/>
      <c r="BU237" s="82"/>
      <c r="BV237" s="82"/>
      <c r="BW237" s="82"/>
      <c r="BX237" s="82"/>
      <c r="BY237" s="82"/>
      <c r="BZ237" s="82"/>
      <c r="CA237" s="82"/>
      <c r="CB237" s="82"/>
      <c r="CC237" s="82"/>
      <c r="CD237" s="82"/>
      <c r="CE237" s="82"/>
      <c r="CF237" s="82"/>
      <c r="CG237" s="82"/>
      <c r="CH237" s="82"/>
      <c r="CI237" s="82"/>
      <c r="CJ237" s="82"/>
      <c r="CK237" s="82"/>
      <c r="CL237" s="82"/>
      <c r="CM237" s="82"/>
      <c r="CN237" s="82"/>
      <c r="CO237" s="82"/>
      <c r="CP237" s="82"/>
      <c r="CQ237" s="82"/>
      <c r="CR237" s="82"/>
      <c r="CS237" s="82"/>
      <c r="CT237" s="82"/>
      <c r="CU237" s="82"/>
      <c r="CV237" s="82"/>
      <c r="CW237" s="82"/>
      <c r="CX237" s="82"/>
      <c r="CY237" s="82"/>
      <c r="CZ237" s="82"/>
      <c r="DA237" s="73"/>
      <c r="DB237" s="99"/>
      <c r="DC237" s="82"/>
      <c r="DD237" s="82"/>
      <c r="DE237" s="82"/>
      <c r="DF237" s="82"/>
      <c r="DG237" s="82"/>
      <c r="DH237" s="82"/>
      <c r="DI237" s="82"/>
      <c r="DJ237" s="82"/>
      <c r="DK237" s="82"/>
      <c r="DL237" s="82"/>
      <c r="DM237" s="82"/>
      <c r="DN237" s="82"/>
      <c r="DO237" s="82"/>
      <c r="DP237" s="82"/>
      <c r="DQ237" s="82"/>
      <c r="DR237" s="82"/>
      <c r="DS237" s="82"/>
      <c r="DT237" s="82"/>
      <c r="DU237" s="82"/>
      <c r="DV237" s="82"/>
      <c r="DW237" s="82"/>
      <c r="DX237" s="82"/>
      <c r="DY237" s="82"/>
      <c r="DZ237" s="82"/>
      <c r="EA237" s="82"/>
      <c r="EC237" s="85"/>
    </row>
    <row r="238" spans="2:133" s="81" customFormat="1" ht="12.75" customHeight="1">
      <c r="B238" s="108"/>
      <c r="C238" s="99"/>
      <c r="D238" s="99"/>
      <c r="E238" s="99"/>
      <c r="F238" s="99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92"/>
      <c r="Z238" s="82"/>
      <c r="AA238" s="92"/>
      <c r="AB238" s="82"/>
      <c r="AC238" s="85"/>
      <c r="AD238" s="82"/>
      <c r="AE238" s="82"/>
      <c r="AF238" s="82"/>
      <c r="AG238" s="82"/>
      <c r="AH238" s="82"/>
      <c r="AI238" s="82"/>
      <c r="AJ238" s="82"/>
      <c r="AK238" s="82"/>
      <c r="AL238" s="82"/>
      <c r="AM238" s="82"/>
      <c r="AN238" s="82"/>
      <c r="AO238" s="82"/>
      <c r="AP238" s="82"/>
      <c r="AQ238" s="82"/>
      <c r="AR238" s="82"/>
      <c r="AS238" s="82"/>
      <c r="AT238" s="82"/>
      <c r="AU238" s="82"/>
      <c r="AV238" s="82"/>
      <c r="AW238" s="82"/>
      <c r="AX238" s="82"/>
      <c r="AY238" s="82"/>
      <c r="AZ238" s="82"/>
      <c r="BA238" s="82"/>
      <c r="BB238" s="82"/>
      <c r="BC238" s="82"/>
      <c r="BD238" s="82"/>
      <c r="BE238" s="82"/>
      <c r="BF238" s="82"/>
      <c r="BG238" s="82"/>
      <c r="BH238" s="82"/>
      <c r="BI238" s="82"/>
      <c r="BJ238" s="82"/>
      <c r="BK238" s="82"/>
      <c r="BL238" s="82"/>
      <c r="BM238" s="82"/>
      <c r="BN238" s="82"/>
      <c r="BO238" s="82"/>
      <c r="BP238" s="82"/>
      <c r="BQ238" s="82"/>
      <c r="BR238" s="82"/>
      <c r="BS238" s="82"/>
      <c r="BT238" s="82"/>
      <c r="BU238" s="82"/>
      <c r="BV238" s="82"/>
      <c r="BW238" s="82"/>
      <c r="BX238" s="82"/>
      <c r="BY238" s="82"/>
      <c r="BZ238" s="82"/>
      <c r="CA238" s="82"/>
      <c r="CB238" s="82"/>
      <c r="CC238" s="82"/>
      <c r="CD238" s="82"/>
      <c r="CE238" s="82"/>
      <c r="CF238" s="82"/>
      <c r="CG238" s="82"/>
      <c r="CH238" s="82"/>
      <c r="CI238" s="82"/>
      <c r="CJ238" s="82"/>
      <c r="CK238" s="82"/>
      <c r="CL238" s="82"/>
      <c r="CM238" s="82"/>
      <c r="CN238" s="82"/>
      <c r="CO238" s="82"/>
      <c r="CP238" s="82"/>
      <c r="CQ238" s="82"/>
      <c r="CR238" s="82"/>
      <c r="CS238" s="82"/>
      <c r="CT238" s="82"/>
      <c r="CU238" s="82"/>
      <c r="CV238" s="82"/>
      <c r="CW238" s="82"/>
      <c r="CX238" s="82"/>
      <c r="CY238" s="82"/>
      <c r="CZ238" s="82"/>
      <c r="DA238" s="73"/>
      <c r="DB238" s="99"/>
      <c r="DC238" s="82"/>
      <c r="DD238" s="82"/>
      <c r="DE238" s="82"/>
      <c r="DF238" s="82"/>
      <c r="DG238" s="82"/>
      <c r="DH238" s="82"/>
      <c r="DI238" s="82"/>
      <c r="DJ238" s="82"/>
      <c r="DK238" s="82"/>
      <c r="DL238" s="82"/>
      <c r="DM238" s="82"/>
      <c r="DN238" s="82"/>
      <c r="DO238" s="82"/>
      <c r="DP238" s="82"/>
      <c r="DQ238" s="82"/>
      <c r="DR238" s="82"/>
      <c r="DS238" s="82"/>
      <c r="DT238" s="82"/>
      <c r="DU238" s="82"/>
      <c r="DV238" s="82"/>
      <c r="DW238" s="82"/>
      <c r="DX238" s="82"/>
      <c r="DY238" s="82"/>
      <c r="DZ238" s="82"/>
      <c r="EA238" s="82"/>
      <c r="EC238" s="85"/>
    </row>
    <row r="239" spans="2:133" s="81" customFormat="1" ht="12.75" customHeight="1">
      <c r="B239" s="108"/>
      <c r="C239" s="99"/>
      <c r="D239" s="99"/>
      <c r="E239" s="99"/>
      <c r="F239" s="99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92"/>
      <c r="Z239" s="82"/>
      <c r="AA239" s="92"/>
      <c r="AB239" s="82"/>
      <c r="AC239" s="85"/>
      <c r="AD239" s="82"/>
      <c r="AE239" s="82"/>
      <c r="AF239" s="82"/>
      <c r="AG239" s="82"/>
      <c r="AH239" s="82"/>
      <c r="AI239" s="82"/>
      <c r="AJ239" s="82"/>
      <c r="AK239" s="82"/>
      <c r="AL239" s="82"/>
      <c r="AM239" s="82"/>
      <c r="AN239" s="82"/>
      <c r="AO239" s="82"/>
      <c r="AP239" s="82"/>
      <c r="AQ239" s="82"/>
      <c r="AR239" s="82"/>
      <c r="AS239" s="82"/>
      <c r="AT239" s="82"/>
      <c r="AU239" s="82"/>
      <c r="AV239" s="82"/>
      <c r="AW239" s="82"/>
      <c r="AX239" s="82"/>
      <c r="AY239" s="82"/>
      <c r="AZ239" s="82"/>
      <c r="BA239" s="82"/>
      <c r="BB239" s="82"/>
      <c r="BC239" s="82"/>
      <c r="BD239" s="82"/>
      <c r="BE239" s="82"/>
      <c r="BF239" s="82"/>
      <c r="BG239" s="82"/>
      <c r="BH239" s="82"/>
      <c r="BI239" s="82"/>
      <c r="BJ239" s="82"/>
      <c r="BK239" s="82"/>
      <c r="BL239" s="82"/>
      <c r="BM239" s="82"/>
      <c r="BN239" s="82"/>
      <c r="BO239" s="82"/>
      <c r="BP239" s="82"/>
      <c r="BQ239" s="82"/>
      <c r="BR239" s="82"/>
      <c r="BS239" s="82"/>
      <c r="BT239" s="82"/>
      <c r="BU239" s="82"/>
      <c r="BV239" s="82"/>
      <c r="BW239" s="82"/>
      <c r="BX239" s="82"/>
      <c r="BY239" s="82"/>
      <c r="BZ239" s="82"/>
      <c r="CA239" s="82"/>
      <c r="CB239" s="82"/>
      <c r="CC239" s="82"/>
      <c r="CD239" s="82"/>
      <c r="CE239" s="82"/>
      <c r="CF239" s="82"/>
      <c r="CG239" s="82"/>
      <c r="CH239" s="82"/>
      <c r="CI239" s="82"/>
      <c r="CJ239" s="82"/>
      <c r="CK239" s="82"/>
      <c r="CL239" s="82"/>
      <c r="CM239" s="82"/>
      <c r="CN239" s="82"/>
      <c r="CO239" s="82"/>
      <c r="CP239" s="82"/>
      <c r="CQ239" s="82"/>
      <c r="CR239" s="82"/>
      <c r="CS239" s="82"/>
      <c r="CT239" s="82"/>
      <c r="CU239" s="82"/>
      <c r="CV239" s="82"/>
      <c r="CW239" s="82"/>
      <c r="CX239" s="82"/>
      <c r="CY239" s="82"/>
      <c r="CZ239" s="82"/>
      <c r="DA239" s="73"/>
      <c r="DB239" s="99"/>
      <c r="DC239" s="82"/>
      <c r="DD239" s="82"/>
      <c r="DE239" s="82"/>
      <c r="DF239" s="82"/>
      <c r="DG239" s="82"/>
      <c r="DH239" s="82"/>
      <c r="DI239" s="82"/>
      <c r="DJ239" s="82"/>
      <c r="DK239" s="82"/>
      <c r="DL239" s="82"/>
      <c r="DM239" s="82"/>
      <c r="DN239" s="82"/>
      <c r="DO239" s="82"/>
      <c r="DP239" s="82"/>
      <c r="DQ239" s="82"/>
      <c r="DR239" s="82"/>
      <c r="DS239" s="82"/>
      <c r="DT239" s="82"/>
      <c r="DU239" s="82"/>
      <c r="DV239" s="82"/>
      <c r="DW239" s="82"/>
      <c r="DX239" s="82"/>
      <c r="DY239" s="82"/>
      <c r="DZ239" s="82"/>
      <c r="EA239" s="82"/>
      <c r="EC239" s="85"/>
    </row>
    <row r="240" spans="2:133" s="81" customFormat="1" ht="12.75" customHeight="1">
      <c r="B240" s="108"/>
      <c r="C240" s="99"/>
      <c r="D240" s="99"/>
      <c r="E240" s="99"/>
      <c r="F240" s="99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92"/>
      <c r="Z240" s="82"/>
      <c r="AA240" s="92"/>
      <c r="AB240" s="82"/>
      <c r="AC240" s="85"/>
      <c r="AD240" s="82"/>
      <c r="AE240" s="82"/>
      <c r="AF240" s="82"/>
      <c r="AG240" s="82"/>
      <c r="AH240" s="82"/>
      <c r="AI240" s="82"/>
      <c r="AJ240" s="82"/>
      <c r="AK240" s="82"/>
      <c r="AL240" s="82"/>
      <c r="AM240" s="82"/>
      <c r="AN240" s="82"/>
      <c r="AO240" s="82"/>
      <c r="AP240" s="82"/>
      <c r="AQ240" s="82"/>
      <c r="AR240" s="82"/>
      <c r="AS240" s="82"/>
      <c r="AT240" s="82"/>
      <c r="AU240" s="82"/>
      <c r="AV240" s="82"/>
      <c r="AW240" s="82"/>
      <c r="AX240" s="82"/>
      <c r="AY240" s="82"/>
      <c r="AZ240" s="82"/>
      <c r="BA240" s="82"/>
      <c r="BB240" s="82"/>
      <c r="BC240" s="82"/>
      <c r="BD240" s="82"/>
      <c r="BE240" s="82"/>
      <c r="BF240" s="82"/>
      <c r="BG240" s="82"/>
      <c r="BH240" s="82"/>
      <c r="BI240" s="82"/>
      <c r="BJ240" s="82"/>
      <c r="BK240" s="82"/>
      <c r="BL240" s="82"/>
      <c r="BM240" s="82"/>
      <c r="BN240" s="82"/>
      <c r="BO240" s="82"/>
      <c r="BP240" s="82"/>
      <c r="BQ240" s="82"/>
      <c r="BR240" s="82"/>
      <c r="BS240" s="82"/>
      <c r="BT240" s="82"/>
      <c r="BU240" s="82"/>
      <c r="BV240" s="82"/>
      <c r="BW240" s="82"/>
      <c r="BX240" s="82"/>
      <c r="BY240" s="82"/>
      <c r="BZ240" s="82"/>
      <c r="CA240" s="82"/>
      <c r="CB240" s="82"/>
      <c r="CC240" s="82"/>
      <c r="CD240" s="82"/>
      <c r="CE240" s="82"/>
      <c r="CF240" s="82"/>
      <c r="CG240" s="82"/>
      <c r="CH240" s="82"/>
      <c r="CI240" s="82"/>
      <c r="CJ240" s="82"/>
      <c r="CK240" s="82"/>
      <c r="CL240" s="82"/>
      <c r="CM240" s="82"/>
      <c r="CN240" s="82"/>
      <c r="CO240" s="82"/>
      <c r="CP240" s="82"/>
      <c r="CQ240" s="82"/>
      <c r="CR240" s="82"/>
      <c r="CS240" s="82"/>
      <c r="CT240" s="82"/>
      <c r="CU240" s="82"/>
      <c r="CV240" s="82"/>
      <c r="CW240" s="82"/>
      <c r="CX240" s="82"/>
      <c r="CY240" s="82"/>
      <c r="CZ240" s="82"/>
      <c r="DA240" s="73"/>
      <c r="DB240" s="99"/>
      <c r="DC240" s="82"/>
      <c r="DD240" s="82"/>
      <c r="DE240" s="82"/>
      <c r="DF240" s="82"/>
      <c r="DG240" s="82"/>
      <c r="DH240" s="82"/>
      <c r="DI240" s="82"/>
      <c r="DJ240" s="82"/>
      <c r="DK240" s="82"/>
      <c r="DL240" s="82"/>
      <c r="DM240" s="82"/>
      <c r="DN240" s="82"/>
      <c r="DO240" s="82"/>
      <c r="DP240" s="82"/>
      <c r="DQ240" s="82"/>
      <c r="DR240" s="82"/>
      <c r="DS240" s="82"/>
      <c r="DT240" s="82"/>
      <c r="DU240" s="82"/>
      <c r="DV240" s="82"/>
      <c r="DW240" s="82"/>
      <c r="DX240" s="82"/>
      <c r="DY240" s="82"/>
      <c r="DZ240" s="82"/>
      <c r="EA240" s="82"/>
      <c r="EC240" s="85"/>
    </row>
    <row r="241" spans="2:133" s="81" customFormat="1" ht="12.75" customHeight="1">
      <c r="B241" s="108"/>
      <c r="C241" s="99"/>
      <c r="D241" s="99"/>
      <c r="E241" s="99"/>
      <c r="F241" s="99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92"/>
      <c r="Z241" s="82"/>
      <c r="AA241" s="92"/>
      <c r="AB241" s="82"/>
      <c r="AC241" s="85"/>
      <c r="AD241" s="82"/>
      <c r="AE241" s="82"/>
      <c r="AF241" s="82"/>
      <c r="AG241" s="82"/>
      <c r="AH241" s="82"/>
      <c r="AI241" s="82"/>
      <c r="AJ241" s="82"/>
      <c r="AK241" s="82"/>
      <c r="AL241" s="82"/>
      <c r="AM241" s="82"/>
      <c r="AN241" s="82"/>
      <c r="AO241" s="82"/>
      <c r="AP241" s="82"/>
      <c r="AQ241" s="82"/>
      <c r="AR241" s="82"/>
      <c r="AS241" s="82"/>
      <c r="AT241" s="82"/>
      <c r="AU241" s="82"/>
      <c r="AV241" s="82"/>
      <c r="AW241" s="82"/>
      <c r="AX241" s="82"/>
      <c r="AY241" s="82"/>
      <c r="AZ241" s="82"/>
      <c r="BA241" s="82"/>
      <c r="BB241" s="82"/>
      <c r="BC241" s="82"/>
      <c r="BD241" s="82"/>
      <c r="BE241" s="82"/>
      <c r="BF241" s="82"/>
      <c r="BG241" s="82"/>
      <c r="BH241" s="82"/>
      <c r="BI241" s="82"/>
      <c r="BJ241" s="82"/>
      <c r="BK241" s="82"/>
      <c r="BL241" s="82"/>
      <c r="BM241" s="82"/>
      <c r="BN241" s="82"/>
      <c r="BO241" s="82"/>
      <c r="BP241" s="82"/>
      <c r="BQ241" s="82"/>
      <c r="BR241" s="82"/>
      <c r="BS241" s="82"/>
      <c r="BT241" s="82"/>
      <c r="BU241" s="82"/>
      <c r="BV241" s="82"/>
      <c r="BW241" s="82"/>
      <c r="BX241" s="82"/>
      <c r="BY241" s="82"/>
      <c r="BZ241" s="82"/>
      <c r="CA241" s="82"/>
      <c r="CB241" s="82"/>
      <c r="CC241" s="82"/>
      <c r="CD241" s="82"/>
      <c r="CE241" s="82"/>
      <c r="CF241" s="82"/>
      <c r="CG241" s="82"/>
      <c r="CH241" s="82"/>
      <c r="CI241" s="82"/>
      <c r="CJ241" s="82"/>
      <c r="CK241" s="82"/>
      <c r="CL241" s="82"/>
      <c r="CM241" s="82"/>
      <c r="CN241" s="82"/>
      <c r="CO241" s="82"/>
      <c r="CP241" s="82"/>
      <c r="CQ241" s="82"/>
      <c r="CR241" s="82"/>
      <c r="CS241" s="82"/>
      <c r="CT241" s="82"/>
      <c r="CU241" s="82"/>
      <c r="CV241" s="82"/>
      <c r="CW241" s="82"/>
      <c r="CX241" s="82"/>
      <c r="CY241" s="82"/>
      <c r="CZ241" s="82"/>
      <c r="DA241" s="73"/>
      <c r="DB241" s="99"/>
      <c r="DC241" s="82"/>
      <c r="DD241" s="82"/>
      <c r="DE241" s="82"/>
      <c r="DF241" s="82"/>
      <c r="DG241" s="82"/>
      <c r="DH241" s="82"/>
      <c r="DI241" s="82"/>
      <c r="DJ241" s="82"/>
      <c r="DK241" s="82"/>
      <c r="DL241" s="82"/>
      <c r="DM241" s="82"/>
      <c r="DN241" s="82"/>
      <c r="DO241" s="82"/>
      <c r="DP241" s="82"/>
      <c r="DQ241" s="82"/>
      <c r="DR241" s="82"/>
      <c r="DS241" s="82"/>
      <c r="DT241" s="82"/>
      <c r="DU241" s="82"/>
      <c r="DV241" s="82"/>
      <c r="DW241" s="82"/>
      <c r="DX241" s="82"/>
      <c r="DY241" s="82"/>
      <c r="DZ241" s="82"/>
      <c r="EA241" s="82"/>
      <c r="EC241" s="85"/>
    </row>
  </sheetData>
  <phoneticPr fontId="0" type="noConversion"/>
  <hyperlinks>
    <hyperlink ref="A1" location="Main!A1" display="Main" xr:uid="{00000000-0004-0000-0300-000000000000}"/>
  </hyperlinks>
  <pageMargins left="7.0000000000000007E-2" right="0.74" top="0.08" bottom="0.13" header="0.5" footer="0.14000000000000001"/>
  <pageSetup scale="50" orientation="landscape" r:id="rId1"/>
  <headerFooter alignWithMargins="0"/>
  <ignoredErrors>
    <ignoredError sqref="DE95:DE96 DB102 DE103 DB94:DB96 DB88:DD88 DB90:DB91 DF90 DB97:DB98 DE91 DD90:DD91 DC90:DC91 DC94:DD96 DF94:DF96 DC102:DD102 DF99 DC99:DE99 DB99 DC97:DD98 DF97:DF98 DE97" formulaRange="1"/>
  </ignoredErrors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2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10">
      <c r="A1" s="3" t="s">
        <v>8</v>
      </c>
      <c r="B1" s="3"/>
    </row>
    <row r="2" spans="1:10">
      <c r="A2" s="3"/>
      <c r="B2" s="1" t="s">
        <v>179</v>
      </c>
      <c r="C2" s="1" t="s">
        <v>180</v>
      </c>
    </row>
    <row r="3" spans="1:10">
      <c r="B3" s="1" t="s">
        <v>178</v>
      </c>
      <c r="C3" s="1" t="s">
        <v>181</v>
      </c>
    </row>
    <row r="4" spans="1:10">
      <c r="B4" s="1" t="s">
        <v>192</v>
      </c>
      <c r="C4" s="1" t="s">
        <v>224</v>
      </c>
    </row>
    <row r="5" spans="1:10">
      <c r="B5" s="1" t="s">
        <v>225</v>
      </c>
      <c r="C5" s="1" t="s">
        <v>226</v>
      </c>
    </row>
    <row r="7" spans="1:10">
      <c r="C7" s="1" t="s">
        <v>47</v>
      </c>
    </row>
    <row r="8" spans="1:10">
      <c r="C8" s="1" t="s">
        <v>48</v>
      </c>
    </row>
    <row r="10" spans="1:10">
      <c r="C10" s="1" t="s">
        <v>188</v>
      </c>
    </row>
    <row r="11" spans="1:10">
      <c r="C11" s="1" t="s">
        <v>49</v>
      </c>
    </row>
    <row r="12" spans="1:10">
      <c r="C12" s="1" t="s">
        <v>50</v>
      </c>
    </row>
    <row r="13" spans="1:10">
      <c r="C13" s="1" t="s">
        <v>51</v>
      </c>
      <c r="J13" s="1" t="s">
        <v>163</v>
      </c>
    </row>
    <row r="15" spans="1:10">
      <c r="C15" s="11" t="s">
        <v>52</v>
      </c>
    </row>
    <row r="16" spans="1:10">
      <c r="C16" s="1" t="s">
        <v>53</v>
      </c>
    </row>
    <row r="18" spans="3:9">
      <c r="C18" s="1" t="s">
        <v>157</v>
      </c>
    </row>
    <row r="19" spans="3:9">
      <c r="C19" s="1" t="s">
        <v>158</v>
      </c>
    </row>
    <row r="24" spans="3:9">
      <c r="C24" s="1" t="s">
        <v>46</v>
      </c>
    </row>
    <row r="28" spans="3:9">
      <c r="C28" s="11" t="s">
        <v>29</v>
      </c>
      <c r="D28" s="11"/>
      <c r="E28" s="11" t="s">
        <v>34</v>
      </c>
      <c r="F28" s="11"/>
      <c r="G28" s="11" t="s">
        <v>36</v>
      </c>
      <c r="H28" s="11"/>
      <c r="I28" s="11" t="s">
        <v>43</v>
      </c>
    </row>
    <row r="29" spans="3:9">
      <c r="C29" s="1" t="s">
        <v>30</v>
      </c>
      <c r="E29" s="1" t="s">
        <v>35</v>
      </c>
      <c r="G29" s="1" t="s">
        <v>37</v>
      </c>
      <c r="I29" s="1" t="s">
        <v>44</v>
      </c>
    </row>
    <row r="30" spans="3:9">
      <c r="C30" s="1" t="s">
        <v>31</v>
      </c>
      <c r="G30" s="1" t="s">
        <v>38</v>
      </c>
      <c r="I30" s="1" t="s">
        <v>45</v>
      </c>
    </row>
    <row r="31" spans="3:9">
      <c r="C31" s="1" t="s">
        <v>32</v>
      </c>
      <c r="G31" s="1" t="s">
        <v>39</v>
      </c>
    </row>
    <row r="32" spans="3:9">
      <c r="C32" s="1" t="s">
        <v>33</v>
      </c>
      <c r="G32" s="1" t="s">
        <v>40</v>
      </c>
    </row>
    <row r="33" spans="3:7">
      <c r="G33" s="1" t="s">
        <v>41</v>
      </c>
    </row>
    <row r="34" spans="3:7">
      <c r="G34" s="1" t="s">
        <v>42</v>
      </c>
    </row>
    <row r="37" spans="3:7">
      <c r="C37" s="1" t="s">
        <v>189</v>
      </c>
    </row>
    <row r="40" spans="3:7">
      <c r="C40" s="1" t="s">
        <v>190</v>
      </c>
    </row>
    <row r="42" spans="3:7">
      <c r="C42" s="1" t="s">
        <v>191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1AAB-47CB-4183-845C-23DE9686DA67}">
  <dimension ref="A1:H47"/>
  <sheetViews>
    <sheetView zoomScale="175" zoomScaleNormal="175" workbookViewId="0">
      <selection activeCell="C7" sqref="C7"/>
    </sheetView>
  </sheetViews>
  <sheetFormatPr defaultColWidth="8.85546875" defaultRowHeight="12.75"/>
  <cols>
    <col min="1" max="1" width="5" bestFit="1" customWidth="1"/>
    <col min="2" max="2" width="12" bestFit="1" customWidth="1"/>
    <col min="3" max="3" width="14.140625" customWidth="1"/>
    <col min="4" max="4" width="22.140625" customWidth="1"/>
  </cols>
  <sheetData>
    <row r="1" spans="1:4">
      <c r="A1" s="5" t="s">
        <v>8</v>
      </c>
    </row>
    <row r="2" spans="1:4">
      <c r="B2" s="73" t="s">
        <v>755</v>
      </c>
      <c r="C2" s="73" t="s">
        <v>757</v>
      </c>
    </row>
    <row r="3" spans="1:4">
      <c r="B3" s="73" t="s">
        <v>756</v>
      </c>
      <c r="C3" s="73" t="s">
        <v>766</v>
      </c>
    </row>
    <row r="4" spans="1:4">
      <c r="B4" s="73" t="s">
        <v>767</v>
      </c>
      <c r="C4" s="73" t="s">
        <v>1018</v>
      </c>
    </row>
    <row r="5" spans="1:4">
      <c r="B5" s="73" t="s">
        <v>207</v>
      </c>
      <c r="C5" s="73" t="s">
        <v>768</v>
      </c>
    </row>
    <row r="6" spans="1:4">
      <c r="B6" s="73" t="s">
        <v>6</v>
      </c>
      <c r="C6" s="73" t="s">
        <v>1044</v>
      </c>
    </row>
    <row r="7" spans="1:4">
      <c r="B7" s="73" t="s">
        <v>210</v>
      </c>
    </row>
    <row r="8" spans="1:4">
      <c r="B8" s="73"/>
      <c r="C8" t="s">
        <v>999</v>
      </c>
      <c r="D8" t="s">
        <v>1012</v>
      </c>
    </row>
    <row r="9" spans="1:4">
      <c r="B9" s="73"/>
      <c r="C9" t="s">
        <v>1004</v>
      </c>
      <c r="D9" t="s">
        <v>980</v>
      </c>
    </row>
    <row r="10" spans="1:4">
      <c r="B10" s="73"/>
      <c r="C10" t="s">
        <v>1008</v>
      </c>
      <c r="D10" t="s">
        <v>1011</v>
      </c>
    </row>
    <row r="11" spans="1:4">
      <c r="B11" s="73"/>
      <c r="C11" t="s">
        <v>1030</v>
      </c>
      <c r="D11" t="s">
        <v>1031</v>
      </c>
    </row>
    <row r="12" spans="1:4">
      <c r="B12" s="73"/>
      <c r="C12" t="s">
        <v>1003</v>
      </c>
    </row>
    <row r="13" spans="1:4">
      <c r="B13" s="73"/>
      <c r="C13" t="s">
        <v>1043</v>
      </c>
      <c r="D13" t="s">
        <v>1017</v>
      </c>
    </row>
    <row r="14" spans="1:4">
      <c r="B14" s="73"/>
      <c r="C14" t="s">
        <v>1007</v>
      </c>
      <c r="D14" t="s">
        <v>1011</v>
      </c>
    </row>
    <row r="15" spans="1:4">
      <c r="B15" s="73"/>
      <c r="C15" t="s">
        <v>1019</v>
      </c>
    </row>
    <row r="16" spans="1:4">
      <c r="B16" s="73"/>
      <c r="C16" t="s">
        <v>1016</v>
      </c>
      <c r="D16" t="s">
        <v>1017</v>
      </c>
    </row>
    <row r="17" spans="2:4">
      <c r="B17" s="73"/>
      <c r="C17" t="s">
        <v>1000</v>
      </c>
      <c r="D17" t="s">
        <v>1012</v>
      </c>
    </row>
    <row r="18" spans="2:4">
      <c r="B18" s="73"/>
      <c r="C18" t="s">
        <v>1041</v>
      </c>
      <c r="D18" t="s">
        <v>1042</v>
      </c>
    </row>
    <row r="19" spans="2:4">
      <c r="B19" s="73"/>
      <c r="C19" t="s">
        <v>1015</v>
      </c>
      <c r="D19" t="s">
        <v>1010</v>
      </c>
    </row>
    <row r="20" spans="2:4">
      <c r="B20" s="73"/>
      <c r="C20" t="s">
        <v>1006</v>
      </c>
      <c r="D20" t="s">
        <v>980</v>
      </c>
    </row>
    <row r="21" spans="2:4">
      <c r="B21" s="73"/>
      <c r="C21" t="s">
        <v>1037</v>
      </c>
      <c r="D21" t="s">
        <v>1038</v>
      </c>
    </row>
    <row r="22" spans="2:4">
      <c r="B22" s="73"/>
      <c r="C22" t="s">
        <v>1013</v>
      </c>
      <c r="D22" t="s">
        <v>1014</v>
      </c>
    </row>
    <row r="23" spans="2:4">
      <c r="B23" s="73"/>
      <c r="C23" t="s">
        <v>1001</v>
      </c>
      <c r="D23" t="s">
        <v>980</v>
      </c>
    </row>
    <row r="24" spans="2:4">
      <c r="B24" s="73"/>
      <c r="C24" t="s">
        <v>1009</v>
      </c>
      <c r="D24" t="s">
        <v>1010</v>
      </c>
    </row>
    <row r="25" spans="2:4">
      <c r="B25" s="73"/>
      <c r="C25" t="s">
        <v>1020</v>
      </c>
      <c r="D25" t="s">
        <v>1021</v>
      </c>
    </row>
    <row r="26" spans="2:4">
      <c r="B26" s="73"/>
      <c r="C26" t="s">
        <v>1035</v>
      </c>
      <c r="D26" t="s">
        <v>1036</v>
      </c>
    </row>
    <row r="27" spans="2:4">
      <c r="B27" s="73"/>
      <c r="C27" t="s">
        <v>1002</v>
      </c>
      <c r="D27" t="s">
        <v>980</v>
      </c>
    </row>
    <row r="28" spans="2:4">
      <c r="B28" s="73"/>
      <c r="C28" t="s">
        <v>1029</v>
      </c>
    </row>
    <row r="29" spans="2:4">
      <c r="B29" s="73"/>
      <c r="C29" t="s">
        <v>1022</v>
      </c>
      <c r="D29" t="s">
        <v>1021</v>
      </c>
    </row>
    <row r="30" spans="2:4">
      <c r="B30" s="73"/>
      <c r="C30" t="s">
        <v>1026</v>
      </c>
      <c r="D30" t="s">
        <v>1027</v>
      </c>
    </row>
    <row r="31" spans="2:4">
      <c r="B31" s="73"/>
      <c r="C31" t="s">
        <v>1028</v>
      </c>
      <c r="D31" t="s">
        <v>1027</v>
      </c>
    </row>
    <row r="32" spans="2:4">
      <c r="B32" s="73"/>
      <c r="C32" t="s">
        <v>995</v>
      </c>
      <c r="D32" t="s">
        <v>996</v>
      </c>
    </row>
    <row r="33" spans="2:8">
      <c r="B33" s="73"/>
      <c r="C33" t="s">
        <v>1005</v>
      </c>
      <c r="D33" t="s">
        <v>980</v>
      </c>
    </row>
    <row r="34" spans="2:8">
      <c r="B34" s="73"/>
      <c r="C34" t="s">
        <v>1023</v>
      </c>
      <c r="D34" t="s">
        <v>1024</v>
      </c>
    </row>
    <row r="35" spans="2:8">
      <c r="B35" s="73"/>
      <c r="C35" t="s">
        <v>993</v>
      </c>
      <c r="D35" t="s">
        <v>997</v>
      </c>
    </row>
    <row r="36" spans="2:8">
      <c r="B36" s="73"/>
      <c r="C36" t="s">
        <v>1039</v>
      </c>
      <c r="D36" t="s">
        <v>1038</v>
      </c>
    </row>
    <row r="37" spans="2:8">
      <c r="B37" s="73"/>
      <c r="C37" t="s">
        <v>992</v>
      </c>
      <c r="D37" t="s">
        <v>994</v>
      </c>
    </row>
    <row r="38" spans="2:8">
      <c r="B38" s="73"/>
      <c r="C38" t="s">
        <v>1025</v>
      </c>
      <c r="D38" t="s">
        <v>1024</v>
      </c>
    </row>
    <row r="39" spans="2:8">
      <c r="C39" s="73" t="s">
        <v>787</v>
      </c>
      <c r="D39" s="73" t="s">
        <v>788</v>
      </c>
      <c r="E39" s="73" t="s">
        <v>789</v>
      </c>
      <c r="F39" s="73" t="s">
        <v>790</v>
      </c>
      <c r="G39" s="73" t="s">
        <v>791</v>
      </c>
      <c r="H39" s="73" t="s">
        <v>793</v>
      </c>
    </row>
    <row r="40" spans="2:8">
      <c r="C40" s="73" t="s">
        <v>796</v>
      </c>
      <c r="D40" s="73" t="s">
        <v>799</v>
      </c>
      <c r="E40" s="73"/>
      <c r="F40" s="73"/>
      <c r="G40" s="73"/>
      <c r="H40" s="73" t="s">
        <v>797</v>
      </c>
    </row>
    <row r="41" spans="2:8">
      <c r="C41" s="73" t="s">
        <v>1032</v>
      </c>
      <c r="D41" s="73" t="s">
        <v>1031</v>
      </c>
      <c r="E41" s="73"/>
      <c r="F41" s="73"/>
      <c r="G41" s="73"/>
      <c r="H41" s="73"/>
    </row>
    <row r="42" spans="2:8">
      <c r="C42" s="73" t="s">
        <v>1033</v>
      </c>
      <c r="D42" s="73" t="s">
        <v>1034</v>
      </c>
      <c r="E42" s="73"/>
      <c r="F42" s="73"/>
      <c r="G42" s="73"/>
      <c r="H42" s="73"/>
    </row>
    <row r="43" spans="2:8">
      <c r="C43" s="73" t="s">
        <v>1040</v>
      </c>
      <c r="D43" s="73" t="s">
        <v>1038</v>
      </c>
      <c r="E43" s="73"/>
      <c r="F43" s="73"/>
      <c r="G43" s="73"/>
      <c r="H43" s="73"/>
    </row>
    <row r="44" spans="2:8">
      <c r="C44" s="73" t="s">
        <v>794</v>
      </c>
      <c r="D44" s="73" t="s">
        <v>800</v>
      </c>
      <c r="H44" s="73" t="s">
        <v>795</v>
      </c>
    </row>
    <row r="45" spans="2:8">
      <c r="C45" s="73" t="s">
        <v>801</v>
      </c>
      <c r="D45" s="73" t="s">
        <v>798</v>
      </c>
      <c r="H45" s="73" t="s">
        <v>802</v>
      </c>
    </row>
    <row r="47" spans="2:8">
      <c r="C47" t="s">
        <v>989</v>
      </c>
      <c r="G47" t="s">
        <v>990</v>
      </c>
      <c r="H47" t="s">
        <v>998</v>
      </c>
    </row>
  </sheetData>
  <hyperlinks>
    <hyperlink ref="A1" location="Main!A1" display="Main" xr:uid="{C271B4CD-7A40-42C0-9861-29175D018F3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85F21-EC52-4AF6-B8C0-F4AEC80EF4E0}">
  <dimension ref="A1:C24"/>
  <sheetViews>
    <sheetView zoomScale="190" zoomScaleNormal="190" workbookViewId="0">
      <selection activeCell="C11" sqref="C11"/>
    </sheetView>
  </sheetViews>
  <sheetFormatPr defaultRowHeight="12.75"/>
  <cols>
    <col min="1" max="1" width="5" bestFit="1" customWidth="1"/>
    <col min="2" max="2" width="12.28515625" bestFit="1" customWidth="1"/>
  </cols>
  <sheetData>
    <row r="1" spans="1:3">
      <c r="A1" s="5" t="s">
        <v>8</v>
      </c>
    </row>
    <row r="2" spans="1:3">
      <c r="B2" s="73" t="s">
        <v>755</v>
      </c>
      <c r="C2" s="73" t="s">
        <v>1086</v>
      </c>
    </row>
    <row r="3" spans="1:3">
      <c r="B3" s="73" t="s">
        <v>756</v>
      </c>
      <c r="C3" s="73" t="s">
        <v>934</v>
      </c>
    </row>
    <row r="4" spans="1:3">
      <c r="B4" s="73" t="s">
        <v>3</v>
      </c>
      <c r="C4" s="73" t="s">
        <v>868</v>
      </c>
    </row>
    <row r="5" spans="1:3">
      <c r="B5" s="73" t="s">
        <v>760</v>
      </c>
      <c r="C5" s="73" t="s">
        <v>1084</v>
      </c>
    </row>
    <row r="6" spans="1:3">
      <c r="B6" s="73"/>
      <c r="C6" s="73" t="s">
        <v>1090</v>
      </c>
    </row>
    <row r="7" spans="1:3">
      <c r="B7" s="73" t="s">
        <v>1049</v>
      </c>
      <c r="C7" s="73" t="s">
        <v>1083</v>
      </c>
    </row>
    <row r="8" spans="1:3">
      <c r="B8" s="73"/>
      <c r="C8" s="73" t="s">
        <v>1081</v>
      </c>
    </row>
    <row r="9" spans="1:3">
      <c r="B9" s="73" t="s">
        <v>366</v>
      </c>
      <c r="C9" s="73" t="s">
        <v>1092</v>
      </c>
    </row>
    <row r="10" spans="1:3">
      <c r="B10" s="73" t="s">
        <v>5</v>
      </c>
      <c r="C10" s="73" t="s">
        <v>1097</v>
      </c>
    </row>
    <row r="11" spans="1:3">
      <c r="B11" s="73" t="s">
        <v>210</v>
      </c>
    </row>
    <row r="12" spans="1:3">
      <c r="C12" s="16" t="s">
        <v>1088</v>
      </c>
    </row>
    <row r="13" spans="1:3">
      <c r="C13" s="73" t="s">
        <v>1096</v>
      </c>
    </row>
    <row r="16" spans="1:3">
      <c r="C16" s="16" t="s">
        <v>1087</v>
      </c>
    </row>
    <row r="17" spans="3:3">
      <c r="C17" s="73" t="s">
        <v>1091</v>
      </c>
    </row>
    <row r="18" spans="3:3">
      <c r="C18" s="73" t="s">
        <v>1094</v>
      </c>
    </row>
    <row r="19" spans="3:3">
      <c r="C19" s="73" t="s">
        <v>1093</v>
      </c>
    </row>
    <row r="20" spans="3:3">
      <c r="C20" s="73" t="s">
        <v>1095</v>
      </c>
    </row>
    <row r="22" spans="3:3">
      <c r="C22" s="16" t="s">
        <v>1089</v>
      </c>
    </row>
    <row r="24" spans="3:3">
      <c r="C24" s="16" t="s">
        <v>1085</v>
      </c>
    </row>
  </sheetData>
  <hyperlinks>
    <hyperlink ref="A1" location="Main!A1" display="Main" xr:uid="{3C0DDEF1-CB5B-490B-A02D-A35721B554E8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0E3E-F3AF-4B8C-AEC0-E9E9F60A5323}">
  <dimension ref="A1:C10"/>
  <sheetViews>
    <sheetView zoomScale="190" zoomScaleNormal="190" workbookViewId="0"/>
  </sheetViews>
  <sheetFormatPr defaultRowHeight="12.75"/>
  <cols>
    <col min="1" max="1" width="5" bestFit="1" customWidth="1"/>
    <col min="2" max="2" width="12.28515625" bestFit="1" customWidth="1"/>
  </cols>
  <sheetData>
    <row r="1" spans="1:3">
      <c r="A1" s="5" t="s">
        <v>8</v>
      </c>
    </row>
    <row r="2" spans="1:3">
      <c r="B2" s="73" t="s">
        <v>755</v>
      </c>
      <c r="C2" s="73" t="s">
        <v>932</v>
      </c>
    </row>
    <row r="3" spans="1:3">
      <c r="B3" s="73" t="s">
        <v>756</v>
      </c>
      <c r="C3" s="73" t="s">
        <v>1072</v>
      </c>
    </row>
    <row r="4" spans="1:3">
      <c r="B4" s="73" t="s">
        <v>3</v>
      </c>
      <c r="C4" s="73" t="s">
        <v>1077</v>
      </c>
    </row>
    <row r="5" spans="1:3">
      <c r="B5" s="73" t="s">
        <v>760</v>
      </c>
      <c r="C5" s="73" t="s">
        <v>1075</v>
      </c>
    </row>
    <row r="6" spans="1:3">
      <c r="B6" s="73" t="s">
        <v>1049</v>
      </c>
      <c r="C6" s="73" t="s">
        <v>1071</v>
      </c>
    </row>
    <row r="7" spans="1:3">
      <c r="B7" s="73" t="s">
        <v>210</v>
      </c>
    </row>
    <row r="8" spans="1:3">
      <c r="C8" s="16" t="s">
        <v>1078</v>
      </c>
    </row>
    <row r="9" spans="1:3">
      <c r="C9" s="73" t="s">
        <v>1079</v>
      </c>
    </row>
    <row r="10" spans="1:3">
      <c r="C10" s="73" t="s">
        <v>1080</v>
      </c>
    </row>
  </sheetData>
  <hyperlinks>
    <hyperlink ref="A1" location="Main!A1" display="Main" xr:uid="{0CFC7185-09E7-4766-B212-77A1072746A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9"/>
  <sheetViews>
    <sheetView zoomScale="160" zoomScaleNormal="160" workbookViewId="0"/>
  </sheetViews>
  <sheetFormatPr defaultColWidth="9.140625" defaultRowHeight="12.75"/>
  <cols>
    <col min="1" max="1" width="5" bestFit="1" customWidth="1"/>
    <col min="2" max="2" width="14.7109375" customWidth="1"/>
  </cols>
  <sheetData>
    <row r="1" spans="1:3">
      <c r="A1" s="70" t="s">
        <v>8</v>
      </c>
    </row>
    <row r="2" spans="1:3">
      <c r="B2" t="s">
        <v>179</v>
      </c>
      <c r="C2" s="73" t="s">
        <v>13</v>
      </c>
    </row>
    <row r="3" spans="1:3">
      <c r="C3" s="73" t="s">
        <v>1050</v>
      </c>
    </row>
    <row r="4" spans="1:3">
      <c r="C4" s="73" t="s">
        <v>829</v>
      </c>
    </row>
    <row r="5" spans="1:3">
      <c r="B5" t="s">
        <v>3</v>
      </c>
      <c r="C5" t="s">
        <v>310</v>
      </c>
    </row>
    <row r="6" spans="1:3">
      <c r="C6" s="73" t="s">
        <v>1052</v>
      </c>
    </row>
    <row r="7" spans="1:3">
      <c r="C7" t="s">
        <v>421</v>
      </c>
    </row>
    <row r="8" spans="1:3">
      <c r="C8" t="s">
        <v>479</v>
      </c>
    </row>
    <row r="9" spans="1:3">
      <c r="C9" s="73" t="s">
        <v>1053</v>
      </c>
    </row>
    <row r="10" spans="1:3">
      <c r="C10" s="73" t="s">
        <v>1054</v>
      </c>
    </row>
    <row r="11" spans="1:3">
      <c r="B11" t="s">
        <v>192</v>
      </c>
      <c r="C11" t="s">
        <v>203</v>
      </c>
    </row>
    <row r="12" spans="1:3">
      <c r="B12" t="s">
        <v>193</v>
      </c>
      <c r="C12" t="s">
        <v>194</v>
      </c>
    </row>
    <row r="13" spans="1:3">
      <c r="B13" t="s">
        <v>184</v>
      </c>
      <c r="C13" t="s">
        <v>480</v>
      </c>
    </row>
    <row r="14" spans="1:3">
      <c r="B14" t="s">
        <v>308</v>
      </c>
      <c r="C14" t="s">
        <v>309</v>
      </c>
    </row>
    <row r="15" spans="1:3">
      <c r="B15" t="s">
        <v>5</v>
      </c>
      <c r="C15" t="s">
        <v>422</v>
      </c>
    </row>
    <row r="16" spans="1:3">
      <c r="B16" s="73" t="s">
        <v>268</v>
      </c>
      <c r="C16" s="131" t="s">
        <v>1073</v>
      </c>
    </row>
    <row r="17" spans="2:3">
      <c r="B17" s="73" t="s">
        <v>1049</v>
      </c>
      <c r="C17" s="73" t="s">
        <v>1056</v>
      </c>
    </row>
    <row r="18" spans="2:3">
      <c r="C18" s="73" t="s">
        <v>1051</v>
      </c>
    </row>
    <row r="19" spans="2:3">
      <c r="B19" t="s">
        <v>305</v>
      </c>
      <c r="C19" t="s">
        <v>306</v>
      </c>
    </row>
    <row r="20" spans="2:3">
      <c r="C20" t="s">
        <v>24</v>
      </c>
    </row>
    <row r="21" spans="2:3">
      <c r="C21" t="s">
        <v>25</v>
      </c>
    </row>
    <row r="23" spans="2:3">
      <c r="C23" t="s">
        <v>19</v>
      </c>
    </row>
    <row r="24" spans="2:3">
      <c r="C24" t="s">
        <v>20</v>
      </c>
    </row>
    <row r="26" spans="2:3">
      <c r="C26" t="s">
        <v>21</v>
      </c>
    </row>
    <row r="27" spans="2:3">
      <c r="C27" t="s">
        <v>27</v>
      </c>
    </row>
    <row r="28" spans="2:3">
      <c r="C28" t="s">
        <v>22</v>
      </c>
    </row>
    <row r="29" spans="2:3">
      <c r="C29" t="s">
        <v>23</v>
      </c>
    </row>
    <row r="30" spans="2:3">
      <c r="C30" t="s">
        <v>26</v>
      </c>
    </row>
    <row r="32" spans="2:3">
      <c r="C32" t="s">
        <v>28</v>
      </c>
    </row>
    <row r="34" spans="3:11">
      <c r="D34" s="48">
        <v>2006</v>
      </c>
      <c r="E34" s="48">
        <f t="shared" ref="E34:K34" si="0">D34+1</f>
        <v>2007</v>
      </c>
      <c r="F34" s="48">
        <f t="shared" si="0"/>
        <v>2008</v>
      </c>
      <c r="G34" s="48">
        <f t="shared" si="0"/>
        <v>2009</v>
      </c>
      <c r="H34" s="48">
        <f t="shared" si="0"/>
        <v>2010</v>
      </c>
      <c r="I34" s="48">
        <f t="shared" si="0"/>
        <v>2011</v>
      </c>
      <c r="J34" s="48">
        <f t="shared" si="0"/>
        <v>2012</v>
      </c>
      <c r="K34" s="48">
        <f t="shared" si="0"/>
        <v>2013</v>
      </c>
    </row>
    <row r="35" spans="3:11" s="132" customFormat="1">
      <c r="C35" s="132" t="s">
        <v>195</v>
      </c>
      <c r="D35" s="133"/>
      <c r="E35" s="133"/>
      <c r="F35" s="133"/>
      <c r="G35" s="133"/>
      <c r="H35" s="133">
        <v>2800</v>
      </c>
      <c r="I35" s="133"/>
      <c r="J35" s="133"/>
      <c r="K35" s="133"/>
    </row>
    <row r="36" spans="3:11">
      <c r="D36" s="48"/>
      <c r="E36" s="48"/>
      <c r="F36" s="48"/>
      <c r="G36" s="48"/>
      <c r="H36" s="48"/>
      <c r="I36" s="48"/>
      <c r="J36" s="48"/>
      <c r="K36" s="48"/>
    </row>
    <row r="37" spans="3:11">
      <c r="C37" t="s">
        <v>54</v>
      </c>
      <c r="D37" s="48"/>
      <c r="E37" s="48"/>
      <c r="F37" s="48"/>
      <c r="G37" s="48"/>
      <c r="H37" s="48"/>
      <c r="I37" s="48"/>
      <c r="J37" s="48"/>
      <c r="K37" s="48"/>
    </row>
    <row r="38" spans="3:11">
      <c r="D38" s="48"/>
      <c r="E38" s="48"/>
      <c r="F38" s="48"/>
      <c r="G38" s="48"/>
      <c r="H38" s="48"/>
      <c r="I38" s="48"/>
      <c r="J38" s="48"/>
      <c r="K38" s="48"/>
    </row>
    <row r="39" spans="3:11">
      <c r="C39" t="s">
        <v>129</v>
      </c>
      <c r="D39" t="s">
        <v>130</v>
      </c>
      <c r="E39">
        <v>0</v>
      </c>
      <c r="F39">
        <v>123.35</v>
      </c>
      <c r="G39" t="s">
        <v>131</v>
      </c>
      <c r="H39" t="s">
        <v>132</v>
      </c>
    </row>
    <row r="40" spans="3:11">
      <c r="C40" t="s">
        <v>133</v>
      </c>
      <c r="D40" t="s">
        <v>134</v>
      </c>
      <c r="E40">
        <v>68</v>
      </c>
      <c r="F40">
        <v>82</v>
      </c>
      <c r="G40" t="s">
        <v>135</v>
      </c>
      <c r="H40" t="s">
        <v>132</v>
      </c>
    </row>
    <row r="41" spans="3:11">
      <c r="C41" t="s">
        <v>136</v>
      </c>
      <c r="D41" t="s">
        <v>137</v>
      </c>
      <c r="E41">
        <v>28.75</v>
      </c>
      <c r="F41">
        <v>35.25</v>
      </c>
      <c r="G41" t="s">
        <v>138</v>
      </c>
      <c r="H41" t="s">
        <v>132</v>
      </c>
    </row>
    <row r="42" spans="3:11">
      <c r="C42" t="s">
        <v>139</v>
      </c>
      <c r="D42" t="s">
        <v>140</v>
      </c>
      <c r="E42">
        <v>17.239999999999998</v>
      </c>
      <c r="F42" t="s">
        <v>141</v>
      </c>
      <c r="G42" t="s">
        <v>123</v>
      </c>
      <c r="H42" t="s">
        <v>142</v>
      </c>
    </row>
    <row r="43" spans="3:11">
      <c r="C43" t="s">
        <v>143</v>
      </c>
      <c r="D43" t="s">
        <v>144</v>
      </c>
      <c r="E43">
        <v>54.12</v>
      </c>
      <c r="F43">
        <v>66</v>
      </c>
      <c r="G43" t="s">
        <v>145</v>
      </c>
      <c r="H43" t="s">
        <v>146</v>
      </c>
    </row>
    <row r="44" spans="3:11">
      <c r="C44" t="s">
        <v>147</v>
      </c>
      <c r="D44" t="s">
        <v>151</v>
      </c>
      <c r="E44">
        <v>36.909999999999997</v>
      </c>
      <c r="F44">
        <v>78.16</v>
      </c>
      <c r="G44" t="s">
        <v>138</v>
      </c>
      <c r="H44" t="s">
        <v>149</v>
      </c>
    </row>
    <row r="45" spans="3:11">
      <c r="C45" t="s">
        <v>150</v>
      </c>
      <c r="D45" t="s">
        <v>148</v>
      </c>
      <c r="E45">
        <v>52.25</v>
      </c>
      <c r="F45">
        <v>66.81</v>
      </c>
      <c r="G45" t="s">
        <v>131</v>
      </c>
      <c r="H45" t="s">
        <v>132</v>
      </c>
    </row>
    <row r="46" spans="3:11">
      <c r="C46" t="s">
        <v>152</v>
      </c>
      <c r="D46" t="s">
        <v>153</v>
      </c>
      <c r="E46">
        <v>24.25</v>
      </c>
      <c r="F46">
        <v>59.09</v>
      </c>
      <c r="G46" t="s">
        <v>131</v>
      </c>
      <c r="H46" t="s">
        <v>149</v>
      </c>
    </row>
    <row r="48" spans="3:11">
      <c r="C48" t="s">
        <v>200</v>
      </c>
    </row>
    <row r="49" spans="3:3">
      <c r="C49" t="s">
        <v>201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9DEC-44F8-43EE-8B6F-270F9AD7B515}">
  <dimension ref="A1:E13"/>
  <sheetViews>
    <sheetView zoomScale="190" zoomScaleNormal="190" workbookViewId="0"/>
  </sheetViews>
  <sheetFormatPr defaultColWidth="8.85546875" defaultRowHeight="12.75"/>
  <cols>
    <col min="1" max="1" width="5" bestFit="1" customWidth="1"/>
    <col min="3" max="3" width="11.5703125" customWidth="1"/>
  </cols>
  <sheetData>
    <row r="1" spans="1:5">
      <c r="A1" s="5" t="s">
        <v>8</v>
      </c>
    </row>
    <row r="2" spans="1:5">
      <c r="B2" s="73" t="s">
        <v>755</v>
      </c>
      <c r="C2" s="73" t="s">
        <v>742</v>
      </c>
    </row>
    <row r="3" spans="1:5">
      <c r="B3" s="73" t="s">
        <v>756</v>
      </c>
      <c r="C3" s="73" t="s">
        <v>935</v>
      </c>
    </row>
    <row r="4" spans="1:5">
      <c r="B4" s="73" t="s">
        <v>3</v>
      </c>
      <c r="C4" s="73" t="s">
        <v>936</v>
      </c>
    </row>
    <row r="5" spans="1:5">
      <c r="B5" s="73" t="s">
        <v>760</v>
      </c>
      <c r="C5" s="73" t="s">
        <v>937</v>
      </c>
    </row>
    <row r="6" spans="1:5">
      <c r="B6" s="73" t="s">
        <v>370</v>
      </c>
      <c r="C6" s="72">
        <v>42048</v>
      </c>
    </row>
    <row r="7" spans="1:5">
      <c r="B7" s="73" t="s">
        <v>6</v>
      </c>
      <c r="C7" s="73" t="s">
        <v>938</v>
      </c>
    </row>
    <row r="9" spans="1:5">
      <c r="E9" s="129" t="s">
        <v>939</v>
      </c>
    </row>
    <row r="13" spans="1:5">
      <c r="C13" s="73" t="s">
        <v>940</v>
      </c>
    </row>
  </sheetData>
  <hyperlinks>
    <hyperlink ref="A1" location="Main!A1" display="Main" xr:uid="{7AA2E9CD-D275-4FB7-AE9C-83500AF716E3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1A16-316E-48BB-B999-AA82650C1096}">
  <dimension ref="A1:C28"/>
  <sheetViews>
    <sheetView zoomScale="160" zoomScaleNormal="160" workbookViewId="0">
      <selection activeCell="C5" sqref="C5"/>
    </sheetView>
  </sheetViews>
  <sheetFormatPr defaultColWidth="8.85546875" defaultRowHeight="12.75"/>
  <cols>
    <col min="1" max="1" width="5" bestFit="1" customWidth="1"/>
    <col min="2" max="2" width="12.5703125" customWidth="1"/>
  </cols>
  <sheetData>
    <row r="1" spans="1:3">
      <c r="A1" s="5" t="s">
        <v>8</v>
      </c>
    </row>
    <row r="2" spans="1:3">
      <c r="B2" s="73" t="s">
        <v>755</v>
      </c>
      <c r="C2" s="73" t="s">
        <v>886</v>
      </c>
    </row>
    <row r="3" spans="1:3">
      <c r="B3" s="73" t="s">
        <v>756</v>
      </c>
      <c r="C3" s="73" t="s">
        <v>887</v>
      </c>
    </row>
    <row r="4" spans="1:3">
      <c r="B4" s="73" t="s">
        <v>760</v>
      </c>
      <c r="C4" s="73" t="s">
        <v>1104</v>
      </c>
    </row>
    <row r="5" spans="1:3">
      <c r="B5" s="73" t="s">
        <v>3</v>
      </c>
      <c r="C5" s="73" t="s">
        <v>888</v>
      </c>
    </row>
    <row r="6" spans="1:3">
      <c r="B6" s="73" t="s">
        <v>268</v>
      </c>
      <c r="C6" s="73" t="s">
        <v>1099</v>
      </c>
    </row>
    <row r="7" spans="1:3">
      <c r="B7" s="73" t="s">
        <v>415</v>
      </c>
      <c r="C7" s="73" t="s">
        <v>889</v>
      </c>
    </row>
    <row r="8" spans="1:3">
      <c r="B8" s="73" t="s">
        <v>6</v>
      </c>
      <c r="C8" s="73" t="s">
        <v>890</v>
      </c>
    </row>
    <row r="9" spans="1:3">
      <c r="B9" s="73"/>
      <c r="C9" s="73" t="s">
        <v>891</v>
      </c>
    </row>
    <row r="10" spans="1:3">
      <c r="B10" s="73"/>
      <c r="C10" s="73" t="s">
        <v>892</v>
      </c>
    </row>
    <row r="11" spans="1:3">
      <c r="B11" s="73"/>
      <c r="C11" s="73" t="s">
        <v>893</v>
      </c>
    </row>
    <row r="12" spans="1:3">
      <c r="B12" s="73"/>
      <c r="C12" s="73" t="s">
        <v>894</v>
      </c>
    </row>
    <row r="13" spans="1:3">
      <c r="B13" s="73"/>
      <c r="C13" s="73" t="s">
        <v>895</v>
      </c>
    </row>
    <row r="14" spans="1:3">
      <c r="B14" s="73"/>
      <c r="C14" s="131" t="s">
        <v>1100</v>
      </c>
    </row>
    <row r="15" spans="1:3">
      <c r="B15" s="73"/>
      <c r="C15" s="73" t="s">
        <v>1103</v>
      </c>
    </row>
    <row r="16" spans="1:3">
      <c r="B16" s="73"/>
      <c r="C16" s="73" t="s">
        <v>1101</v>
      </c>
    </row>
    <row r="17" spans="2:3">
      <c r="B17" s="73"/>
      <c r="C17" s="73" t="s">
        <v>1102</v>
      </c>
    </row>
    <row r="18" spans="2:3">
      <c r="B18" s="73" t="s">
        <v>210</v>
      </c>
    </row>
    <row r="19" spans="2:3">
      <c r="C19" s="16" t="s">
        <v>896</v>
      </c>
    </row>
    <row r="21" spans="2:3">
      <c r="C21" s="16" t="s">
        <v>897</v>
      </c>
    </row>
    <row r="23" spans="2:3">
      <c r="C23" s="16" t="s">
        <v>898</v>
      </c>
    </row>
    <row r="24" spans="2:3">
      <c r="C24" s="73" t="s">
        <v>899</v>
      </c>
    </row>
    <row r="26" spans="2:3">
      <c r="C26" s="16" t="s">
        <v>900</v>
      </c>
    </row>
    <row r="27" spans="2:3">
      <c r="C27" s="73" t="s">
        <v>901</v>
      </c>
    </row>
    <row r="28" spans="2:3">
      <c r="C28" s="73" t="s">
        <v>902</v>
      </c>
    </row>
  </sheetData>
  <hyperlinks>
    <hyperlink ref="A1" location="Main!A1" display="Main" xr:uid="{CB5B6681-A23F-4545-8244-DCDAC8728B91}"/>
  </hyperlink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6484F5-E093-4358-8F99-4066973C60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8B6939-179A-4B1A-8B2E-7C8092C58C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45FF9D-F8BD-4029-B235-519EDFAFA1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</vt:i4>
      </vt:variant>
    </vt:vector>
  </HeadingPairs>
  <TitlesOfParts>
    <vt:vector size="31" baseType="lpstr">
      <vt:lpstr>Master Pipeline</vt:lpstr>
      <vt:lpstr>Main</vt:lpstr>
      <vt:lpstr>Model</vt:lpstr>
      <vt:lpstr>Keytruda</vt:lpstr>
      <vt:lpstr>Winrevair</vt:lpstr>
      <vt:lpstr>Welireg</vt:lpstr>
      <vt:lpstr>Gardasil</vt:lpstr>
      <vt:lpstr>Lenvima</vt:lpstr>
      <vt:lpstr>Lynparza</vt:lpstr>
      <vt:lpstr>Padcev</vt:lpstr>
      <vt:lpstr>Rotateq</vt:lpstr>
      <vt:lpstr>V940</vt:lpstr>
      <vt:lpstr>0482</vt:lpstr>
      <vt:lpstr>Zostavax</vt:lpstr>
      <vt:lpstr>Vytorin</vt:lpstr>
      <vt:lpstr>Singulair</vt:lpstr>
      <vt:lpstr>Januvia</vt:lpstr>
      <vt:lpstr>odanacatib</vt:lpstr>
      <vt:lpstr>524</vt:lpstr>
      <vt:lpstr>517</vt:lpstr>
      <vt:lpstr>Isentress</vt:lpstr>
      <vt:lpstr>rolofylline</vt:lpstr>
      <vt:lpstr>taranabant</vt:lpstr>
      <vt:lpstr>telcagepant</vt:lpstr>
      <vt:lpstr>457</vt:lpstr>
      <vt:lpstr>vorapaxar</vt:lpstr>
      <vt:lpstr>Crixivan</vt:lpstr>
      <vt:lpstr>Fosamax</vt:lpstr>
      <vt:lpstr>Arcoxia</vt:lpstr>
      <vt:lpstr>Zolinza</vt:lpstr>
      <vt:lpstr>Model!Print_Area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2010-04-26T20:07:53Z</cp:lastPrinted>
  <dcterms:created xsi:type="dcterms:W3CDTF">2004-12-14T14:31:03Z</dcterms:created>
  <dcterms:modified xsi:type="dcterms:W3CDTF">2025-01-29T19:09:16Z</dcterms:modified>
</cp:coreProperties>
</file>