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535D50A-DF34-4B51-B0AA-C3FCF4BF0F27}" xr6:coauthVersionLast="47" xr6:coauthVersionMax="47" xr10:uidLastSave="{00000000-0000-0000-0000-000000000000}"/>
  <bookViews>
    <workbookView xWindow="-29730" yWindow="1785" windowWidth="26445" windowHeight="18135" xr2:uid="{0DF986AF-6823-4C0B-834E-29DBBC392D3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2" l="1"/>
  <c r="K12" i="2"/>
  <c r="K11" i="2"/>
  <c r="K10" i="2"/>
  <c r="K5" i="2"/>
  <c r="K19" i="2"/>
  <c r="G14" i="2"/>
  <c r="G12" i="2"/>
  <c r="G11" i="2"/>
  <c r="G10" i="2"/>
  <c r="G5" i="2"/>
  <c r="M19" i="2"/>
  <c r="L19" i="2"/>
  <c r="H14" i="2"/>
  <c r="H12" i="2"/>
  <c r="H10" i="2"/>
  <c r="H5" i="2"/>
  <c r="L14" i="2"/>
  <c r="L12" i="2"/>
  <c r="L10" i="2"/>
  <c r="L5" i="2"/>
  <c r="I14" i="2"/>
  <c r="I15" i="2"/>
  <c r="I16" i="2" s="1"/>
  <c r="M16" i="2"/>
  <c r="M15" i="2"/>
  <c r="M14" i="2"/>
  <c r="M12" i="2"/>
  <c r="M13" i="2" s="1"/>
  <c r="I12" i="2"/>
  <c r="I13" i="2" s="1"/>
  <c r="I10" i="2"/>
  <c r="I5" i="2"/>
  <c r="M11" i="2"/>
  <c r="M10" i="2"/>
  <c r="M5" i="2"/>
  <c r="K7" i="1"/>
  <c r="K5" i="1"/>
  <c r="K4" i="1"/>
  <c r="K13" i="2" l="1"/>
  <c r="K15" i="2" s="1"/>
  <c r="K16" i="2" s="1"/>
  <c r="G13" i="2"/>
  <c r="G15" i="2" s="1"/>
  <c r="G16" i="2" s="1"/>
  <c r="H11" i="2"/>
  <c r="H13" i="2"/>
  <c r="H15" i="2" s="1"/>
  <c r="H16" i="2" s="1"/>
  <c r="L11" i="2"/>
  <c r="L13" i="2"/>
  <c r="L15" i="2" s="1"/>
  <c r="L16" i="2" s="1"/>
  <c r="I11" i="2"/>
</calcChain>
</file>

<file path=xl/sharedStrings.xml><?xml version="1.0" encoding="utf-8"?>
<sst xmlns="http://schemas.openxmlformats.org/spreadsheetml/2006/main" count="42" uniqueCount="38">
  <si>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</si>
  <si>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</si>
  <si>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</si>
  <si>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</si>
  <si>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</si>
  <si>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</si>
  <si>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</si>
  <si>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</si>
  <si>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</si>
  <si>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</si>
  <si>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</si>
  <si>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</si>
  <si>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</si>
  <si>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</si>
  <si>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</si>
  <si>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</si>
  <si>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</si>
  <si>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</si>
  <si>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</si>
  <si>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</si>
  <si>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Operating Income</t>
  </si>
  <si>
    <t>Operating Expenses</t>
  </si>
  <si>
    <t>G&amp;A</t>
  </si>
  <si>
    <t>S&amp;M</t>
  </si>
  <si>
    <t>Operations &amp; Support</t>
  </si>
  <si>
    <t>COGS</t>
  </si>
  <si>
    <t>Gross Profit</t>
  </si>
  <si>
    <t>R&amp;D</t>
  </si>
  <si>
    <t>Pretax Income</t>
  </si>
  <si>
    <t>Interest Income</t>
  </si>
  <si>
    <t>Taxes</t>
  </si>
  <si>
    <t>Net Income</t>
  </si>
  <si>
    <t>EPS</t>
  </si>
  <si>
    <t>Revenue y/y</t>
  </si>
  <si>
    <t>Mobility: Andrew Macdonald</t>
  </si>
  <si>
    <t>Austin - Waymo</t>
  </si>
  <si>
    <t>Atlanta - Waymo</t>
  </si>
  <si>
    <t>CEO: Dara Khosrowshahi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</si>
</sst>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E3C1556-267B-451D-9BDE-540B507B2D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F98D-1B39-4528-8E59-490EB52EFEAA}">
  <dimension ref="B2:L10"/>
  <sheetViews>
    <sheetView tabSelected="1" zoomScale="205" zoomScaleNormal="205" workbookViewId="0">
      <selection activeCell="J10" sqref="J10"/>
    </sheetView>
  </sheetViews>
  <sheetFormatPr defaultRowHeight="12.75" x14ac:dyDescent="0.2"/>
  <sheetData>
    <row r="2" spans="2:12" x14ac:dyDescent="0.2">
      <c r="B2" t="s">
        <v>35</v>
      </c>
      <c r="J2" t="s">
        <v>0</v>
      </c>
      <c r="K2" s="1">
        <v>66.510000000000005</v>
      </c>
    </row>
    <row r="3" spans="2:12" x14ac:dyDescent="0.2">
      <c r="B3" t="s">
        <v>36</v>
      </c>
      <c r="J3" t="s">
        <v>1</v>
      </c>
      <c r="K3" s="2">
        <v>2105.7093249999998</v>
      </c>
      <c r="L3" s="3" t="s">
        <v>6</v>
      </c>
    </row>
    <row r="4" spans="2:12" x14ac:dyDescent="0.2">
      <c r="J4" t="s">
        <v>2</v>
      </c>
      <c r="K4" s="2">
        <f>+K2*K3</f>
        <v>140050.72720575001</v>
      </c>
    </row>
    <row r="5" spans="2:12" x14ac:dyDescent="0.2">
      <c r="J5" t="s">
        <v>3</v>
      </c>
      <c r="K5" s="2">
        <f>6150+2913+933+7921+314</f>
        <v>18231</v>
      </c>
      <c r="L5" s="3" t="s">
        <v>6</v>
      </c>
    </row>
    <row r="6" spans="2:12" x14ac:dyDescent="0.2">
      <c r="J6" t="s">
        <v>4</v>
      </c>
      <c r="K6" s="2">
        <v>10986</v>
      </c>
      <c r="L6" s="3" t="s">
        <v>6</v>
      </c>
    </row>
    <row r="7" spans="2:12" x14ac:dyDescent="0.2">
      <c r="J7" t="s">
        <v>5</v>
      </c>
      <c r="K7" s="2">
        <f>+K4-K5+K6</f>
        <v>132805.72720575001</v>
      </c>
    </row>
    <row r="9" spans="2:12" x14ac:dyDescent="0.2">
      <c r="J9" t="s">
        <v>37</v>
      </c>
    </row>
    <row r="10" spans="2:12" x14ac:dyDescent="0.2">
      <c r="J1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58C0-5513-48E1-8F59-B890C6B4BCDB}">
  <dimension ref="A1:N19"/>
  <sheetViews>
    <sheetView zoomScale="190" zoomScaleNormal="190" workbookViewId="0">
      <pane xSplit="2" ySplit="2" topLeftCell="D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9.28515625" bestFit="1" customWidth="1"/>
    <col min="3" max="14" width="9.140625" style="3"/>
  </cols>
  <sheetData>
    <row r="1" spans="1:14" x14ac:dyDescent="0.2">
      <c r="A1" s="9" t="s">
        <v>7</v>
      </c>
    </row>
    <row r="2" spans="1:14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</row>
    <row r="3" spans="1:14" s="6" customFormat="1" x14ac:dyDescent="0.2">
      <c r="B3" s="6" t="s">
        <v>8</v>
      </c>
      <c r="C3" s="7"/>
      <c r="D3" s="7"/>
      <c r="E3" s="7"/>
      <c r="F3" s="7"/>
      <c r="G3" s="7">
        <v>8823</v>
      </c>
      <c r="H3" s="7">
        <v>9230</v>
      </c>
      <c r="I3" s="7">
        <v>9292</v>
      </c>
      <c r="J3" s="7"/>
      <c r="K3" s="7">
        <v>10131</v>
      </c>
      <c r="L3" s="7">
        <v>10700</v>
      </c>
      <c r="M3" s="7">
        <v>11188</v>
      </c>
      <c r="N3" s="7"/>
    </row>
    <row r="4" spans="1:14" s="2" customFormat="1" x14ac:dyDescent="0.2">
      <c r="B4" s="2" t="s">
        <v>25</v>
      </c>
      <c r="C4" s="4"/>
      <c r="D4" s="4"/>
      <c r="E4" s="4"/>
      <c r="F4" s="4"/>
      <c r="G4" s="4">
        <v>5259</v>
      </c>
      <c r="H4" s="4">
        <v>5515</v>
      </c>
      <c r="I4" s="4">
        <v>5626</v>
      </c>
      <c r="J4" s="4"/>
      <c r="K4" s="4">
        <v>6168</v>
      </c>
      <c r="L4" s="4">
        <v>6488</v>
      </c>
      <c r="M4" s="4">
        <v>6761</v>
      </c>
      <c r="N4" s="4"/>
    </row>
    <row r="5" spans="1:14" s="2" customFormat="1" x14ac:dyDescent="0.2">
      <c r="B5" s="2" t="s">
        <v>26</v>
      </c>
      <c r="C5" s="4"/>
      <c r="D5" s="4"/>
      <c r="E5" s="4"/>
      <c r="F5" s="4"/>
      <c r="G5" s="4">
        <f>+G3-G4</f>
        <v>3564</v>
      </c>
      <c r="H5" s="4">
        <f>+H3-H4</f>
        <v>3715</v>
      </c>
      <c r="I5" s="4">
        <f>+I3-I4</f>
        <v>3666</v>
      </c>
      <c r="J5" s="4"/>
      <c r="K5" s="4">
        <f>+K3-K4</f>
        <v>3963</v>
      </c>
      <c r="L5" s="4">
        <f>+L3-L4</f>
        <v>4212</v>
      </c>
      <c r="M5" s="4">
        <f>+M3-M4</f>
        <v>4427</v>
      </c>
      <c r="N5" s="4"/>
    </row>
    <row r="6" spans="1:14" s="2" customFormat="1" x14ac:dyDescent="0.2">
      <c r="B6" s="2" t="s">
        <v>24</v>
      </c>
      <c r="C6" s="4"/>
      <c r="D6" s="4"/>
      <c r="E6" s="4"/>
      <c r="F6" s="4"/>
      <c r="G6" s="4">
        <v>640</v>
      </c>
      <c r="H6" s="4">
        <v>664</v>
      </c>
      <c r="I6" s="4">
        <v>683</v>
      </c>
      <c r="J6" s="4"/>
      <c r="K6" s="4">
        <v>685</v>
      </c>
      <c r="L6" s="4">
        <v>682</v>
      </c>
      <c r="M6" s="4">
        <v>687</v>
      </c>
      <c r="N6" s="4"/>
    </row>
    <row r="7" spans="1:14" s="2" customFormat="1" x14ac:dyDescent="0.2">
      <c r="B7" s="2" t="s">
        <v>23</v>
      </c>
      <c r="C7" s="4"/>
      <c r="D7" s="4"/>
      <c r="E7" s="4"/>
      <c r="F7" s="4"/>
      <c r="G7" s="4">
        <v>1262</v>
      </c>
      <c r="H7" s="4">
        <v>808</v>
      </c>
      <c r="I7" s="4">
        <v>941</v>
      </c>
      <c r="J7" s="4"/>
      <c r="K7" s="4">
        <v>917</v>
      </c>
      <c r="L7" s="4">
        <v>1115</v>
      </c>
      <c r="M7" s="4">
        <v>1096</v>
      </c>
      <c r="N7" s="4"/>
    </row>
    <row r="8" spans="1:14" s="2" customFormat="1" x14ac:dyDescent="0.2">
      <c r="B8" s="2" t="s">
        <v>27</v>
      </c>
      <c r="C8" s="4"/>
      <c r="D8" s="4"/>
      <c r="E8" s="4"/>
      <c r="F8" s="4"/>
      <c r="G8" s="4">
        <v>775</v>
      </c>
      <c r="H8" s="4">
        <v>491</v>
      </c>
      <c r="I8" s="4">
        <v>797</v>
      </c>
      <c r="J8" s="4"/>
      <c r="K8" s="4">
        <v>790</v>
      </c>
      <c r="L8" s="4">
        <v>760</v>
      </c>
      <c r="M8" s="4">
        <v>774</v>
      </c>
      <c r="N8" s="4"/>
    </row>
    <row r="9" spans="1:14" s="2" customFormat="1" x14ac:dyDescent="0.2">
      <c r="B9" s="2" t="s">
        <v>22</v>
      </c>
      <c r="C9" s="4"/>
      <c r="D9" s="4"/>
      <c r="E9" s="4"/>
      <c r="F9" s="4"/>
      <c r="G9" s="4">
        <v>942</v>
      </c>
      <c r="H9" s="4">
        <v>208</v>
      </c>
      <c r="I9" s="4">
        <v>646</v>
      </c>
      <c r="J9" s="4"/>
      <c r="K9" s="4">
        <v>1209</v>
      </c>
      <c r="L9" s="4">
        <v>686</v>
      </c>
      <c r="M9" s="4">
        <v>630</v>
      </c>
      <c r="N9" s="4"/>
    </row>
    <row r="10" spans="1:14" s="2" customFormat="1" x14ac:dyDescent="0.2">
      <c r="B10" s="2" t="s">
        <v>21</v>
      </c>
      <c r="C10" s="4"/>
      <c r="D10" s="4"/>
      <c r="E10" s="4"/>
      <c r="F10" s="4"/>
      <c r="G10" s="4">
        <f>SUM(G6:G9)</f>
        <v>3619</v>
      </c>
      <c r="H10" s="4">
        <f>SUM(H6:H9)</f>
        <v>2171</v>
      </c>
      <c r="I10" s="4">
        <f>SUM(I6:I9)</f>
        <v>3067</v>
      </c>
      <c r="J10" s="4"/>
      <c r="K10" s="4">
        <f>SUM(K6:K9)</f>
        <v>3601</v>
      </c>
      <c r="L10" s="4">
        <f>SUM(L6:L9)</f>
        <v>3243</v>
      </c>
      <c r="M10" s="4">
        <f>SUM(M6:M9)</f>
        <v>3187</v>
      </c>
      <c r="N10" s="4"/>
    </row>
    <row r="11" spans="1:14" s="2" customFormat="1" x14ac:dyDescent="0.2">
      <c r="B11" s="2" t="s">
        <v>20</v>
      </c>
      <c r="C11" s="4"/>
      <c r="D11" s="4"/>
      <c r="E11" s="4"/>
      <c r="F11" s="4"/>
      <c r="G11" s="4">
        <f>+G5-G10</f>
        <v>-55</v>
      </c>
      <c r="H11" s="4">
        <f>+H5-H10</f>
        <v>1544</v>
      </c>
      <c r="I11" s="4">
        <f>+I5-I10</f>
        <v>599</v>
      </c>
      <c r="J11" s="4"/>
      <c r="K11" s="4">
        <f>+K5-K10</f>
        <v>362</v>
      </c>
      <c r="L11" s="4">
        <f>+L5-L10</f>
        <v>969</v>
      </c>
      <c r="M11" s="4">
        <f>+M5-M10</f>
        <v>1240</v>
      </c>
      <c r="N11" s="4"/>
    </row>
    <row r="12" spans="1:14" s="2" customFormat="1" x14ac:dyDescent="0.2">
      <c r="B12" s="2" t="s">
        <v>29</v>
      </c>
      <c r="C12" s="4"/>
      <c r="D12" s="4"/>
      <c r="E12" s="4"/>
      <c r="F12" s="4"/>
      <c r="G12" s="4">
        <f>-168+292</f>
        <v>124</v>
      </c>
      <c r="H12" s="4">
        <f>-144+273</f>
        <v>129</v>
      </c>
      <c r="I12" s="4">
        <f>-166-52</f>
        <v>-218</v>
      </c>
      <c r="J12" s="4"/>
      <c r="K12" s="4">
        <f>-124-678</f>
        <v>-802</v>
      </c>
      <c r="L12" s="4">
        <f>-136+420</f>
        <v>284</v>
      </c>
      <c r="M12" s="4">
        <f>-143+1851</f>
        <v>1708</v>
      </c>
      <c r="N12" s="4"/>
    </row>
    <row r="13" spans="1:14" x14ac:dyDescent="0.2">
      <c r="B13" s="2" t="s">
        <v>28</v>
      </c>
      <c r="G13" s="4">
        <f>+G12+G11</f>
        <v>69</v>
      </c>
      <c r="H13" s="4">
        <f>+H12+H11</f>
        <v>1673</v>
      </c>
      <c r="I13" s="4">
        <f>+I12+I11</f>
        <v>381</v>
      </c>
      <c r="K13" s="4">
        <f>+K12+K11</f>
        <v>-440</v>
      </c>
      <c r="L13" s="4">
        <f>+L12+L11</f>
        <v>1253</v>
      </c>
      <c r="M13" s="4">
        <f>+M12+M11</f>
        <v>2948</v>
      </c>
    </row>
    <row r="14" spans="1:14" x14ac:dyDescent="0.2">
      <c r="B14" s="2" t="s">
        <v>30</v>
      </c>
      <c r="G14" s="3">
        <f>55-36</f>
        <v>19</v>
      </c>
      <c r="H14" s="3">
        <f>65-4</f>
        <v>61</v>
      </c>
      <c r="I14" s="3">
        <f>-40+3-2</f>
        <v>-39</v>
      </c>
      <c r="K14" s="3">
        <f>29+4-9</f>
        <v>24</v>
      </c>
      <c r="L14" s="3">
        <f>57+12-7</f>
        <v>62</v>
      </c>
      <c r="M14" s="3">
        <f>158-12+13</f>
        <v>159</v>
      </c>
    </row>
    <row r="15" spans="1:14" x14ac:dyDescent="0.2">
      <c r="B15" s="2" t="s">
        <v>31</v>
      </c>
      <c r="G15" s="4">
        <f>+G13-G14</f>
        <v>50</v>
      </c>
      <c r="H15" s="4">
        <f>+H13-H14</f>
        <v>1612</v>
      </c>
      <c r="I15" s="4">
        <f>+I13-I14</f>
        <v>420</v>
      </c>
      <c r="K15" s="4">
        <f>+K13-K14</f>
        <v>-464</v>
      </c>
      <c r="L15" s="4">
        <f>+L13-L14</f>
        <v>1191</v>
      </c>
      <c r="M15" s="4">
        <f>+M13-M14</f>
        <v>2789</v>
      </c>
    </row>
    <row r="16" spans="1:14" x14ac:dyDescent="0.2">
      <c r="B16" s="2" t="s">
        <v>32</v>
      </c>
      <c r="G16" s="5">
        <f>+G15/G17</f>
        <v>2.4881105636714956E-2</v>
      </c>
      <c r="H16" s="5">
        <f>+H15/H17</f>
        <v>0.77527395497928364</v>
      </c>
      <c r="I16" s="5">
        <f>+I15/I17</f>
        <v>0.19919572355238066</v>
      </c>
      <c r="K16" s="5">
        <f>+K15/K17</f>
        <v>-0.22305890678060616</v>
      </c>
      <c r="L16" s="5">
        <f>+L15/L17</f>
        <v>0.55394859301243393</v>
      </c>
      <c r="M16" s="5">
        <f>+M15/M17</f>
        <v>1.2945203126900124</v>
      </c>
    </row>
    <row r="17" spans="2:13" x14ac:dyDescent="0.2">
      <c r="B17" s="2" t="s">
        <v>1</v>
      </c>
      <c r="G17" s="4">
        <v>2009.557</v>
      </c>
      <c r="H17" s="4">
        <v>2079.2649999999999</v>
      </c>
      <c r="I17" s="4">
        <v>2108.4789999999998</v>
      </c>
      <c r="K17" s="4">
        <v>2080.1680000000001</v>
      </c>
      <c r="L17" s="4">
        <v>2150.0189999999998</v>
      </c>
      <c r="M17" s="4">
        <v>2154.4659999999999</v>
      </c>
    </row>
    <row r="19" spans="2:13" x14ac:dyDescent="0.2">
      <c r="B19" s="2" t="s">
        <v>33</v>
      </c>
      <c r="K19" s="8">
        <f>+K3/G3-1</f>
        <v>0.14824889493369597</v>
      </c>
      <c r="L19" s="8">
        <f>+L3/H3-1</f>
        <v>0.15926327193932832</v>
      </c>
      <c r="M19" s="8">
        <f>+M3/I3-1</f>
        <v>0.20404649160568233</v>
      </c>
    </row>
  </sheetData>
  <hyperlinks>
    <hyperlink ref="A1" location="Main!A1" display="Main" xr:uid="{97C91947-3928-45E1-B0A0-1313631C12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2025-02-02T01:50:14Z</dcterms:created>
  <dcterms:modified xsi:type="dcterms:W3CDTF">2025-02-02T02:26:03Z</dcterms:modified>
</cp:coreProperties>
</file>