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A0A687D-F700-4746-A557-2C38AC4F695B}" xr6:coauthVersionLast="47" xr6:coauthVersionMax="47" xr10:uidLastSave="{00000000-0000-0000-0000-000000000000}"/>
  <bookViews>
    <workbookView xWindow="19335" yWindow="1230" windowWidth="31320" windowHeight="18525" activeTab="2" xr2:uid="{00000000-000D-0000-FFFF-FFFF00000000}"/>
  </bookViews>
  <sheets>
    <sheet name="Master" sheetId="59" r:id="rId1"/>
    <sheet name="Main" sheetId="1" r:id="rId2"/>
    <sheet name="Model" sheetId="5" r:id="rId3"/>
    <sheet name="Shingrix" sheetId="62" r:id="rId4"/>
    <sheet name="dolutegravir" sheetId="60" r:id="rId5"/>
    <sheet name="Trelegy" sheetId="63" r:id="rId6"/>
    <sheet name="Advair" sheetId="6" r:id="rId7"/>
    <sheet name="Zejula" sheetId="61" r:id="rId8"/>
    <sheet name="Relovair" sheetId="22" r:id="rId9"/>
    <sheet name="Valtrex" sheetId="33" r:id="rId10"/>
    <sheet name="Serevent" sheetId="8" r:id="rId11"/>
    <sheet name="Avodart" sheetId="35" r:id="rId12"/>
    <sheet name="Flovent" sheetId="7" r:id="rId13"/>
    <sheet name="Consumer" sheetId="34" r:id="rId14"/>
    <sheet name="Tykerb" sheetId="3" r:id="rId15"/>
    <sheet name="Imitrex" sheetId="13" r:id="rId16"/>
    <sheet name="Lamictal" sheetId="17" r:id="rId17"/>
    <sheet name="Trexima" sheetId="12" r:id="rId18"/>
    <sheet name="Combivir" sheetId="18" r:id="rId19"/>
    <sheet name="Votrient" sheetId="25" r:id="rId20"/>
    <sheet name="Allermist" sheetId="10" r:id="rId21"/>
    <sheet name="Avandaryl" sheetId="26" r:id="rId22"/>
    <sheet name="Trizivir" sheetId="21" r:id="rId23"/>
    <sheet name="Lexiva" sheetId="28" r:id="rId24"/>
    <sheet name="Wellbutrin" sheetId="14" r:id="rId25"/>
    <sheet name="Paxil" sheetId="11" r:id="rId26"/>
    <sheet name="Requip" sheetId="19" r:id="rId27"/>
    <sheet name="Flonase" sheetId="9" r:id="rId28"/>
    <sheet name="Vestipitant" sheetId="15" r:id="rId29"/>
    <sheet name="MAGE" sheetId="23" r:id="rId30"/>
    <sheet name="Arzerra" sheetId="30" r:id="rId31"/>
    <sheet name="eltrombopag" sheetId="24" r:id="rId32"/>
    <sheet name="Cervarix" sheetId="27" r:id="rId33"/>
    <sheet name="Horizant" sheetId="31" r:id="rId34"/>
    <sheet name="716155" sheetId="29" r:id="rId35"/>
    <sheet name="699" sheetId="2" r:id="rId36"/>
    <sheet name="Potiga" sheetId="36" r:id="rId37"/>
    <sheet name="GSK786" sheetId="38" r:id="rId38"/>
    <sheet name="GSK436" sheetId="39" r:id="rId39"/>
    <sheet name="GSK212" sheetId="40" r:id="rId40"/>
    <sheet name="GSK968" sheetId="42" r:id="rId41"/>
    <sheet name="Relenza" sheetId="44" r:id="rId42"/>
    <sheet name="IPX066" sheetId="45" r:id="rId43"/>
    <sheet name="Benlysta" sheetId="46" r:id="rId44"/>
    <sheet name="Amigal" sheetId="47" r:id="rId45"/>
    <sheet name="Arixtra" sheetId="49" r:id="rId46"/>
    <sheet name="Pandemrix" sheetId="50" r:id="rId47"/>
    <sheet name="MenHibrix" sheetId="51" r:id="rId48"/>
    <sheet name="Rotarix" sheetId="52" r:id="rId49"/>
    <sheet name="Synflorix" sheetId="54" r:id="rId50"/>
    <sheet name="GSK572" sheetId="55" r:id="rId51"/>
    <sheet name="mepolizumab" sheetId="56" r:id="rId52"/>
    <sheet name="denosumab" sheetId="57" r:id="rId53"/>
    <sheet name="Syncria" sheetId="58" r:id="rId54"/>
    <sheet name="Avandia" sheetId="20" r:id="rId55"/>
  </sheets>
  <definedNames>
    <definedName name="footer" localSheetId="1">Main!#REF!</definedName>
    <definedName name="top" localSheetId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K5" i="5" l="1"/>
  <c r="DJ5" i="5"/>
  <c r="DI5" i="5"/>
  <c r="DH5" i="5"/>
  <c r="BY108" i="5"/>
  <c r="BZ110" i="5"/>
  <c r="BZ108" i="5"/>
  <c r="CD15" i="5"/>
  <c r="CD9" i="5"/>
  <c r="DF106" i="5"/>
  <c r="DF6" i="5"/>
  <c r="DE6" i="5"/>
  <c r="DD6" i="5"/>
  <c r="DE112" i="5"/>
  <c r="DD112" i="5"/>
  <c r="DD106" i="5"/>
  <c r="DE105" i="5"/>
  <c r="DD105" i="5"/>
  <c r="DE104" i="5"/>
  <c r="DD104" i="5"/>
  <c r="DE102" i="5"/>
  <c r="DD102" i="5"/>
  <c r="DD98" i="5"/>
  <c r="DD92" i="5"/>
  <c r="DD49" i="5"/>
  <c r="DD48" i="5"/>
  <c r="DD47" i="5"/>
  <c r="DD46" i="5"/>
  <c r="DD45" i="5"/>
  <c r="DD44" i="5"/>
  <c r="DD43" i="5"/>
  <c r="DD42" i="5"/>
  <c r="DD41" i="5"/>
  <c r="DD40" i="5"/>
  <c r="DD39" i="5"/>
  <c r="DD38" i="5"/>
  <c r="DD37" i="5"/>
  <c r="DD36" i="5"/>
  <c r="DD22" i="5"/>
  <c r="DD35" i="5"/>
  <c r="DD34" i="5"/>
  <c r="DD33" i="5"/>
  <c r="DD31" i="5"/>
  <c r="DD30" i="5"/>
  <c r="DD29" i="5"/>
  <c r="DD28" i="5"/>
  <c r="DD27" i="5"/>
  <c r="DD26" i="5"/>
  <c r="DD25" i="5"/>
  <c r="DD24" i="5"/>
  <c r="DD23" i="5"/>
  <c r="DD21" i="5"/>
  <c r="DD20" i="5"/>
  <c r="DD19" i="5"/>
  <c r="DD18" i="5"/>
  <c r="DD17" i="5"/>
  <c r="DD16" i="5"/>
  <c r="DD15" i="5"/>
  <c r="DD14" i="5"/>
  <c r="DD13" i="5"/>
  <c r="DD12" i="5"/>
  <c r="DD11" i="5"/>
  <c r="DD10" i="5"/>
  <c r="DD9" i="5"/>
  <c r="DD8" i="5"/>
  <c r="DD7" i="5"/>
  <c r="DD5" i="5"/>
  <c r="DD3" i="5"/>
  <c r="BO32" i="5"/>
  <c r="BO101" i="5" s="1"/>
  <c r="BO103" i="5" s="1"/>
  <c r="BP101" i="5"/>
  <c r="BP103" i="5" s="1"/>
  <c r="BP107" i="5" s="1"/>
  <c r="BQ110" i="5"/>
  <c r="BQ108" i="5"/>
  <c r="BQ101" i="5"/>
  <c r="BQ103" i="5" s="1"/>
  <c r="CC105" i="5"/>
  <c r="CB105" i="5"/>
  <c r="CA105" i="5"/>
  <c r="CD105" i="5"/>
  <c r="CC104" i="5"/>
  <c r="CB104" i="5"/>
  <c r="CA104" i="5"/>
  <c r="DF104" i="5"/>
  <c r="CD104" i="5"/>
  <c r="DJ2" i="5"/>
  <c r="DK2" i="5" s="1"/>
  <c r="DL2" i="5" s="1"/>
  <c r="DM2" i="5" s="1"/>
  <c r="DN2" i="5" s="1"/>
  <c r="DO2" i="5" s="1"/>
  <c r="DP2" i="5" s="1"/>
  <c r="DQ2" i="5" s="1"/>
  <c r="DR2" i="5" s="1"/>
  <c r="DS2" i="5" s="1"/>
  <c r="DG49" i="5"/>
  <c r="DF49" i="5"/>
  <c r="DE49" i="5"/>
  <c r="DG48" i="5"/>
  <c r="DF48" i="5"/>
  <c r="DE48" i="5"/>
  <c r="DG47" i="5"/>
  <c r="DF47" i="5"/>
  <c r="DE47" i="5"/>
  <c r="DE46" i="5"/>
  <c r="DE45" i="5"/>
  <c r="DE44" i="5"/>
  <c r="DE43" i="5"/>
  <c r="DE42" i="5"/>
  <c r="DE41" i="5"/>
  <c r="DE40" i="5"/>
  <c r="DE39" i="5"/>
  <c r="DF38" i="5"/>
  <c r="DE38" i="5"/>
  <c r="DE37" i="5"/>
  <c r="DE36" i="5"/>
  <c r="DE22" i="5"/>
  <c r="DE35" i="5"/>
  <c r="DF34" i="5"/>
  <c r="DE34" i="5"/>
  <c r="DE33" i="5"/>
  <c r="DE31" i="5"/>
  <c r="DE30" i="5"/>
  <c r="DE29" i="5"/>
  <c r="DE28" i="5"/>
  <c r="DE27" i="5"/>
  <c r="DE26" i="5"/>
  <c r="DE25" i="5"/>
  <c r="DE24" i="5"/>
  <c r="DE23" i="5"/>
  <c r="DE21" i="5"/>
  <c r="DE20" i="5"/>
  <c r="DE19" i="5"/>
  <c r="DE18" i="5"/>
  <c r="DE17" i="5"/>
  <c r="DE16" i="5"/>
  <c r="DE15" i="5"/>
  <c r="DE14" i="5"/>
  <c r="DE13" i="5"/>
  <c r="DE12" i="5"/>
  <c r="DE11" i="5"/>
  <c r="DE10" i="5"/>
  <c r="DE9" i="5"/>
  <c r="DE8" i="5"/>
  <c r="DE7" i="5"/>
  <c r="DE5" i="5"/>
  <c r="DE3" i="5"/>
  <c r="BX161" i="5"/>
  <c r="BX157" i="5"/>
  <c r="BX151" i="5"/>
  <c r="BX148" i="5"/>
  <c r="BT110" i="5"/>
  <c r="BT108" i="5"/>
  <c r="BX110" i="5"/>
  <c r="BX108" i="5"/>
  <c r="BR110" i="5"/>
  <c r="BR108" i="5"/>
  <c r="BN110" i="5"/>
  <c r="BN108" i="5"/>
  <c r="BN103" i="5"/>
  <c r="BN107" i="5" s="1"/>
  <c r="BR101" i="5"/>
  <c r="BR115" i="5" s="1"/>
  <c r="BS101" i="5"/>
  <c r="BS103" i="5" s="1"/>
  <c r="BS107" i="5" s="1"/>
  <c r="BS110" i="5"/>
  <c r="BS108" i="5"/>
  <c r="BO110" i="5"/>
  <c r="BO108" i="5"/>
  <c r="CA44" i="5"/>
  <c r="CB44" i="5" s="1"/>
  <c r="CC44" i="5" s="1"/>
  <c r="CD44" i="5" s="1"/>
  <c r="CA46" i="5"/>
  <c r="CB46" i="5" s="1"/>
  <c r="CC46" i="5" s="1"/>
  <c r="CD46" i="5" s="1"/>
  <c r="CA45" i="5"/>
  <c r="CB45" i="5" s="1"/>
  <c r="CC45" i="5" s="1"/>
  <c r="CD45" i="5" s="1"/>
  <c r="CA42" i="5"/>
  <c r="CB42" i="5" s="1"/>
  <c r="CC42" i="5" s="1"/>
  <c r="CD42" i="5" s="1"/>
  <c r="CB41" i="5"/>
  <c r="CA41" i="5"/>
  <c r="CD41" i="5"/>
  <c r="CC41" i="5"/>
  <c r="CA40" i="5"/>
  <c r="CB40" i="5" s="1"/>
  <c r="CC40" i="5" s="1"/>
  <c r="CD40" i="5" s="1"/>
  <c r="CA39" i="5"/>
  <c r="CB39" i="5" s="1"/>
  <c r="CC39" i="5" s="1"/>
  <c r="CD39" i="5" s="1"/>
  <c r="CA38" i="5"/>
  <c r="CB38" i="5" s="1"/>
  <c r="CC38" i="5" s="1"/>
  <c r="CD38" i="5" s="1"/>
  <c r="CA37" i="5"/>
  <c r="CB37" i="5" s="1"/>
  <c r="CC37" i="5" s="1"/>
  <c r="CD37" i="5" s="1"/>
  <c r="CA36" i="5"/>
  <c r="CB36" i="5" s="1"/>
  <c r="CC36" i="5" s="1"/>
  <c r="CD36" i="5" s="1"/>
  <c r="CA22" i="5"/>
  <c r="CB22" i="5" s="1"/>
  <c r="CC22" i="5" s="1"/>
  <c r="CD22" i="5" s="1"/>
  <c r="CB35" i="5"/>
  <c r="CA35" i="5"/>
  <c r="CD35" i="5"/>
  <c r="CC35" i="5"/>
  <c r="CB34" i="5"/>
  <c r="CA34" i="5"/>
  <c r="CD34" i="5"/>
  <c r="CC34" i="5"/>
  <c r="CB33" i="5"/>
  <c r="CA33" i="5"/>
  <c r="CD33" i="5"/>
  <c r="CC33" i="5"/>
  <c r="CC32" i="5"/>
  <c r="CB31" i="5"/>
  <c r="CA31" i="5"/>
  <c r="CD31" i="5"/>
  <c r="CC31" i="5"/>
  <c r="CB30" i="5"/>
  <c r="CA30" i="5"/>
  <c r="CD30" i="5"/>
  <c r="CC30" i="5"/>
  <c r="CB29" i="5"/>
  <c r="CA29" i="5"/>
  <c r="CD29" i="5"/>
  <c r="CC29" i="5"/>
  <c r="CB28" i="5"/>
  <c r="CA28" i="5"/>
  <c r="CD28" i="5"/>
  <c r="CC28" i="5"/>
  <c r="CB27" i="5"/>
  <c r="CA27" i="5"/>
  <c r="CD27" i="5"/>
  <c r="CC27" i="5"/>
  <c r="CB26" i="5"/>
  <c r="CA26" i="5"/>
  <c r="CD26" i="5"/>
  <c r="CC26" i="5"/>
  <c r="CB25" i="5"/>
  <c r="CA25" i="5"/>
  <c r="CD25" i="5"/>
  <c r="CC25" i="5"/>
  <c r="CB24" i="5"/>
  <c r="CA24" i="5"/>
  <c r="CD24" i="5"/>
  <c r="CC24" i="5"/>
  <c r="CB23" i="5"/>
  <c r="CA23" i="5"/>
  <c r="CD23" i="5"/>
  <c r="CC23" i="5"/>
  <c r="CB21" i="5"/>
  <c r="CA21" i="5"/>
  <c r="CD21" i="5"/>
  <c r="CC21" i="5"/>
  <c r="CB20" i="5"/>
  <c r="CA20" i="5"/>
  <c r="CD20" i="5"/>
  <c r="CC20" i="5"/>
  <c r="CB19" i="5"/>
  <c r="CA19" i="5"/>
  <c r="CD19" i="5"/>
  <c r="CC19" i="5"/>
  <c r="CB18" i="5"/>
  <c r="CA18" i="5"/>
  <c r="CD18" i="5"/>
  <c r="CC18" i="5"/>
  <c r="CB17" i="5"/>
  <c r="CA17" i="5"/>
  <c r="CD17" i="5"/>
  <c r="CC17" i="5"/>
  <c r="CB16" i="5"/>
  <c r="CA16" i="5"/>
  <c r="CD16" i="5"/>
  <c r="CC16" i="5"/>
  <c r="CB15" i="5"/>
  <c r="CA15" i="5"/>
  <c r="CC15" i="5"/>
  <c r="CB14" i="5"/>
  <c r="CA14" i="5"/>
  <c r="CD14" i="5"/>
  <c r="CC14" i="5"/>
  <c r="CB13" i="5"/>
  <c r="CA13" i="5"/>
  <c r="CD13" i="5"/>
  <c r="CC13" i="5"/>
  <c r="CB11" i="5"/>
  <c r="CA11" i="5"/>
  <c r="CB9" i="5"/>
  <c r="CA9" i="5"/>
  <c r="CB5" i="5"/>
  <c r="CA5" i="5"/>
  <c r="CB3" i="5"/>
  <c r="CA3" i="5"/>
  <c r="CD3" i="5"/>
  <c r="BP110" i="5"/>
  <c r="DD110" i="5" s="1"/>
  <c r="BP108" i="5"/>
  <c r="BT101" i="5"/>
  <c r="BT103" i="5" s="1"/>
  <c r="BT123" i="5" s="1"/>
  <c r="BU110" i="5"/>
  <c r="BU106" i="5"/>
  <c r="DE106" i="5" s="1"/>
  <c r="BU108" i="5"/>
  <c r="BU101" i="5"/>
  <c r="BU103" i="5" s="1"/>
  <c r="BU123" i="5" s="1"/>
  <c r="CD11" i="5"/>
  <c r="BX10" i="5"/>
  <c r="CA10" i="5" s="1"/>
  <c r="CB10" i="5" s="1"/>
  <c r="BX43" i="5"/>
  <c r="BX32" i="5"/>
  <c r="CB32" i="5" s="1"/>
  <c r="CC3" i="5"/>
  <c r="CD5" i="5"/>
  <c r="CA12" i="5"/>
  <c r="CB12" i="5" s="1"/>
  <c r="BW110" i="5"/>
  <c r="BV110" i="5"/>
  <c r="BV108" i="5"/>
  <c r="BV32" i="5"/>
  <c r="BV101" i="5" s="1"/>
  <c r="BV103" i="5" s="1"/>
  <c r="BV107" i="5" s="1"/>
  <c r="BW32" i="5"/>
  <c r="DE108" i="5" l="1"/>
  <c r="DD108" i="5"/>
  <c r="DF108" i="5"/>
  <c r="DD32" i="5"/>
  <c r="DE110" i="5"/>
  <c r="DG38" i="5"/>
  <c r="DH38" i="5" s="1"/>
  <c r="DI38" i="5" s="1"/>
  <c r="DJ38" i="5" s="1"/>
  <c r="DK38" i="5" s="1"/>
  <c r="DL38" i="5" s="1"/>
  <c r="DM38" i="5" s="1"/>
  <c r="DN38" i="5" s="1"/>
  <c r="DO38" i="5" s="1"/>
  <c r="DP38" i="5" s="1"/>
  <c r="DQ38" i="5" s="1"/>
  <c r="DR38" i="5" s="1"/>
  <c r="DS38" i="5" s="1"/>
  <c r="DD101" i="5"/>
  <c r="DD103" i="5" s="1"/>
  <c r="BP109" i="5"/>
  <c r="BP111" i="5" s="1"/>
  <c r="BP113" i="5" s="1"/>
  <c r="DF105" i="5"/>
  <c r="DG26" i="5"/>
  <c r="DH26" i="5" s="1"/>
  <c r="DI26" i="5" s="1"/>
  <c r="DJ26" i="5" s="1"/>
  <c r="DK26" i="5" s="1"/>
  <c r="DL26" i="5" s="1"/>
  <c r="DM26" i="5" s="1"/>
  <c r="DN26" i="5" s="1"/>
  <c r="DO26" i="5" s="1"/>
  <c r="DP26" i="5" s="1"/>
  <c r="DQ26" i="5" s="1"/>
  <c r="DR26" i="5" s="1"/>
  <c r="DS26" i="5" s="1"/>
  <c r="DG34" i="5"/>
  <c r="DH34" i="5" s="1"/>
  <c r="DI34" i="5" s="1"/>
  <c r="DJ34" i="5" s="1"/>
  <c r="DK34" i="5" s="1"/>
  <c r="DL34" i="5" s="1"/>
  <c r="DM34" i="5" s="1"/>
  <c r="DN34" i="5" s="1"/>
  <c r="DO34" i="5" s="1"/>
  <c r="DP34" i="5" s="1"/>
  <c r="DQ34" i="5" s="1"/>
  <c r="DR34" i="5" s="1"/>
  <c r="DS34" i="5" s="1"/>
  <c r="DG30" i="5"/>
  <c r="DH30" i="5" s="1"/>
  <c r="DI30" i="5" s="1"/>
  <c r="DJ30" i="5" s="1"/>
  <c r="DK30" i="5" s="1"/>
  <c r="DL30" i="5" s="1"/>
  <c r="DM30" i="5" s="1"/>
  <c r="DN30" i="5" s="1"/>
  <c r="DO30" i="5" s="1"/>
  <c r="DP30" i="5" s="1"/>
  <c r="DQ30" i="5" s="1"/>
  <c r="DR30" i="5" s="1"/>
  <c r="DS30" i="5" s="1"/>
  <c r="DF9" i="5"/>
  <c r="DF39" i="5"/>
  <c r="DG13" i="5"/>
  <c r="DH13" i="5" s="1"/>
  <c r="DI13" i="5" s="1"/>
  <c r="DJ13" i="5" s="1"/>
  <c r="DK13" i="5" s="1"/>
  <c r="DL13" i="5" s="1"/>
  <c r="DM13" i="5" s="1"/>
  <c r="DN13" i="5" s="1"/>
  <c r="DO13" i="5" s="1"/>
  <c r="DP13" i="5" s="1"/>
  <c r="DQ13" i="5" s="1"/>
  <c r="DR13" i="5" s="1"/>
  <c r="DS13" i="5" s="1"/>
  <c r="DF31" i="5"/>
  <c r="DG31" i="5"/>
  <c r="DH31" i="5" s="1"/>
  <c r="DI31" i="5" s="1"/>
  <c r="DJ31" i="5" s="1"/>
  <c r="DK31" i="5" s="1"/>
  <c r="DL31" i="5" s="1"/>
  <c r="DM31" i="5" s="1"/>
  <c r="DN31" i="5" s="1"/>
  <c r="DO31" i="5" s="1"/>
  <c r="DP31" i="5" s="1"/>
  <c r="DQ31" i="5" s="1"/>
  <c r="DR31" i="5" s="1"/>
  <c r="DS31" i="5" s="1"/>
  <c r="DG25" i="5"/>
  <c r="DG18" i="5"/>
  <c r="DH18" i="5" s="1"/>
  <c r="DI18" i="5" s="1"/>
  <c r="DJ18" i="5" s="1"/>
  <c r="DK18" i="5" s="1"/>
  <c r="DL18" i="5" s="1"/>
  <c r="DM18" i="5" s="1"/>
  <c r="DN18" i="5" s="1"/>
  <c r="DO18" i="5" s="1"/>
  <c r="DP18" i="5" s="1"/>
  <c r="DQ18" i="5" s="1"/>
  <c r="DR18" i="5" s="1"/>
  <c r="DS18" i="5" s="1"/>
  <c r="BV109" i="5"/>
  <c r="BV127" i="5" s="1"/>
  <c r="DG37" i="5"/>
  <c r="DH37" i="5" s="1"/>
  <c r="DI37" i="5" s="1"/>
  <c r="DJ37" i="5" s="1"/>
  <c r="DK37" i="5" s="1"/>
  <c r="DL37" i="5" s="1"/>
  <c r="DM37" i="5" s="1"/>
  <c r="DN37" i="5" s="1"/>
  <c r="DO37" i="5" s="1"/>
  <c r="DP37" i="5" s="1"/>
  <c r="DQ37" i="5" s="1"/>
  <c r="DR37" i="5" s="1"/>
  <c r="DS37" i="5" s="1"/>
  <c r="BX145" i="5"/>
  <c r="DF24" i="5"/>
  <c r="DG33" i="5"/>
  <c r="DH33" i="5" s="1"/>
  <c r="DI33" i="5" s="1"/>
  <c r="DJ33" i="5" s="1"/>
  <c r="DK33" i="5" s="1"/>
  <c r="DL33" i="5" s="1"/>
  <c r="DM33" i="5" s="1"/>
  <c r="DN33" i="5" s="1"/>
  <c r="DO33" i="5" s="1"/>
  <c r="DP33" i="5" s="1"/>
  <c r="DQ33" i="5" s="1"/>
  <c r="DR33" i="5" s="1"/>
  <c r="DS33" i="5" s="1"/>
  <c r="DG14" i="5"/>
  <c r="DH14" i="5" s="1"/>
  <c r="DI14" i="5" s="1"/>
  <c r="DJ14" i="5" s="1"/>
  <c r="DK14" i="5" s="1"/>
  <c r="DL14" i="5" s="1"/>
  <c r="DM14" i="5" s="1"/>
  <c r="DN14" i="5" s="1"/>
  <c r="DO14" i="5" s="1"/>
  <c r="DP14" i="5" s="1"/>
  <c r="DQ14" i="5" s="1"/>
  <c r="DR14" i="5" s="1"/>
  <c r="DS14" i="5" s="1"/>
  <c r="DG19" i="5"/>
  <c r="DG20" i="5"/>
  <c r="DG27" i="5"/>
  <c r="DH27" i="5" s="1"/>
  <c r="DI27" i="5" s="1"/>
  <c r="DJ27" i="5" s="1"/>
  <c r="DK27" i="5" s="1"/>
  <c r="DL27" i="5" s="1"/>
  <c r="DM27" i="5" s="1"/>
  <c r="DN27" i="5" s="1"/>
  <c r="DO27" i="5" s="1"/>
  <c r="DP27" i="5" s="1"/>
  <c r="DQ27" i="5" s="1"/>
  <c r="DR27" i="5" s="1"/>
  <c r="DS27" i="5" s="1"/>
  <c r="DF7" i="5"/>
  <c r="BS109" i="5"/>
  <c r="BS111" i="5" s="1"/>
  <c r="BS113" i="5" s="1"/>
  <c r="DF8" i="5"/>
  <c r="DF26" i="5"/>
  <c r="DG35" i="5"/>
  <c r="DH35" i="5" s="1"/>
  <c r="DI35" i="5" s="1"/>
  <c r="DJ35" i="5" s="1"/>
  <c r="DK35" i="5" s="1"/>
  <c r="DL35" i="5" s="1"/>
  <c r="DM35" i="5" s="1"/>
  <c r="DN35" i="5" s="1"/>
  <c r="DO35" i="5" s="1"/>
  <c r="DP35" i="5" s="1"/>
  <c r="DQ35" i="5" s="1"/>
  <c r="DR35" i="5" s="1"/>
  <c r="DS35" i="5" s="1"/>
  <c r="DG16" i="5"/>
  <c r="DG3" i="5"/>
  <c r="DG24" i="5"/>
  <c r="DG45" i="5"/>
  <c r="DH45" i="5" s="1"/>
  <c r="DI45" i="5" s="1"/>
  <c r="DJ45" i="5" s="1"/>
  <c r="DK45" i="5" s="1"/>
  <c r="DL45" i="5" s="1"/>
  <c r="DM45" i="5" s="1"/>
  <c r="DN45" i="5" s="1"/>
  <c r="DO45" i="5" s="1"/>
  <c r="DP45" i="5" s="1"/>
  <c r="DQ45" i="5" s="1"/>
  <c r="DR45" i="5" s="1"/>
  <c r="DS45" i="5" s="1"/>
  <c r="DG15" i="5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G23" i="5"/>
  <c r="DF14" i="5"/>
  <c r="DE32" i="5"/>
  <c r="DE101" i="5" s="1"/>
  <c r="DE103" i="5" s="1"/>
  <c r="DG17" i="5"/>
  <c r="DF46" i="5"/>
  <c r="BX159" i="5"/>
  <c r="DF33" i="5"/>
  <c r="DG46" i="5"/>
  <c r="DH46" i="5" s="1"/>
  <c r="DI46" i="5" s="1"/>
  <c r="DJ46" i="5" s="1"/>
  <c r="DK46" i="5" s="1"/>
  <c r="DL46" i="5" s="1"/>
  <c r="DM46" i="5" s="1"/>
  <c r="DN46" i="5" s="1"/>
  <c r="DO46" i="5" s="1"/>
  <c r="DP46" i="5" s="1"/>
  <c r="DQ46" i="5" s="1"/>
  <c r="DR46" i="5" s="1"/>
  <c r="DS46" i="5" s="1"/>
  <c r="DG28" i="5"/>
  <c r="DH28" i="5" s="1"/>
  <c r="DI28" i="5" s="1"/>
  <c r="DJ28" i="5" s="1"/>
  <c r="DK28" i="5" s="1"/>
  <c r="DL28" i="5" s="1"/>
  <c r="DM28" i="5" s="1"/>
  <c r="DN28" i="5" s="1"/>
  <c r="DO28" i="5" s="1"/>
  <c r="DP28" i="5" s="1"/>
  <c r="DQ28" i="5" s="1"/>
  <c r="DR28" i="5" s="1"/>
  <c r="DS28" i="5" s="1"/>
  <c r="DG21" i="5"/>
  <c r="DG29" i="5"/>
  <c r="DH29" i="5" s="1"/>
  <c r="DI29" i="5" s="1"/>
  <c r="DJ29" i="5" s="1"/>
  <c r="DK29" i="5" s="1"/>
  <c r="DL29" i="5" s="1"/>
  <c r="DM29" i="5" s="1"/>
  <c r="DN29" i="5" s="1"/>
  <c r="DO29" i="5" s="1"/>
  <c r="DP29" i="5" s="1"/>
  <c r="DQ29" i="5" s="1"/>
  <c r="DR29" i="5" s="1"/>
  <c r="DS29" i="5" s="1"/>
  <c r="DF15" i="5"/>
  <c r="DG41" i="5"/>
  <c r="BQ123" i="5"/>
  <c r="BQ107" i="5"/>
  <c r="BQ109" i="5" s="1"/>
  <c r="BQ111" i="5" s="1"/>
  <c r="BQ113" i="5" s="1"/>
  <c r="BW101" i="5"/>
  <c r="BW103" i="5" s="1"/>
  <c r="BW107" i="5" s="1"/>
  <c r="BW109" i="5" s="1"/>
  <c r="DF23" i="5"/>
  <c r="DF16" i="5"/>
  <c r="DF25" i="5"/>
  <c r="DF40" i="5"/>
  <c r="DG40" i="5"/>
  <c r="DH40" i="5" s="1"/>
  <c r="DI40" i="5" s="1"/>
  <c r="DJ40" i="5" s="1"/>
  <c r="DK40" i="5" s="1"/>
  <c r="DL40" i="5" s="1"/>
  <c r="DM40" i="5" s="1"/>
  <c r="DN40" i="5" s="1"/>
  <c r="DO40" i="5" s="1"/>
  <c r="DP40" i="5" s="1"/>
  <c r="DQ40" i="5" s="1"/>
  <c r="DR40" i="5" s="1"/>
  <c r="DS40" i="5" s="1"/>
  <c r="DG39" i="5"/>
  <c r="DF17" i="5"/>
  <c r="DF41" i="5"/>
  <c r="DF10" i="5"/>
  <c r="DF18" i="5"/>
  <c r="DF27" i="5"/>
  <c r="DF35" i="5"/>
  <c r="DF42" i="5"/>
  <c r="DG42" i="5"/>
  <c r="BN123" i="5"/>
  <c r="DF11" i="5"/>
  <c r="DF19" i="5"/>
  <c r="DF28" i="5"/>
  <c r="DF22" i="5"/>
  <c r="DF3" i="5"/>
  <c r="DG22" i="5"/>
  <c r="DH22" i="5" s="1"/>
  <c r="DI22" i="5" s="1"/>
  <c r="DJ22" i="5" s="1"/>
  <c r="DK22" i="5" s="1"/>
  <c r="DL22" i="5" s="1"/>
  <c r="DM22" i="5" s="1"/>
  <c r="DN22" i="5" s="1"/>
  <c r="DO22" i="5" s="1"/>
  <c r="BS123" i="5"/>
  <c r="DF12" i="5"/>
  <c r="DF20" i="5"/>
  <c r="DF29" i="5"/>
  <c r="DF36" i="5"/>
  <c r="DF44" i="5"/>
  <c r="DG12" i="5"/>
  <c r="DG36" i="5"/>
  <c r="DH36" i="5" s="1"/>
  <c r="DI36" i="5" s="1"/>
  <c r="DJ36" i="5" s="1"/>
  <c r="DK36" i="5" s="1"/>
  <c r="DL36" i="5" s="1"/>
  <c r="DM36" i="5" s="1"/>
  <c r="DN36" i="5" s="1"/>
  <c r="DO36" i="5" s="1"/>
  <c r="DP36" i="5" s="1"/>
  <c r="DQ36" i="5" s="1"/>
  <c r="DR36" i="5" s="1"/>
  <c r="DS36" i="5" s="1"/>
  <c r="DG44" i="5"/>
  <c r="DH44" i="5" s="1"/>
  <c r="DI44" i="5" s="1"/>
  <c r="DJ44" i="5" s="1"/>
  <c r="DK44" i="5" s="1"/>
  <c r="DL44" i="5" s="1"/>
  <c r="DM44" i="5" s="1"/>
  <c r="DN44" i="5" s="1"/>
  <c r="DO44" i="5" s="1"/>
  <c r="DP44" i="5" s="1"/>
  <c r="DQ44" i="5" s="1"/>
  <c r="DR44" i="5" s="1"/>
  <c r="DS44" i="5" s="1"/>
  <c r="DF5" i="5"/>
  <c r="DF13" i="5"/>
  <c r="DF21" i="5"/>
  <c r="DF30" i="5"/>
  <c r="DF37" i="5"/>
  <c r="DF45" i="5"/>
  <c r="BO107" i="5"/>
  <c r="BO109" i="5" s="1"/>
  <c r="BO111" i="5" s="1"/>
  <c r="BO113" i="5" s="1"/>
  <c r="BO123" i="5"/>
  <c r="BP123" i="5"/>
  <c r="CA32" i="5"/>
  <c r="CA8" i="5"/>
  <c r="CD32" i="5"/>
  <c r="BR103" i="5"/>
  <c r="CA7" i="5"/>
  <c r="DF112" i="5"/>
  <c r="DG112" i="5" s="1"/>
  <c r="DH112" i="5" s="1"/>
  <c r="DI112" i="5" s="1"/>
  <c r="BX101" i="5"/>
  <c r="BX103" i="5" s="1"/>
  <c r="BX107" i="5" s="1"/>
  <c r="BX109" i="5" s="1"/>
  <c r="CC5" i="5"/>
  <c r="DG5" i="5" s="1"/>
  <c r="DL5" i="5" s="1"/>
  <c r="DM5" i="5" s="1"/>
  <c r="DN5" i="5" s="1"/>
  <c r="DO5" i="5" s="1"/>
  <c r="DP5" i="5" s="1"/>
  <c r="DQ5" i="5" s="1"/>
  <c r="DR5" i="5" s="1"/>
  <c r="DS5" i="5" s="1"/>
  <c r="BV115" i="5"/>
  <c r="BU115" i="5"/>
  <c r="CC9" i="5"/>
  <c r="DG9" i="5" s="1"/>
  <c r="DH9" i="5" s="1"/>
  <c r="DI9" i="5" s="1"/>
  <c r="DJ9" i="5" s="1"/>
  <c r="DK9" i="5" s="1"/>
  <c r="DL9" i="5" s="1"/>
  <c r="DM9" i="5" s="1"/>
  <c r="DN9" i="5" s="1"/>
  <c r="DO9" i="5" s="1"/>
  <c r="CC11" i="5"/>
  <c r="DG11" i="5" s="1"/>
  <c r="DH11" i="5" s="1"/>
  <c r="DI11" i="5" s="1"/>
  <c r="DJ11" i="5" s="1"/>
  <c r="DK11" i="5" s="1"/>
  <c r="DL11" i="5" s="1"/>
  <c r="DM11" i="5" s="1"/>
  <c r="DN11" i="5" s="1"/>
  <c r="DO11" i="5" s="1"/>
  <c r="DP11" i="5" s="1"/>
  <c r="DQ11" i="5" s="1"/>
  <c r="DR11" i="5" s="1"/>
  <c r="DS11" i="5" s="1"/>
  <c r="CA43" i="5"/>
  <c r="BT115" i="5"/>
  <c r="BS115" i="5"/>
  <c r="CA6" i="5"/>
  <c r="BN109" i="5"/>
  <c r="BN111" i="5" s="1"/>
  <c r="BN113" i="5" s="1"/>
  <c r="CC10" i="5"/>
  <c r="BT107" i="5"/>
  <c r="BT109" i="5" s="1"/>
  <c r="BT111" i="5" s="1"/>
  <c r="BT113" i="5" s="1"/>
  <c r="BU107" i="5"/>
  <c r="BU109" i="5" s="1"/>
  <c r="BU111" i="5" s="1"/>
  <c r="BU113" i="5" s="1"/>
  <c r="BV123" i="5"/>
  <c r="AR108" i="5"/>
  <c r="AR106" i="5"/>
  <c r="AR10" i="5"/>
  <c r="AR101" i="5" s="1"/>
  <c r="AR103" i="5" s="1"/>
  <c r="AQ101" i="5"/>
  <c r="DE107" i="5" l="1"/>
  <c r="DE109" i="5" s="1"/>
  <c r="DE111" i="5" s="1"/>
  <c r="DE123" i="5"/>
  <c r="DD107" i="5"/>
  <c r="DD109" i="5" s="1"/>
  <c r="DD111" i="5" s="1"/>
  <c r="DD123" i="5"/>
  <c r="BV111" i="5"/>
  <c r="BV113" i="5" s="1"/>
  <c r="DJ112" i="5"/>
  <c r="BW115" i="5"/>
  <c r="BW123" i="5"/>
  <c r="BW127" i="5"/>
  <c r="BW111" i="5"/>
  <c r="BW113" i="5" s="1"/>
  <c r="CB43" i="5"/>
  <c r="CC43" i="5" s="1"/>
  <c r="CD43" i="5" s="1"/>
  <c r="BZ101" i="5"/>
  <c r="DF32" i="5"/>
  <c r="BR107" i="5"/>
  <c r="BR109" i="5" s="1"/>
  <c r="BR111" i="5" s="1"/>
  <c r="BR113" i="5" s="1"/>
  <c r="BR123" i="5"/>
  <c r="CB7" i="5"/>
  <c r="CC7" i="5" s="1"/>
  <c r="DG32" i="5"/>
  <c r="DH32" i="5" s="1"/>
  <c r="DI32" i="5" s="1"/>
  <c r="DJ32" i="5" s="1"/>
  <c r="DK32" i="5" s="1"/>
  <c r="DL32" i="5" s="1"/>
  <c r="DM32" i="5" s="1"/>
  <c r="DN32" i="5" s="1"/>
  <c r="DO32" i="5" s="1"/>
  <c r="DP32" i="5" s="1"/>
  <c r="DQ32" i="5" s="1"/>
  <c r="DR32" i="5" s="1"/>
  <c r="DS32" i="5" s="1"/>
  <c r="BX111" i="5"/>
  <c r="BX113" i="5" s="1"/>
  <c r="BX127" i="5"/>
  <c r="CB8" i="5"/>
  <c r="CC8" i="5" s="1"/>
  <c r="CD8" i="5" s="1"/>
  <c r="DF43" i="5"/>
  <c r="CA101" i="5"/>
  <c r="CA103" i="5" s="1"/>
  <c r="CB6" i="5"/>
  <c r="CC6" i="5" s="1"/>
  <c r="BY101" i="5"/>
  <c r="BY103" i="5" s="1"/>
  <c r="CA112" i="5"/>
  <c r="BX115" i="5"/>
  <c r="BX123" i="5"/>
  <c r="CD10" i="5"/>
  <c r="DG10" i="5" s="1"/>
  <c r="AR107" i="5"/>
  <c r="AR109" i="5" s="1"/>
  <c r="AR111" i="5" s="1"/>
  <c r="AR113" i="5" s="1"/>
  <c r="AP101" i="5"/>
  <c r="BZ115" i="5" l="1"/>
  <c r="BZ103" i="5"/>
  <c r="DG43" i="5"/>
  <c r="DH43" i="5" s="1"/>
  <c r="DI43" i="5" s="1"/>
  <c r="DJ43" i="5" s="1"/>
  <c r="DK43" i="5" s="1"/>
  <c r="DL43" i="5" s="1"/>
  <c r="DM43" i="5" s="1"/>
  <c r="DN43" i="5" s="1"/>
  <c r="DO43" i="5" s="1"/>
  <c r="DP43" i="5" s="1"/>
  <c r="DQ43" i="5" s="1"/>
  <c r="DR43" i="5" s="1"/>
  <c r="DS43" i="5" s="1"/>
  <c r="BZ107" i="5"/>
  <c r="BZ109" i="5" s="1"/>
  <c r="DK112" i="5"/>
  <c r="DF101" i="5"/>
  <c r="CA107" i="5"/>
  <c r="CA109" i="5" s="1"/>
  <c r="CA110" i="5" s="1"/>
  <c r="CA111" i="5" s="1"/>
  <c r="CA113" i="5" s="1"/>
  <c r="CA123" i="5"/>
  <c r="CD6" i="5"/>
  <c r="DG6" i="5" s="1"/>
  <c r="CC101" i="5"/>
  <c r="CC115" i="5" s="1"/>
  <c r="DG8" i="5"/>
  <c r="DH8" i="5" s="1"/>
  <c r="DI8" i="5" s="1"/>
  <c r="DJ8" i="5" s="1"/>
  <c r="DK8" i="5" s="1"/>
  <c r="DL8" i="5" s="1"/>
  <c r="DM8" i="5" s="1"/>
  <c r="DN8" i="5" s="1"/>
  <c r="DO8" i="5" s="1"/>
  <c r="CD7" i="5"/>
  <c r="DG7" i="5" s="1"/>
  <c r="DH7" i="5" s="1"/>
  <c r="DI7" i="5" s="1"/>
  <c r="DJ7" i="5" s="1"/>
  <c r="DK7" i="5" s="1"/>
  <c r="DL7" i="5" s="1"/>
  <c r="DM7" i="5" s="1"/>
  <c r="DN7" i="5" s="1"/>
  <c r="DO7" i="5" s="1"/>
  <c r="CB101" i="5"/>
  <c r="CB115" i="5" s="1"/>
  <c r="BZ123" i="5"/>
  <c r="DF103" i="5"/>
  <c r="BY115" i="5"/>
  <c r="CA115" i="5"/>
  <c r="CA102" i="5"/>
  <c r="CD101" i="5"/>
  <c r="CB112" i="5"/>
  <c r="AF118" i="5"/>
  <c r="AF117" i="5"/>
  <c r="AF110" i="5"/>
  <c r="AF108" i="5"/>
  <c r="AF32" i="5"/>
  <c r="AF59" i="5"/>
  <c r="AF52" i="5"/>
  <c r="AF63" i="5"/>
  <c r="AF56" i="5"/>
  <c r="AF57" i="5"/>
  <c r="AF58" i="5"/>
  <c r="AF39" i="5"/>
  <c r="AG110" i="5"/>
  <c r="AG108" i="5"/>
  <c r="AG32" i="5"/>
  <c r="AG59" i="5"/>
  <c r="AG52" i="5"/>
  <c r="AG63" i="5"/>
  <c r="AG56" i="5"/>
  <c r="AG57" i="5"/>
  <c r="AG58" i="5"/>
  <c r="AG39" i="5"/>
  <c r="AH110" i="5"/>
  <c r="AH108" i="5"/>
  <c r="AH32" i="5"/>
  <c r="AH59" i="5"/>
  <c r="AH52" i="5"/>
  <c r="AH63" i="5"/>
  <c r="AH56" i="5"/>
  <c r="AH57" i="5"/>
  <c r="AH58" i="5"/>
  <c r="AH39" i="5"/>
  <c r="AI110" i="5"/>
  <c r="AI108" i="5"/>
  <c r="AI106" i="5"/>
  <c r="AI10" i="5"/>
  <c r="AI59" i="5"/>
  <c r="AI32" i="5"/>
  <c r="AI55" i="5"/>
  <c r="AI52" i="5"/>
  <c r="AI56" i="5"/>
  <c r="AI63" i="5"/>
  <c r="AI57" i="5"/>
  <c r="AI58" i="5"/>
  <c r="AI39" i="5"/>
  <c r="AJ10" i="5"/>
  <c r="AJ101" i="5" s="1"/>
  <c r="BZ111" i="5" l="1"/>
  <c r="BZ113" i="5" s="1"/>
  <c r="BZ127" i="5"/>
  <c r="CC103" i="5"/>
  <c r="CC102" i="5" s="1"/>
  <c r="DH6" i="5"/>
  <c r="DI6" i="5" s="1"/>
  <c r="DJ6" i="5" s="1"/>
  <c r="DK6" i="5" s="1"/>
  <c r="DL6" i="5" s="1"/>
  <c r="DM6" i="5" s="1"/>
  <c r="DN6" i="5" s="1"/>
  <c r="DO6" i="5" s="1"/>
  <c r="DG101" i="5"/>
  <c r="DG103" i="5" s="1"/>
  <c r="DG123" i="5" s="1"/>
  <c r="CB103" i="5"/>
  <c r="DF102" i="5"/>
  <c r="DF123" i="5"/>
  <c r="DF107" i="5"/>
  <c r="DF109" i="5" s="1"/>
  <c r="DL112" i="5"/>
  <c r="CC107" i="5"/>
  <c r="CC109" i="5" s="1"/>
  <c r="CC110" i="5" s="1"/>
  <c r="CC111" i="5" s="1"/>
  <c r="CC123" i="5"/>
  <c r="CB107" i="5"/>
  <c r="CB109" i="5" s="1"/>
  <c r="CB110" i="5" s="1"/>
  <c r="CB111" i="5" s="1"/>
  <c r="CB113" i="5" s="1"/>
  <c r="CB123" i="5"/>
  <c r="BY107" i="5"/>
  <c r="BY109" i="5" s="1"/>
  <c r="BY127" i="5" s="1"/>
  <c r="BY123" i="5"/>
  <c r="CB102" i="5"/>
  <c r="CD115" i="5"/>
  <c r="CD103" i="5"/>
  <c r="CC112" i="5"/>
  <c r="AH101" i="5"/>
  <c r="AH103" i="5" s="1"/>
  <c r="AH123" i="5" s="1"/>
  <c r="AI101" i="5"/>
  <c r="AI103" i="5" s="1"/>
  <c r="AI107" i="5" s="1"/>
  <c r="AI109" i="5" s="1"/>
  <c r="AI111" i="5" s="1"/>
  <c r="CT105" i="5"/>
  <c r="CU79" i="5"/>
  <c r="CU62" i="5"/>
  <c r="CU82" i="5"/>
  <c r="CV82" i="5" s="1"/>
  <c r="CT17" i="5"/>
  <c r="CT53" i="5"/>
  <c r="CU53" i="5" s="1"/>
  <c r="CV53" i="5" s="1"/>
  <c r="CW53" i="5" s="1"/>
  <c r="CX53" i="5" s="1"/>
  <c r="DG104" i="5" l="1"/>
  <c r="BY111" i="5"/>
  <c r="DF110" i="5"/>
  <c r="DF111" i="5" s="1"/>
  <c r="DG102" i="5"/>
  <c r="DM112" i="5"/>
  <c r="CD107" i="5"/>
  <c r="CD109" i="5" s="1"/>
  <c r="CD110" i="5" s="1"/>
  <c r="CD111" i="5" s="1"/>
  <c r="CD123" i="5"/>
  <c r="CD102" i="5"/>
  <c r="CC113" i="5"/>
  <c r="CD112" i="5"/>
  <c r="AH124" i="5"/>
  <c r="AH125" i="5"/>
  <c r="CU66" i="5"/>
  <c r="CU76" i="5"/>
  <c r="CU83" i="5"/>
  <c r="AE108" i="5"/>
  <c r="CT92" i="5"/>
  <c r="CT79" i="5"/>
  <c r="CT91" i="5"/>
  <c r="CT76" i="5"/>
  <c r="CT65" i="5"/>
  <c r="CT61" i="5"/>
  <c r="CT86" i="5"/>
  <c r="CU86" i="5" s="1"/>
  <c r="CT87" i="5"/>
  <c r="CT80" i="5"/>
  <c r="CT54" i="5"/>
  <c r="AE37" i="5"/>
  <c r="AE59" i="5"/>
  <c r="AE58" i="5"/>
  <c r="AE63" i="5"/>
  <c r="AE57" i="5"/>
  <c r="AE39" i="5"/>
  <c r="AE32" i="5"/>
  <c r="AE52" i="5"/>
  <c r="AE29" i="5"/>
  <c r="BY130" i="5" l="1"/>
  <c r="BZ130" i="5" s="1"/>
  <c r="CA130" i="5" s="1"/>
  <c r="DF130" i="5" s="1"/>
  <c r="DG108" i="5" s="1"/>
  <c r="BY113" i="5"/>
  <c r="BY145" i="5"/>
  <c r="BZ145" i="5" s="1"/>
  <c r="CA145" i="5" s="1"/>
  <c r="CB145" i="5" s="1"/>
  <c r="CC145" i="5" s="1"/>
  <c r="DN112" i="5"/>
  <c r="CD113" i="5"/>
  <c r="AD104" i="5"/>
  <c r="AD108" i="5"/>
  <c r="AD37" i="5"/>
  <c r="AD29" i="5"/>
  <c r="AC29" i="5"/>
  <c r="AD59" i="5"/>
  <c r="AD58" i="5"/>
  <c r="AD63" i="5"/>
  <c r="AD57" i="5"/>
  <c r="AD39" i="5"/>
  <c r="AD32" i="5"/>
  <c r="AD52" i="5"/>
  <c r="DO112" i="5" l="1"/>
  <c r="CU92" i="5"/>
  <c r="CS17" i="5"/>
  <c r="AC102" i="5"/>
  <c r="CT102" i="5" s="1"/>
  <c r="W117" i="5"/>
  <c r="CS112" i="5"/>
  <c r="CS106" i="5"/>
  <c r="CS105" i="5"/>
  <c r="CS104" i="5"/>
  <c r="CS102" i="5"/>
  <c r="X216" i="5"/>
  <c r="X212" i="5"/>
  <c r="X210" i="5"/>
  <c r="X208" i="5"/>
  <c r="X206" i="5"/>
  <c r="T204" i="5"/>
  <c r="X191" i="5"/>
  <c r="Y191" i="5" s="1"/>
  <c r="Z191" i="5" s="1"/>
  <c r="X190" i="5"/>
  <c r="Y190" i="5" s="1"/>
  <c r="Z190" i="5" s="1"/>
  <c r="X185" i="5"/>
  <c r="Y185" i="5" s="1"/>
  <c r="X174" i="5"/>
  <c r="Y174" i="5" s="1"/>
  <c r="Z174" i="5" s="1"/>
  <c r="X173" i="5"/>
  <c r="X181" i="5"/>
  <c r="Y181" i="5" s="1"/>
  <c r="Z181" i="5" s="1"/>
  <c r="X179" i="5"/>
  <c r="Y179" i="5" s="1"/>
  <c r="Z179" i="5" s="1"/>
  <c r="X178" i="5"/>
  <c r="Y178" i="5" s="1"/>
  <c r="Z178" i="5" s="1"/>
  <c r="X177" i="5"/>
  <c r="Y177" i="5" s="1"/>
  <c r="Z177" i="5" s="1"/>
  <c r="X176" i="5"/>
  <c r="Y176" i="5" s="1"/>
  <c r="Z176" i="5" s="1"/>
  <c r="W216" i="5"/>
  <c r="W212" i="5"/>
  <c r="W210" i="5"/>
  <c r="W208" i="5"/>
  <c r="W206" i="5"/>
  <c r="S204" i="5"/>
  <c r="W189" i="5"/>
  <c r="W192" i="5" s="1"/>
  <c r="W187" i="5"/>
  <c r="X187" i="5" s="1"/>
  <c r="Y187" i="5" s="1"/>
  <c r="Z187" i="5" s="1"/>
  <c r="W186" i="5"/>
  <c r="X186" i="5" s="1"/>
  <c r="Y186" i="5" s="1"/>
  <c r="Z186" i="5" s="1"/>
  <c r="W183" i="5"/>
  <c r="X183" i="5" s="1"/>
  <c r="Y183" i="5" s="1"/>
  <c r="W175" i="5"/>
  <c r="X175" i="5" s="1"/>
  <c r="Y175" i="5" s="1"/>
  <c r="Z175" i="5" s="1"/>
  <c r="CT64" i="5"/>
  <c r="CS73" i="5"/>
  <c r="Y216" i="5"/>
  <c r="Y212" i="5"/>
  <c r="U204" i="5"/>
  <c r="Y210" i="5"/>
  <c r="Y208" i="5"/>
  <c r="Y206" i="5"/>
  <c r="AD118" i="5"/>
  <c r="AE112" i="5"/>
  <c r="DP112" i="5" l="1"/>
  <c r="CU17" i="5"/>
  <c r="CV17" i="5" s="1"/>
  <c r="CW17" i="5" s="1"/>
  <c r="CX17" i="5" s="1"/>
  <c r="CY17" i="5" s="1"/>
  <c r="CZ17" i="5" s="1"/>
  <c r="DA17" i="5" s="1"/>
  <c r="DH17" i="5" s="1"/>
  <c r="DI17" i="5" s="1"/>
  <c r="DJ17" i="5" s="1"/>
  <c r="DK17" i="5" s="1"/>
  <c r="DL17" i="5" s="1"/>
  <c r="DM17" i="5" s="1"/>
  <c r="DN17" i="5" s="1"/>
  <c r="DO17" i="5" s="1"/>
  <c r="DP17" i="5" s="1"/>
  <c r="DQ17" i="5" s="1"/>
  <c r="DR17" i="5" s="1"/>
  <c r="DS17" i="5" s="1"/>
  <c r="CU54" i="5"/>
  <c r="X180" i="5"/>
  <c r="X182" i="5" s="1"/>
  <c r="X184" i="5" s="1"/>
  <c r="Y173" i="5"/>
  <c r="Z173" i="5" s="1"/>
  <c r="Z180" i="5" s="1"/>
  <c r="Z182" i="5" s="1"/>
  <c r="W188" i="5"/>
  <c r="W180" i="5"/>
  <c r="W182" i="5" s="1"/>
  <c r="W184" i="5" s="1"/>
  <c r="Z183" i="5"/>
  <c r="Y188" i="5"/>
  <c r="Z185" i="5"/>
  <c r="Z188" i="5" s="1"/>
  <c r="X189" i="5"/>
  <c r="X188" i="5"/>
  <c r="Z206" i="5"/>
  <c r="V204" i="5"/>
  <c r="Z216" i="5"/>
  <c r="Z212" i="5"/>
  <c r="Z210" i="5"/>
  <c r="Z208" i="5"/>
  <c r="Z204" i="5"/>
  <c r="AB216" i="5"/>
  <c r="AB214" i="5"/>
  <c r="AB212" i="5"/>
  <c r="AB210" i="5"/>
  <c r="AB208" i="5"/>
  <c r="AB206" i="5"/>
  <c r="AB204" i="5"/>
  <c r="X204" i="5"/>
  <c r="AB191" i="5"/>
  <c r="AB190" i="5"/>
  <c r="AB185" i="5"/>
  <c r="AB137" i="5"/>
  <c r="AB139" i="5"/>
  <c r="AB138" i="5"/>
  <c r="DQ112" i="5" l="1"/>
  <c r="CU81" i="5"/>
  <c r="Y180" i="5"/>
  <c r="Y182" i="5" s="1"/>
  <c r="Y184" i="5" s="1"/>
  <c r="CU39" i="5"/>
  <c r="CU80" i="5"/>
  <c r="CU60" i="5"/>
  <c r="CU64" i="5"/>
  <c r="CU37" i="5"/>
  <c r="Y189" i="5"/>
  <c r="X192" i="5"/>
  <c r="Z184" i="5"/>
  <c r="AB140" i="5"/>
  <c r="AB142" i="5" s="1"/>
  <c r="DR112" i="5" l="1"/>
  <c r="Y192" i="5"/>
  <c r="Z189" i="5"/>
  <c r="Z192" i="5" s="1"/>
  <c r="AA3" i="5"/>
  <c r="AE117" i="5" s="1"/>
  <c r="AA189" i="5"/>
  <c r="AB189" i="5" s="1"/>
  <c r="AB192" i="5" s="1"/>
  <c r="AA187" i="5"/>
  <c r="AB187" i="5" s="1"/>
  <c r="AA186" i="5"/>
  <c r="AB186" i="5" s="1"/>
  <c r="AB181" i="5"/>
  <c r="AC181" i="5" s="1"/>
  <c r="AB179" i="5"/>
  <c r="AC179" i="5" s="1"/>
  <c r="AB178" i="5"/>
  <c r="AC178" i="5" s="1"/>
  <c r="AB177" i="5"/>
  <c r="AC177" i="5" s="1"/>
  <c r="AB176" i="5"/>
  <c r="AC176" i="5" s="1"/>
  <c r="AB175" i="5"/>
  <c r="AC175" i="5" s="1"/>
  <c r="AB174" i="5"/>
  <c r="AC174" i="5" s="1"/>
  <c r="AB167" i="5"/>
  <c r="AB164" i="5"/>
  <c r="AB165" i="5"/>
  <c r="AB161" i="5"/>
  <c r="AB157" i="5"/>
  <c r="AB148" i="5"/>
  <c r="AC163" i="5"/>
  <c r="AC161" i="5"/>
  <c r="AC165" i="5"/>
  <c r="AC164" i="5"/>
  <c r="AC157" i="5"/>
  <c r="AC148" i="5"/>
  <c r="CS4" i="5"/>
  <c r="AE118" i="5"/>
  <c r="AE131" i="5"/>
  <c r="AF131" i="5" s="1"/>
  <c r="AD134" i="5"/>
  <c r="AC134" i="5"/>
  <c r="AC4" i="5"/>
  <c r="AC118" i="5" s="1"/>
  <c r="AC23" i="5"/>
  <c r="AC3" i="5"/>
  <c r="AB134" i="5"/>
  <c r="AA134" i="5"/>
  <c r="AD133" i="5"/>
  <c r="AC133" i="5"/>
  <c r="AB133" i="5"/>
  <c r="AA133" i="5"/>
  <c r="Z133" i="5"/>
  <c r="Y133" i="5"/>
  <c r="X133" i="5"/>
  <c r="Z134" i="5"/>
  <c r="Y134" i="5"/>
  <c r="X134" i="5"/>
  <c r="W134" i="5"/>
  <c r="V134" i="5"/>
  <c r="CM118" i="5"/>
  <c r="CN118" i="5"/>
  <c r="CO118" i="5"/>
  <c r="CR105" i="5"/>
  <c r="CQ105" i="5"/>
  <c r="CU105" i="5"/>
  <c r="CV105" i="5" s="1"/>
  <c r="CS30" i="5"/>
  <c r="AD117" i="5"/>
  <c r="CS3" i="5"/>
  <c r="AC110" i="5"/>
  <c r="AC108" i="5"/>
  <c r="AC37" i="5"/>
  <c r="AC59" i="5"/>
  <c r="AC58" i="5"/>
  <c r="AC63" i="5"/>
  <c r="AC57" i="5"/>
  <c r="AC56" i="5"/>
  <c r="AB29" i="5"/>
  <c r="AC32" i="5"/>
  <c r="AC52" i="5"/>
  <c r="CT108" i="5"/>
  <c r="AB118" i="5"/>
  <c r="AB117" i="5"/>
  <c r="AB104" i="5"/>
  <c r="CT104" i="5" s="1"/>
  <c r="AB110" i="5"/>
  <c r="AB108" i="5"/>
  <c r="AB59" i="5"/>
  <c r="AB58" i="5"/>
  <c r="AB57" i="5"/>
  <c r="AB56" i="5"/>
  <c r="AB39" i="5"/>
  <c r="AB63" i="5"/>
  <c r="AB37" i="5"/>
  <c r="AB32" i="5"/>
  <c r="AB52" i="5"/>
  <c r="CP110" i="5"/>
  <c r="CP108" i="5"/>
  <c r="CQ112" i="5"/>
  <c r="CQ104" i="5"/>
  <c r="O167" i="5"/>
  <c r="O166" i="5"/>
  <c r="O164" i="5"/>
  <c r="O161" i="5"/>
  <c r="O157" i="5"/>
  <c r="O148" i="5"/>
  <c r="F113" i="5"/>
  <c r="G113" i="5"/>
  <c r="H113" i="5"/>
  <c r="I113" i="5"/>
  <c r="J113" i="5"/>
  <c r="K110" i="5"/>
  <c r="O110" i="5"/>
  <c r="K108" i="5"/>
  <c r="O106" i="5"/>
  <c r="P167" i="5"/>
  <c r="P164" i="5"/>
  <c r="P161" i="5"/>
  <c r="P157" i="5"/>
  <c r="P148" i="5"/>
  <c r="L110" i="5"/>
  <c r="L108" i="5"/>
  <c r="P110" i="5"/>
  <c r="P106" i="5"/>
  <c r="Q167" i="5"/>
  <c r="Q164" i="5"/>
  <c r="Q161" i="5"/>
  <c r="Q157" i="5"/>
  <c r="Q148" i="5"/>
  <c r="Q110" i="5"/>
  <c r="R194" i="5"/>
  <c r="R167" i="5"/>
  <c r="R164" i="5"/>
  <c r="R161" i="5"/>
  <c r="R157" i="5"/>
  <c r="R148" i="5"/>
  <c r="S167" i="5"/>
  <c r="S164" i="5"/>
  <c r="S161" i="5"/>
  <c r="S157" i="5"/>
  <c r="S148" i="5"/>
  <c r="AA110" i="5"/>
  <c r="Z110" i="5"/>
  <c r="Y110" i="5"/>
  <c r="X110" i="5"/>
  <c r="W110" i="5"/>
  <c r="V110" i="5"/>
  <c r="U110" i="5"/>
  <c r="T110" i="5"/>
  <c r="S110" i="5"/>
  <c r="T167" i="5"/>
  <c r="T164" i="5"/>
  <c r="T161" i="5"/>
  <c r="T157" i="5"/>
  <c r="T148" i="5"/>
  <c r="U164" i="5"/>
  <c r="U167" i="5"/>
  <c r="U161" i="5"/>
  <c r="U157" i="5"/>
  <c r="U148" i="5"/>
  <c r="CR112" i="5"/>
  <c r="CR106" i="5"/>
  <c r="CR104" i="5"/>
  <c r="V133" i="5"/>
  <c r="V167" i="5"/>
  <c r="V164" i="5"/>
  <c r="V161" i="5"/>
  <c r="V157" i="5"/>
  <c r="V148" i="5"/>
  <c r="V108" i="5"/>
  <c r="W139" i="5"/>
  <c r="X139" i="5" s="1"/>
  <c r="W138" i="5"/>
  <c r="X138" i="5" s="1"/>
  <c r="W167" i="5"/>
  <c r="W165" i="5"/>
  <c r="W161" i="5"/>
  <c r="W157" i="5"/>
  <c r="W148" i="5"/>
  <c r="X137" i="5"/>
  <c r="X136" i="5"/>
  <c r="X194" i="5"/>
  <c r="Y194" i="5" s="1"/>
  <c r="Z194" i="5" s="1"/>
  <c r="X167" i="5"/>
  <c r="X164" i="5"/>
  <c r="X161" i="5"/>
  <c r="X157" i="5"/>
  <c r="X148" i="5"/>
  <c r="X59" i="5"/>
  <c r="Y204" i="5"/>
  <c r="Y108" i="5"/>
  <c r="Y167" i="5"/>
  <c r="Y164" i="5"/>
  <c r="Y161" i="5"/>
  <c r="Y157" i="5"/>
  <c r="Y148" i="5"/>
  <c r="Y139" i="5"/>
  <c r="Y138" i="5"/>
  <c r="Y118" i="5"/>
  <c r="Y117" i="5"/>
  <c r="Y59" i="5"/>
  <c r="Y32" i="5"/>
  <c r="Y58" i="5"/>
  <c r="Z138" i="5"/>
  <c r="Z139" i="5"/>
  <c r="Z137" i="5"/>
  <c r="AA204" i="5"/>
  <c r="Z167" i="5"/>
  <c r="Z164" i="5"/>
  <c r="Z161" i="5"/>
  <c r="Z157" i="5"/>
  <c r="Z148" i="5"/>
  <c r="Z118" i="5"/>
  <c r="Z117" i="5"/>
  <c r="AA118" i="5"/>
  <c r="AD95" i="5"/>
  <c r="AE95" i="5" s="1"/>
  <c r="AD90" i="5"/>
  <c r="W133" i="5"/>
  <c r="CS70" i="5"/>
  <c r="CS60" i="5"/>
  <c r="AA210" i="5"/>
  <c r="AA216" i="5"/>
  <c r="AA214" i="5"/>
  <c r="AA212" i="5"/>
  <c r="AA208" i="5"/>
  <c r="AA206" i="5"/>
  <c r="W204" i="5"/>
  <c r="CS86" i="5"/>
  <c r="CO59" i="5"/>
  <c r="CO101" i="5" s="1"/>
  <c r="CN59" i="5"/>
  <c r="CN101" i="5" s="1"/>
  <c r="CM59" i="5"/>
  <c r="CM101" i="5" s="1"/>
  <c r="CM125" i="5" s="1"/>
  <c r="T59" i="5"/>
  <c r="S59" i="5"/>
  <c r="R59" i="5"/>
  <c r="Q59" i="5"/>
  <c r="P59" i="5"/>
  <c r="O59" i="5"/>
  <c r="N59" i="5"/>
  <c r="M59" i="5"/>
  <c r="L59" i="5"/>
  <c r="K59" i="5"/>
  <c r="J59" i="5"/>
  <c r="J101" i="5" s="1"/>
  <c r="J115" i="5" s="1"/>
  <c r="C59" i="5"/>
  <c r="C100" i="5" s="1"/>
  <c r="D59" i="5"/>
  <c r="E59" i="5"/>
  <c r="F59" i="5"/>
  <c r="G59" i="5"/>
  <c r="G101" i="5" s="1"/>
  <c r="H59" i="5"/>
  <c r="H101" i="5" s="1"/>
  <c r="I59" i="5"/>
  <c r="I101" i="5" s="1"/>
  <c r="I115" i="5" s="1"/>
  <c r="U59" i="5"/>
  <c r="V59" i="5"/>
  <c r="W59" i="5"/>
  <c r="Z59" i="5"/>
  <c r="AA183" i="5"/>
  <c r="AA173" i="5"/>
  <c r="AB173" i="5" s="1"/>
  <c r="AC173" i="5" s="1"/>
  <c r="AA163" i="5"/>
  <c r="AA165" i="5"/>
  <c r="AA161" i="5"/>
  <c r="AA157" i="5"/>
  <c r="AA152" i="5"/>
  <c r="AA148" i="5"/>
  <c r="AA147" i="5"/>
  <c r="AA139" i="5"/>
  <c r="AA138" i="5"/>
  <c r="CR48" i="5"/>
  <c r="CQ48" i="5"/>
  <c r="CP48" i="5"/>
  <c r="AA48" i="5"/>
  <c r="AB112" i="5"/>
  <c r="CT112" i="5" s="1"/>
  <c r="CT60" i="5"/>
  <c r="CV60" i="5" s="1"/>
  <c r="CW60" i="5" s="1"/>
  <c r="CX60" i="5" s="1"/>
  <c r="CY60" i="5" s="1"/>
  <c r="CZ60" i="5" s="1"/>
  <c r="DA60" i="5" s="1"/>
  <c r="DB60" i="5" s="1"/>
  <c r="K27" i="34"/>
  <c r="K21" i="34"/>
  <c r="K16" i="34"/>
  <c r="K10" i="34"/>
  <c r="CT41" i="5"/>
  <c r="CY53" i="5"/>
  <c r="CZ53" i="5" s="1"/>
  <c r="DA53" i="5" s="1"/>
  <c r="DB53" i="5" s="1"/>
  <c r="CT30" i="5"/>
  <c r="CU30" i="5" s="1"/>
  <c r="CT24" i="5"/>
  <c r="CT98" i="5"/>
  <c r="CT10" i="5"/>
  <c r="CU10" i="5" s="1"/>
  <c r="AH118" i="5"/>
  <c r="AA108" i="5"/>
  <c r="AA29" i="5"/>
  <c r="AA37" i="5"/>
  <c r="AA56" i="5"/>
  <c r="AA32" i="5"/>
  <c r="AA52" i="5"/>
  <c r="AA58" i="5"/>
  <c r="AA63" i="5"/>
  <c r="AA59" i="5"/>
  <c r="CT31" i="5"/>
  <c r="CS31" i="5"/>
  <c r="Z57" i="5"/>
  <c r="CS80" i="5"/>
  <c r="CS65" i="5"/>
  <c r="CS16" i="5"/>
  <c r="CS29" i="5"/>
  <c r="CS93" i="5"/>
  <c r="CS74" i="5"/>
  <c r="CS94" i="5"/>
  <c r="CT94" i="5" s="1"/>
  <c r="CS69" i="5"/>
  <c r="CS95" i="5"/>
  <c r="CT95" i="5" s="1"/>
  <c r="CV95" i="5" s="1"/>
  <c r="CW95" i="5" s="1"/>
  <c r="CX95" i="5" s="1"/>
  <c r="CY95" i="5" s="1"/>
  <c r="CZ95" i="5" s="1"/>
  <c r="DA95" i="5" s="1"/>
  <c r="DB95" i="5" s="1"/>
  <c r="DC95" i="5" s="1"/>
  <c r="CS62" i="5"/>
  <c r="CS19" i="5"/>
  <c r="CT19" i="5" s="1"/>
  <c r="CS28" i="5"/>
  <c r="CS90" i="5"/>
  <c r="CS91" i="5"/>
  <c r="CS87" i="5"/>
  <c r="Z108" i="5"/>
  <c r="Z56" i="5"/>
  <c r="Z58" i="5"/>
  <c r="Z39" i="5"/>
  <c r="Z63" i="5"/>
  <c r="Z52" i="5"/>
  <c r="Y63" i="5"/>
  <c r="Y57" i="5"/>
  <c r="Y39" i="5"/>
  <c r="Y56" i="5"/>
  <c r="Y52" i="5"/>
  <c r="X24" i="5"/>
  <c r="CS24" i="5" s="1"/>
  <c r="X52" i="5"/>
  <c r="CS98" i="5"/>
  <c r="W32" i="5"/>
  <c r="W39" i="5"/>
  <c r="Z21" i="5"/>
  <c r="CS21" i="5" s="1"/>
  <c r="X32" i="5"/>
  <c r="CS61" i="5"/>
  <c r="CS84" i="5"/>
  <c r="CT84" i="5" s="1"/>
  <c r="CS72" i="5"/>
  <c r="CT72" i="5" s="1"/>
  <c r="CS71" i="5"/>
  <c r="CS64" i="5"/>
  <c r="CS96" i="5"/>
  <c r="CR97" i="5"/>
  <c r="X48" i="5"/>
  <c r="CS48" i="5" s="1"/>
  <c r="CS131" i="5"/>
  <c r="CR131" i="5"/>
  <c r="X47" i="5"/>
  <c r="CS47" i="5" s="1"/>
  <c r="CT47" i="5" s="1"/>
  <c r="CU47" i="5" s="1"/>
  <c r="X75" i="5"/>
  <c r="X39" i="5" s="1"/>
  <c r="CT75" i="5"/>
  <c r="CS20" i="5"/>
  <c r="X117" i="5"/>
  <c r="CS23" i="5"/>
  <c r="O134" i="5"/>
  <c r="P134" i="5"/>
  <c r="L133" i="5"/>
  <c r="M133" i="5"/>
  <c r="Q134" i="5"/>
  <c r="N133" i="5"/>
  <c r="R134" i="5"/>
  <c r="O133" i="5"/>
  <c r="S134" i="5"/>
  <c r="P133" i="5"/>
  <c r="T134" i="5"/>
  <c r="Q133" i="5"/>
  <c r="U134" i="5"/>
  <c r="R133" i="5"/>
  <c r="S133" i="5"/>
  <c r="T133" i="5"/>
  <c r="U133" i="5"/>
  <c r="CS53" i="5"/>
  <c r="CS25" i="5"/>
  <c r="CS82" i="5"/>
  <c r="CS10" i="5"/>
  <c r="L32" i="5"/>
  <c r="N32" i="5"/>
  <c r="M32" i="5"/>
  <c r="O32" i="5"/>
  <c r="P32" i="5"/>
  <c r="Q32" i="5"/>
  <c r="R32" i="5"/>
  <c r="S32" i="5"/>
  <c r="U32" i="5"/>
  <c r="V32" i="5"/>
  <c r="K32" i="5"/>
  <c r="X118" i="5"/>
  <c r="X108" i="5"/>
  <c r="X58" i="5"/>
  <c r="X63" i="5"/>
  <c r="X56" i="5"/>
  <c r="CR53" i="5"/>
  <c r="W118" i="5"/>
  <c r="W108" i="5"/>
  <c r="W56" i="5"/>
  <c r="CR85" i="5"/>
  <c r="W58" i="5"/>
  <c r="W63" i="5"/>
  <c r="W57" i="5"/>
  <c r="W52" i="5"/>
  <c r="V58" i="5"/>
  <c r="V63" i="5"/>
  <c r="V57" i="5"/>
  <c r="V56" i="5"/>
  <c r="V39" i="5"/>
  <c r="V52" i="5"/>
  <c r="CR70" i="5"/>
  <c r="CR30" i="5"/>
  <c r="CR98" i="5"/>
  <c r="S39" i="5"/>
  <c r="T39" i="5"/>
  <c r="U39" i="5"/>
  <c r="CR25" i="5"/>
  <c r="CR24" i="5"/>
  <c r="CR17" i="5"/>
  <c r="CR23" i="5"/>
  <c r="CR20" i="5"/>
  <c r="CR78" i="5"/>
  <c r="CR82" i="5"/>
  <c r="CR10" i="5"/>
  <c r="CR49" i="5"/>
  <c r="CR4" i="5"/>
  <c r="CQ4" i="5"/>
  <c r="CP4" i="5"/>
  <c r="CP118" i="5" s="1"/>
  <c r="CR3" i="5"/>
  <c r="CQ3" i="5"/>
  <c r="S52" i="5"/>
  <c r="T52" i="5"/>
  <c r="U52" i="5"/>
  <c r="R52" i="5"/>
  <c r="T194" i="5"/>
  <c r="U194" i="5" s="1"/>
  <c r="V194" i="5" s="1"/>
  <c r="U56" i="5"/>
  <c r="U57" i="5"/>
  <c r="U63" i="5"/>
  <c r="U58" i="5"/>
  <c r="U108" i="5"/>
  <c r="Q10" i="5"/>
  <c r="Q52" i="5"/>
  <c r="Q39" i="5"/>
  <c r="Q56" i="5"/>
  <c r="Q57" i="5"/>
  <c r="Q63" i="5"/>
  <c r="Q58" i="5"/>
  <c r="Q37" i="5"/>
  <c r="CQ62" i="5"/>
  <c r="CR62" i="5"/>
  <c r="T41" i="5"/>
  <c r="CR41" i="5" s="1"/>
  <c r="T56" i="5"/>
  <c r="T57" i="5"/>
  <c r="T63" i="5"/>
  <c r="T58" i="5"/>
  <c r="P52" i="5"/>
  <c r="P10" i="5"/>
  <c r="P39" i="5"/>
  <c r="P56" i="5"/>
  <c r="P57" i="5"/>
  <c r="P63" i="5"/>
  <c r="P58" i="5"/>
  <c r="P37" i="5"/>
  <c r="S56" i="5"/>
  <c r="S57" i="5"/>
  <c r="S63" i="5"/>
  <c r="S58" i="5"/>
  <c r="S37" i="5"/>
  <c r="CR37" i="5" s="1"/>
  <c r="CR75" i="5"/>
  <c r="CR96" i="5"/>
  <c r="CR93" i="5"/>
  <c r="CR94" i="5"/>
  <c r="CR95" i="5"/>
  <c r="CR64" i="5"/>
  <c r="CR86" i="5"/>
  <c r="CR47" i="5"/>
  <c r="CR73" i="5"/>
  <c r="CR71" i="5"/>
  <c r="CR72" i="5"/>
  <c r="CR60" i="5"/>
  <c r="CR69" i="5"/>
  <c r="CR91" i="5"/>
  <c r="CR90" i="5"/>
  <c r="CR84" i="5"/>
  <c r="CR74" i="5"/>
  <c r="CR40" i="5"/>
  <c r="CR19" i="5"/>
  <c r="CR79" i="5"/>
  <c r="R10" i="5"/>
  <c r="R39" i="5"/>
  <c r="R56" i="5"/>
  <c r="R57" i="5"/>
  <c r="R63" i="5"/>
  <c r="R58" i="5"/>
  <c r="R37" i="5"/>
  <c r="O52" i="5"/>
  <c r="O10" i="5"/>
  <c r="O39" i="5"/>
  <c r="O56" i="5"/>
  <c r="O57" i="5"/>
  <c r="O63" i="5"/>
  <c r="O58" i="5"/>
  <c r="O37" i="5"/>
  <c r="O108" i="5"/>
  <c r="S108" i="5"/>
  <c r="CV28" i="5"/>
  <c r="CW28" i="5" s="1"/>
  <c r="CX28" i="5" s="1"/>
  <c r="CY28" i="5" s="1"/>
  <c r="CZ28" i="5" s="1"/>
  <c r="DA28" i="5" s="1"/>
  <c r="CQ49" i="5"/>
  <c r="CQ25" i="5"/>
  <c r="CQ82" i="5"/>
  <c r="CQ47" i="5"/>
  <c r="CQ78" i="5"/>
  <c r="CQ20" i="5"/>
  <c r="CQ23" i="5"/>
  <c r="CQ17" i="5"/>
  <c r="CQ24" i="5"/>
  <c r="CQ71" i="5"/>
  <c r="CQ97" i="5"/>
  <c r="CQ98" i="5"/>
  <c r="CQ73" i="5"/>
  <c r="CQ30" i="5"/>
  <c r="CQ41" i="5"/>
  <c r="CQ70" i="5"/>
  <c r="CQ75" i="5"/>
  <c r="CQ96" i="5"/>
  <c r="CQ64" i="5"/>
  <c r="CQ60" i="5"/>
  <c r="CQ72" i="5"/>
  <c r="CQ84" i="5"/>
  <c r="CQ93" i="5"/>
  <c r="CQ74" i="5"/>
  <c r="CQ94" i="5"/>
  <c r="CQ69" i="5"/>
  <c r="CQ95" i="5"/>
  <c r="CQ19" i="5"/>
  <c r="CQ90" i="5"/>
  <c r="CQ91" i="5"/>
  <c r="CQ40" i="5"/>
  <c r="CQ86" i="5"/>
  <c r="CQ79" i="5"/>
  <c r="CQ99" i="5"/>
  <c r="CP3" i="5"/>
  <c r="CP117" i="5" s="1"/>
  <c r="CP49" i="5"/>
  <c r="CP25" i="5"/>
  <c r="K82" i="5"/>
  <c r="K63" i="5" s="1"/>
  <c r="L82" i="5"/>
  <c r="L63" i="5" s="1"/>
  <c r="K52" i="5"/>
  <c r="L52" i="5"/>
  <c r="M52" i="5"/>
  <c r="N52" i="5"/>
  <c r="K10" i="5"/>
  <c r="L10" i="5"/>
  <c r="M10" i="5"/>
  <c r="N10" i="5"/>
  <c r="CP47" i="5"/>
  <c r="CP20" i="5"/>
  <c r="CP23" i="5"/>
  <c r="CP17" i="5"/>
  <c r="CP24" i="5"/>
  <c r="K39" i="5"/>
  <c r="L39" i="5"/>
  <c r="M39" i="5"/>
  <c r="N39" i="5"/>
  <c r="CP71" i="5"/>
  <c r="CP97" i="5"/>
  <c r="CP98" i="5"/>
  <c r="CP73" i="5"/>
  <c r="CP30" i="5"/>
  <c r="K56" i="5"/>
  <c r="L56" i="5"/>
  <c r="M56" i="5"/>
  <c r="N56" i="5"/>
  <c r="CP41" i="5"/>
  <c r="CP70" i="5"/>
  <c r="CP75" i="5"/>
  <c r="CP96" i="5"/>
  <c r="CP64" i="5"/>
  <c r="CP60" i="5"/>
  <c r="CP72" i="5"/>
  <c r="CP84" i="5"/>
  <c r="K57" i="5"/>
  <c r="L57" i="5"/>
  <c r="M57" i="5"/>
  <c r="N57" i="5"/>
  <c r="CP93" i="5"/>
  <c r="M63" i="5"/>
  <c r="N63" i="5"/>
  <c r="CP74" i="5"/>
  <c r="K58" i="5"/>
  <c r="L58" i="5"/>
  <c r="M58" i="5"/>
  <c r="N58" i="5"/>
  <c r="CP94" i="5"/>
  <c r="CP69" i="5"/>
  <c r="CP95" i="5"/>
  <c r="CP19" i="5"/>
  <c r="CP90" i="5"/>
  <c r="CP91" i="5"/>
  <c r="CP86" i="5"/>
  <c r="K37" i="5"/>
  <c r="L37" i="5"/>
  <c r="M37" i="5"/>
  <c r="N37" i="5"/>
  <c r="CP79" i="5"/>
  <c r="CP99" i="5"/>
  <c r="CP120" i="5"/>
  <c r="CO120" i="5"/>
  <c r="CN120" i="5"/>
  <c r="T108" i="5"/>
  <c r="P108" i="5"/>
  <c r="M108" i="5"/>
  <c r="M106" i="5"/>
  <c r="Q108" i="5"/>
  <c r="Q106" i="5"/>
  <c r="R108" i="5"/>
  <c r="V118" i="5"/>
  <c r="U118" i="5"/>
  <c r="R118" i="5"/>
  <c r="Q118" i="5"/>
  <c r="P118" i="5"/>
  <c r="O118" i="5"/>
  <c r="N118" i="5"/>
  <c r="M118" i="5"/>
  <c r="L118" i="5"/>
  <c r="K118" i="5"/>
  <c r="J118" i="5"/>
  <c r="S118" i="5"/>
  <c r="T118" i="5"/>
  <c r="CR2" i="5"/>
  <c r="CS2" i="5" s="1"/>
  <c r="CT2" i="5" s="1"/>
  <c r="CU2" i="5" s="1"/>
  <c r="CV2" i="5" s="1"/>
  <c r="CW2" i="5" s="1"/>
  <c r="CX2" i="5" s="1"/>
  <c r="N117" i="5"/>
  <c r="G117" i="5"/>
  <c r="H117" i="5"/>
  <c r="I117" i="5"/>
  <c r="J117" i="5"/>
  <c r="K117" i="5"/>
  <c r="L117" i="5"/>
  <c r="M117" i="5"/>
  <c r="O117" i="5"/>
  <c r="P117" i="5"/>
  <c r="Q117" i="5"/>
  <c r="R117" i="5"/>
  <c r="S117" i="5"/>
  <c r="T117" i="5"/>
  <c r="U117" i="5"/>
  <c r="V117" i="5"/>
  <c r="CN117" i="5"/>
  <c r="CO117" i="5"/>
  <c r="CM117" i="5"/>
  <c r="D108" i="5"/>
  <c r="D106" i="5"/>
  <c r="C108" i="5"/>
  <c r="J5" i="1"/>
  <c r="J8" i="1" s="1"/>
  <c r="B6" i="8"/>
  <c r="C6" i="8"/>
  <c r="D6" i="8"/>
  <c r="E6" i="8"/>
  <c r="F6" i="8"/>
  <c r="G6" i="8"/>
  <c r="H6" i="8"/>
  <c r="I6" i="8"/>
  <c r="J6" i="8"/>
  <c r="K6" i="8"/>
  <c r="L6" i="8"/>
  <c r="M6" i="8"/>
  <c r="O6" i="8"/>
  <c r="P7" i="8" s="1"/>
  <c r="P6" i="8"/>
  <c r="Q6" i="8"/>
  <c r="R6" i="8"/>
  <c r="S6" i="8"/>
  <c r="S7" i="8"/>
  <c r="T6" i="8"/>
  <c r="U6" i="8"/>
  <c r="V6" i="8"/>
  <c r="V7" i="8" s="1"/>
  <c r="W6" i="8"/>
  <c r="W7" i="8" s="1"/>
  <c r="CS97" i="5"/>
  <c r="CS41" i="5"/>
  <c r="CS78" i="5"/>
  <c r="CS49" i="5"/>
  <c r="Z40" i="5"/>
  <c r="CS40" i="5" s="1"/>
  <c r="Q7" i="8"/>
  <c r="R7" i="8"/>
  <c r="CT49" i="5"/>
  <c r="CT82" i="5"/>
  <c r="CW82" i="5"/>
  <c r="CX82" i="5" s="1"/>
  <c r="CY82" i="5" s="1"/>
  <c r="CZ82" i="5" s="1"/>
  <c r="DA82" i="5" s="1"/>
  <c r="DB82" i="5" s="1"/>
  <c r="DC82" i="5" s="1"/>
  <c r="CT25" i="5"/>
  <c r="CT20" i="5"/>
  <c r="CT21" i="5"/>
  <c r="CT69" i="5"/>
  <c r="CT74" i="5"/>
  <c r="CT96" i="5"/>
  <c r="CV64" i="5"/>
  <c r="CW64" i="5" s="1"/>
  <c r="CX64" i="5" s="1"/>
  <c r="CY64" i="5" s="1"/>
  <c r="CZ64" i="5" s="1"/>
  <c r="DA64" i="5" s="1"/>
  <c r="DB64" i="5" s="1"/>
  <c r="CT70" i="5"/>
  <c r="CT28" i="5"/>
  <c r="CV86" i="5"/>
  <c r="CW86" i="5" s="1"/>
  <c r="CX86" i="5" s="1"/>
  <c r="CY86" i="5" s="1"/>
  <c r="CZ86" i="5" s="1"/>
  <c r="DA86" i="5" s="1"/>
  <c r="DB86" i="5" s="1"/>
  <c r="DC86" i="5" s="1"/>
  <c r="CT40" i="5"/>
  <c r="CT16" i="5"/>
  <c r="U7" i="8"/>
  <c r="DS112" i="5" l="1"/>
  <c r="T7" i="8"/>
  <c r="K22" i="34"/>
  <c r="V159" i="5"/>
  <c r="U130" i="5"/>
  <c r="CR56" i="5"/>
  <c r="CQ32" i="5"/>
  <c r="CU75" i="5"/>
  <c r="CV75" i="5" s="1"/>
  <c r="CW75" i="5" s="1"/>
  <c r="CX75" i="5" s="1"/>
  <c r="CY75" i="5" s="1"/>
  <c r="CZ75" i="5" s="1"/>
  <c r="DA75" i="5" s="1"/>
  <c r="DB75" i="5" s="1"/>
  <c r="DC75" i="5" s="1"/>
  <c r="CU98" i="5"/>
  <c r="CV98" i="5" s="1"/>
  <c r="CW98" i="5" s="1"/>
  <c r="CX98" i="5" s="1"/>
  <c r="CY98" i="5" s="1"/>
  <c r="CZ98" i="5" s="1"/>
  <c r="DA98" i="5" s="1"/>
  <c r="DB98" i="5" s="1"/>
  <c r="DC98" i="5" s="1"/>
  <c r="CU96" i="5"/>
  <c r="CV96" i="5" s="1"/>
  <c r="CW96" i="5" s="1"/>
  <c r="CX96" i="5" s="1"/>
  <c r="CY96" i="5" s="1"/>
  <c r="CZ96" i="5" s="1"/>
  <c r="DA96" i="5" s="1"/>
  <c r="DB96" i="5" s="1"/>
  <c r="DC96" i="5" s="1"/>
  <c r="CU24" i="5"/>
  <c r="CV24" i="5" s="1"/>
  <c r="CW24" i="5" s="1"/>
  <c r="CX24" i="5" s="1"/>
  <c r="CY24" i="5" s="1"/>
  <c r="CZ24" i="5" s="1"/>
  <c r="DA24" i="5" s="1"/>
  <c r="DB24" i="5" s="1"/>
  <c r="DH24" i="5" s="1"/>
  <c r="DI24" i="5" s="1"/>
  <c r="DJ24" i="5" s="1"/>
  <c r="DK24" i="5" s="1"/>
  <c r="DL24" i="5" s="1"/>
  <c r="DM24" i="5" s="1"/>
  <c r="DN24" i="5" s="1"/>
  <c r="DO24" i="5" s="1"/>
  <c r="DP24" i="5" s="1"/>
  <c r="DQ24" i="5" s="1"/>
  <c r="DR24" i="5" s="1"/>
  <c r="DS24" i="5" s="1"/>
  <c r="CU70" i="5"/>
  <c r="CV70" i="5" s="1"/>
  <c r="CW70" i="5" s="1"/>
  <c r="CX70" i="5" s="1"/>
  <c r="CY70" i="5" s="1"/>
  <c r="CZ70" i="5" s="1"/>
  <c r="DA70" i="5" s="1"/>
  <c r="DB70" i="5" s="1"/>
  <c r="DC70" i="5" s="1"/>
  <c r="CU69" i="5"/>
  <c r="CV69" i="5" s="1"/>
  <c r="CW69" i="5" s="1"/>
  <c r="CX69" i="5" s="1"/>
  <c r="CY69" i="5" s="1"/>
  <c r="CZ69" i="5" s="1"/>
  <c r="DA69" i="5" s="1"/>
  <c r="DB69" i="5" s="1"/>
  <c r="DC69" i="5" s="1"/>
  <c r="CU84" i="5"/>
  <c r="CV84" i="5" s="1"/>
  <c r="CW84" i="5" s="1"/>
  <c r="CX84" i="5" s="1"/>
  <c r="CY84" i="5" s="1"/>
  <c r="CZ84" i="5" s="1"/>
  <c r="DA84" i="5" s="1"/>
  <c r="DB84" i="5" s="1"/>
  <c r="DC84" i="5" s="1"/>
  <c r="CU19" i="5"/>
  <c r="CV19" i="5" s="1"/>
  <c r="CW19" i="5" s="1"/>
  <c r="CX19" i="5" s="1"/>
  <c r="CY19" i="5" s="1"/>
  <c r="CZ19" i="5" s="1"/>
  <c r="DA19" i="5" s="1"/>
  <c r="DB19" i="5" s="1"/>
  <c r="DH19" i="5" s="1"/>
  <c r="DI19" i="5" s="1"/>
  <c r="DJ19" i="5" s="1"/>
  <c r="DK19" i="5" s="1"/>
  <c r="DL19" i="5" s="1"/>
  <c r="DM19" i="5" s="1"/>
  <c r="DN19" i="5" s="1"/>
  <c r="DO19" i="5" s="1"/>
  <c r="DP19" i="5" s="1"/>
  <c r="DQ19" i="5" s="1"/>
  <c r="DR19" i="5" s="1"/>
  <c r="DS19" i="5" s="1"/>
  <c r="CU94" i="5"/>
  <c r="CV94" i="5" s="1"/>
  <c r="CW94" i="5" s="1"/>
  <c r="CX94" i="5" s="1"/>
  <c r="CY94" i="5" s="1"/>
  <c r="CZ94" i="5" s="1"/>
  <c r="DA94" i="5" s="1"/>
  <c r="DB94" i="5" s="1"/>
  <c r="DC94" i="5" s="1"/>
  <c r="DH41" i="5"/>
  <c r="DI41" i="5" s="1"/>
  <c r="DJ41" i="5" s="1"/>
  <c r="DK41" i="5" s="1"/>
  <c r="DL41" i="5" s="1"/>
  <c r="DM41" i="5" s="1"/>
  <c r="DN41" i="5" s="1"/>
  <c r="DO41" i="5" s="1"/>
  <c r="DP41" i="5" s="1"/>
  <c r="DQ41" i="5" s="1"/>
  <c r="DR41" i="5" s="1"/>
  <c r="DS41" i="5" s="1"/>
  <c r="CU20" i="5"/>
  <c r="CV20" i="5" s="1"/>
  <c r="CW20" i="5" s="1"/>
  <c r="CX20" i="5" s="1"/>
  <c r="CY20" i="5" s="1"/>
  <c r="CZ20" i="5" s="1"/>
  <c r="DA20" i="5" s="1"/>
  <c r="DB20" i="5" s="1"/>
  <c r="DH20" i="5" s="1"/>
  <c r="DI20" i="5" s="1"/>
  <c r="DJ20" i="5" s="1"/>
  <c r="DK20" i="5" s="1"/>
  <c r="DL20" i="5" s="1"/>
  <c r="DM20" i="5" s="1"/>
  <c r="DN20" i="5" s="1"/>
  <c r="DO20" i="5" s="1"/>
  <c r="DP20" i="5" s="1"/>
  <c r="DQ20" i="5" s="1"/>
  <c r="DR20" i="5" s="1"/>
  <c r="DS20" i="5" s="1"/>
  <c r="CU49" i="5"/>
  <c r="CV49" i="5" s="1"/>
  <c r="CW49" i="5" s="1"/>
  <c r="CX49" i="5" s="1"/>
  <c r="CY49" i="5" s="1"/>
  <c r="CZ49" i="5" s="1"/>
  <c r="CU3" i="5"/>
  <c r="CU16" i="5"/>
  <c r="CV16" i="5" s="1"/>
  <c r="CW16" i="5" s="1"/>
  <c r="CX16" i="5" s="1"/>
  <c r="CY16" i="5" s="1"/>
  <c r="CZ16" i="5" s="1"/>
  <c r="DA16" i="5" s="1"/>
  <c r="DH16" i="5" s="1"/>
  <c r="DI16" i="5" s="1"/>
  <c r="DJ16" i="5" s="1"/>
  <c r="DK16" i="5" s="1"/>
  <c r="DL16" i="5" s="1"/>
  <c r="DM16" i="5" s="1"/>
  <c r="DN16" i="5" s="1"/>
  <c r="DO16" i="5" s="1"/>
  <c r="DP16" i="5" s="1"/>
  <c r="DQ16" i="5" s="1"/>
  <c r="DR16" i="5" s="1"/>
  <c r="DS16" i="5" s="1"/>
  <c r="CU74" i="5"/>
  <c r="CV74" i="5" s="1"/>
  <c r="CW74" i="5" s="1"/>
  <c r="CX74" i="5" s="1"/>
  <c r="CY74" i="5" s="1"/>
  <c r="CZ74" i="5" s="1"/>
  <c r="DA74" i="5" s="1"/>
  <c r="DB74" i="5" s="1"/>
  <c r="DC74" i="5" s="1"/>
  <c r="CU25" i="5"/>
  <c r="CV25" i="5" s="1"/>
  <c r="CW25" i="5" s="1"/>
  <c r="CX25" i="5" s="1"/>
  <c r="CY25" i="5" s="1"/>
  <c r="CZ25" i="5" s="1"/>
  <c r="DA25" i="5" s="1"/>
  <c r="DB25" i="5" s="1"/>
  <c r="DH25" i="5" s="1"/>
  <c r="DI25" i="5" s="1"/>
  <c r="DJ25" i="5" s="1"/>
  <c r="DK25" i="5" s="1"/>
  <c r="DL25" i="5" s="1"/>
  <c r="DM25" i="5" s="1"/>
  <c r="DN25" i="5" s="1"/>
  <c r="DO25" i="5" s="1"/>
  <c r="DP25" i="5" s="1"/>
  <c r="DQ25" i="5" s="1"/>
  <c r="DR25" i="5" s="1"/>
  <c r="DS25" i="5" s="1"/>
  <c r="CU72" i="5"/>
  <c r="CV72" i="5" s="1"/>
  <c r="CW72" i="5" s="1"/>
  <c r="CX72" i="5" s="1"/>
  <c r="CY72" i="5" s="1"/>
  <c r="CZ72" i="5" s="1"/>
  <c r="DA72" i="5" s="1"/>
  <c r="DB72" i="5" s="1"/>
  <c r="DC72" i="5" s="1"/>
  <c r="CU21" i="5"/>
  <c r="CV21" i="5" s="1"/>
  <c r="CW21" i="5" s="1"/>
  <c r="CX21" i="5" s="1"/>
  <c r="CY21" i="5" s="1"/>
  <c r="CZ21" i="5" s="1"/>
  <c r="DA21" i="5" s="1"/>
  <c r="DB21" i="5" s="1"/>
  <c r="DH21" i="5" s="1"/>
  <c r="DI21" i="5" s="1"/>
  <c r="DJ21" i="5" s="1"/>
  <c r="DK21" i="5" s="1"/>
  <c r="DL21" i="5" s="1"/>
  <c r="DM21" i="5" s="1"/>
  <c r="DN21" i="5" s="1"/>
  <c r="DO21" i="5" s="1"/>
  <c r="DP21" i="5" s="1"/>
  <c r="DQ21" i="5" s="1"/>
  <c r="DR21" i="5" s="1"/>
  <c r="DS21" i="5" s="1"/>
  <c r="W168" i="5"/>
  <c r="W171" i="5" s="1"/>
  <c r="CT37" i="5"/>
  <c r="CQ57" i="5"/>
  <c r="AA117" i="5"/>
  <c r="W159" i="5"/>
  <c r="X140" i="5"/>
  <c r="X142" i="5" s="1"/>
  <c r="W130" i="5"/>
  <c r="AA39" i="5"/>
  <c r="X159" i="5"/>
  <c r="V130" i="5"/>
  <c r="U159" i="5"/>
  <c r="R159" i="5"/>
  <c r="CT63" i="5"/>
  <c r="Z140" i="5"/>
  <c r="Z142" i="5" s="1"/>
  <c r="Q159" i="5"/>
  <c r="CT59" i="5"/>
  <c r="Z130" i="5"/>
  <c r="CS110" i="5"/>
  <c r="CS108" i="5"/>
  <c r="T32" i="5"/>
  <c r="CR32" i="5" s="1"/>
  <c r="Z32" i="5"/>
  <c r="Z101" i="5" s="1"/>
  <c r="CS75" i="5"/>
  <c r="CS117" i="5"/>
  <c r="CS118" i="5"/>
  <c r="CT134" i="5"/>
  <c r="CS134" i="5"/>
  <c r="CQ52" i="5"/>
  <c r="P101" i="5"/>
  <c r="P124" i="5" s="1"/>
  <c r="CM123" i="5"/>
  <c r="AE90" i="5"/>
  <c r="AD56" i="5"/>
  <c r="CT56" i="5" s="1"/>
  <c r="CV10" i="5"/>
  <c r="CW10" i="5" s="1"/>
  <c r="CX10" i="5" s="1"/>
  <c r="CY10" i="5" s="1"/>
  <c r="CZ10" i="5" s="1"/>
  <c r="DA10" i="5" s="1"/>
  <c r="DH10" i="5" s="1"/>
  <c r="DI10" i="5" s="1"/>
  <c r="DJ10" i="5" s="1"/>
  <c r="DK10" i="5" s="1"/>
  <c r="DL10" i="5" s="1"/>
  <c r="DM10" i="5" s="1"/>
  <c r="DN10" i="5" s="1"/>
  <c r="DO10" i="5" s="1"/>
  <c r="DP10" i="5" s="1"/>
  <c r="DQ10" i="5" s="1"/>
  <c r="DR10" i="5" s="1"/>
  <c r="DS10" i="5" s="1"/>
  <c r="CT93" i="5"/>
  <c r="CT78" i="5"/>
  <c r="CT73" i="5"/>
  <c r="CT71" i="5"/>
  <c r="CQ117" i="5"/>
  <c r="CT29" i="5"/>
  <c r="X57" i="5"/>
  <c r="CS57" i="5" s="1"/>
  <c r="CP58" i="5"/>
  <c r="R101" i="5"/>
  <c r="R124" i="5" s="1"/>
  <c r="CR57" i="5"/>
  <c r="CT58" i="5"/>
  <c r="AC117" i="5"/>
  <c r="AA188" i="5"/>
  <c r="CQ39" i="5"/>
  <c r="CQ106" i="5"/>
  <c r="AA140" i="5"/>
  <c r="AA142" i="5" s="1"/>
  <c r="Y140" i="5"/>
  <c r="Y142" i="5" s="1"/>
  <c r="O159" i="5"/>
  <c r="V168" i="5"/>
  <c r="V171" i="5" s="1"/>
  <c r="CP57" i="5"/>
  <c r="CP39" i="5"/>
  <c r="CQ37" i="5"/>
  <c r="CQ56" i="5"/>
  <c r="AA168" i="5"/>
  <c r="AA171" i="5" s="1"/>
  <c r="X168" i="5"/>
  <c r="X171" i="5" s="1"/>
  <c r="T168" i="5"/>
  <c r="T171" i="5" s="1"/>
  <c r="CQ110" i="5"/>
  <c r="AB101" i="5"/>
  <c r="AB125" i="5" s="1"/>
  <c r="AE133" i="5"/>
  <c r="AC159" i="5"/>
  <c r="AB188" i="5"/>
  <c r="AA192" i="5"/>
  <c r="L101" i="5"/>
  <c r="L125" i="5" s="1"/>
  <c r="AE134" i="5"/>
  <c r="X130" i="5"/>
  <c r="CR39" i="5"/>
  <c r="CT3" i="5"/>
  <c r="Z159" i="5"/>
  <c r="Y159" i="5"/>
  <c r="Q130" i="5"/>
  <c r="AH117" i="5"/>
  <c r="CS39" i="5"/>
  <c r="CN125" i="5"/>
  <c r="CN123" i="5"/>
  <c r="CN115" i="5"/>
  <c r="CV62" i="5"/>
  <c r="CW62" i="5" s="1"/>
  <c r="CX62" i="5" s="1"/>
  <c r="CY62" i="5" s="1"/>
  <c r="CT62" i="5"/>
  <c r="CP63" i="5"/>
  <c r="S101" i="5"/>
  <c r="S124" i="5" s="1"/>
  <c r="CS58" i="5"/>
  <c r="CP32" i="5"/>
  <c r="Y101" i="5"/>
  <c r="Y124" i="5" s="1"/>
  <c r="AA130" i="5"/>
  <c r="CP59" i="5"/>
  <c r="Z168" i="5"/>
  <c r="Z171" i="5" s="1"/>
  <c r="U168" i="5"/>
  <c r="U171" i="5" s="1"/>
  <c r="S159" i="5"/>
  <c r="P159" i="5"/>
  <c r="O168" i="5"/>
  <c r="O171" i="5" s="1"/>
  <c r="AC39" i="5"/>
  <c r="AC130" i="5"/>
  <c r="CT130" i="5" s="1"/>
  <c r="CR59" i="5"/>
  <c r="AG118" i="5"/>
  <c r="AA180" i="5"/>
  <c r="AA182" i="5" s="1"/>
  <c r="AA184" i="5" s="1"/>
  <c r="CT52" i="5"/>
  <c r="W140" i="5"/>
  <c r="W142" i="5" s="1"/>
  <c r="CP82" i="5"/>
  <c r="U101" i="5"/>
  <c r="U103" i="5" s="1"/>
  <c r="V101" i="5"/>
  <c r="CS63" i="5"/>
  <c r="CS56" i="5"/>
  <c r="CT97" i="5"/>
  <c r="AB183" i="5"/>
  <c r="T159" i="5"/>
  <c r="S168" i="5"/>
  <c r="S171" i="5" s="1"/>
  <c r="Q168" i="5"/>
  <c r="Q171" i="5" s="1"/>
  <c r="CT32" i="5"/>
  <c r="AB159" i="5"/>
  <c r="AB130" i="5"/>
  <c r="CP52" i="5"/>
  <c r="N101" i="5"/>
  <c r="Q101" i="5"/>
  <c r="CS52" i="5"/>
  <c r="W101" i="5"/>
  <c r="D100" i="5"/>
  <c r="D101" i="5" s="1"/>
  <c r="CR110" i="5"/>
  <c r="R168" i="5"/>
  <c r="R171" i="5" s="1"/>
  <c r="R130" i="5"/>
  <c r="P168" i="5"/>
  <c r="P171" i="5" s="1"/>
  <c r="AC180" i="5"/>
  <c r="AC182" i="5" s="1"/>
  <c r="CQ118" i="5"/>
  <c r="P130" i="5"/>
  <c r="CR52" i="5"/>
  <c r="CQ108" i="5"/>
  <c r="CP37" i="5"/>
  <c r="CP56" i="5"/>
  <c r="K101" i="5"/>
  <c r="CP10" i="5"/>
  <c r="M101" i="5"/>
  <c r="CR58" i="5"/>
  <c r="AA159" i="5"/>
  <c r="AB180" i="5"/>
  <c r="C101" i="5"/>
  <c r="CQ59" i="5"/>
  <c r="Y130" i="5"/>
  <c r="Y168" i="5"/>
  <c r="Y171" i="5" s="1"/>
  <c r="AF133" i="5"/>
  <c r="AF134" i="5"/>
  <c r="AG131" i="5"/>
  <c r="O130" i="5"/>
  <c r="T130" i="5"/>
  <c r="S130" i="5"/>
  <c r="CR108" i="5"/>
  <c r="CQ63" i="5"/>
  <c r="O101" i="5"/>
  <c r="CQ10" i="5"/>
  <c r="CR63" i="5"/>
  <c r="AA57" i="5"/>
  <c r="CT48" i="5"/>
  <c r="CO115" i="5"/>
  <c r="CO125" i="5"/>
  <c r="CO123" i="5"/>
  <c r="CQ58" i="5"/>
  <c r="AC168" i="5"/>
  <c r="AC171" i="5" s="1"/>
  <c r="CS59" i="5"/>
  <c r="CR117" i="5"/>
  <c r="CR118" i="5"/>
  <c r="CT4" i="5"/>
  <c r="CT118" i="5" s="1"/>
  <c r="AB168" i="5"/>
  <c r="AB171" i="5" s="1"/>
  <c r="CT23" i="5"/>
  <c r="CV47" i="5"/>
  <c r="R125" i="5" l="1"/>
  <c r="R103" i="5"/>
  <c r="R123" i="5" s="1"/>
  <c r="R115" i="5"/>
  <c r="AG117" i="5"/>
  <c r="U125" i="5"/>
  <c r="CU23" i="5"/>
  <c r="CV23" i="5" s="1"/>
  <c r="CW23" i="5" s="1"/>
  <c r="CX23" i="5" s="1"/>
  <c r="CY23" i="5" s="1"/>
  <c r="CZ23" i="5" s="1"/>
  <c r="DA23" i="5" s="1"/>
  <c r="DB23" i="5" s="1"/>
  <c r="DH23" i="5" s="1"/>
  <c r="DI23" i="5" s="1"/>
  <c r="DJ23" i="5" s="1"/>
  <c r="DK23" i="5" s="1"/>
  <c r="DL23" i="5" s="1"/>
  <c r="DM23" i="5" s="1"/>
  <c r="DN23" i="5" s="1"/>
  <c r="DO23" i="5" s="1"/>
  <c r="DP23" i="5" s="1"/>
  <c r="DQ23" i="5" s="1"/>
  <c r="DR23" i="5" s="1"/>
  <c r="DS23" i="5" s="1"/>
  <c r="CU48" i="5"/>
  <c r="CV48" i="5" s="1"/>
  <c r="CU63" i="5"/>
  <c r="CV63" i="5" s="1"/>
  <c r="CW63" i="5" s="1"/>
  <c r="CX63" i="5" s="1"/>
  <c r="CY63" i="5" s="1"/>
  <c r="CZ63" i="5" s="1"/>
  <c r="DA63" i="5" s="1"/>
  <c r="DB63" i="5" s="1"/>
  <c r="CS32" i="5"/>
  <c r="CS101" i="5" s="1"/>
  <c r="CS103" i="5" s="1"/>
  <c r="CU58" i="5"/>
  <c r="CV58" i="5" s="1"/>
  <c r="CW58" i="5" s="1"/>
  <c r="CX58" i="5" s="1"/>
  <c r="CY58" i="5" s="1"/>
  <c r="CZ58" i="5" s="1"/>
  <c r="DA58" i="5" s="1"/>
  <c r="DB58" i="5" s="1"/>
  <c r="CU56" i="5"/>
  <c r="CV56" i="5" s="1"/>
  <c r="CW56" i="5" s="1"/>
  <c r="CX56" i="5" s="1"/>
  <c r="CY56" i="5" s="1"/>
  <c r="CZ56" i="5" s="1"/>
  <c r="DA56" i="5" s="1"/>
  <c r="DB56" i="5" s="1"/>
  <c r="CU59" i="5"/>
  <c r="CV59" i="5" s="1"/>
  <c r="CW59" i="5" s="1"/>
  <c r="CX59" i="5" s="1"/>
  <c r="CY59" i="5" s="1"/>
  <c r="CZ59" i="5" s="1"/>
  <c r="DA59" i="5" s="1"/>
  <c r="DB59" i="5" s="1"/>
  <c r="CU4" i="5"/>
  <c r="CU29" i="5"/>
  <c r="CV29" i="5" s="1"/>
  <c r="CW29" i="5" s="1"/>
  <c r="CX29" i="5" s="1"/>
  <c r="CU93" i="5"/>
  <c r="CV93" i="5" s="1"/>
  <c r="CW93" i="5" s="1"/>
  <c r="CX93" i="5" s="1"/>
  <c r="CY93" i="5" s="1"/>
  <c r="CZ93" i="5" s="1"/>
  <c r="DA93" i="5" s="1"/>
  <c r="DB93" i="5" s="1"/>
  <c r="DC93" i="5" s="1"/>
  <c r="S125" i="5"/>
  <c r="S103" i="5"/>
  <c r="S123" i="5" s="1"/>
  <c r="Y103" i="5"/>
  <c r="Y123" i="5" s="1"/>
  <c r="CU32" i="5"/>
  <c r="CV32" i="5" s="1"/>
  <c r="CW32" i="5" s="1"/>
  <c r="CX32" i="5" s="1"/>
  <c r="CY32" i="5" s="1"/>
  <c r="CZ32" i="5" s="1"/>
  <c r="DA32" i="5" s="1"/>
  <c r="DB32" i="5" s="1"/>
  <c r="CU52" i="5"/>
  <c r="CV52" i="5" s="1"/>
  <c r="CW52" i="5" s="1"/>
  <c r="CX52" i="5" s="1"/>
  <c r="CY52" i="5" s="1"/>
  <c r="CZ52" i="5" s="1"/>
  <c r="DA52" i="5" s="1"/>
  <c r="DB52" i="5" s="1"/>
  <c r="CU78" i="5"/>
  <c r="CV78" i="5" s="1"/>
  <c r="CW78" i="5" s="1"/>
  <c r="CX78" i="5" s="1"/>
  <c r="CY78" i="5" s="1"/>
  <c r="CZ78" i="5" s="1"/>
  <c r="DA78" i="5" s="1"/>
  <c r="CV3" i="5"/>
  <c r="CW3" i="5" s="1"/>
  <c r="CX3" i="5" s="1"/>
  <c r="CY3" i="5" s="1"/>
  <c r="CZ3" i="5" s="1"/>
  <c r="X101" i="5"/>
  <c r="X125" i="5" s="1"/>
  <c r="T101" i="5"/>
  <c r="T125" i="5" s="1"/>
  <c r="AD101" i="5"/>
  <c r="CU117" i="5"/>
  <c r="CT117" i="5"/>
  <c r="AF90" i="5"/>
  <c r="AE56" i="5"/>
  <c r="AE101" i="5" s="1"/>
  <c r="P103" i="5"/>
  <c r="P123" i="5" s="1"/>
  <c r="L103" i="5"/>
  <c r="L123" i="5" s="1"/>
  <c r="AB124" i="5"/>
  <c r="P115" i="5"/>
  <c r="P125" i="5"/>
  <c r="CT39" i="5"/>
  <c r="CV39" i="5"/>
  <c r="CW39" i="5" s="1"/>
  <c r="CX39" i="5" s="1"/>
  <c r="CY39" i="5" s="1"/>
  <c r="CZ39" i="5" s="1"/>
  <c r="DA39" i="5" s="1"/>
  <c r="DB39" i="5" s="1"/>
  <c r="DC39" i="5" s="1"/>
  <c r="DH39" i="5" s="1"/>
  <c r="DI39" i="5" s="1"/>
  <c r="DJ39" i="5" s="1"/>
  <c r="DK39" i="5" s="1"/>
  <c r="DL39" i="5" s="1"/>
  <c r="DM39" i="5" s="1"/>
  <c r="DN39" i="5" s="1"/>
  <c r="DO39" i="5" s="1"/>
  <c r="DP39" i="5" s="1"/>
  <c r="DQ39" i="5" s="1"/>
  <c r="DR39" i="5" s="1"/>
  <c r="DS39" i="5" s="1"/>
  <c r="L115" i="5"/>
  <c r="L124" i="5"/>
  <c r="AB103" i="5"/>
  <c r="AB107" i="5" s="1"/>
  <c r="AB126" i="5" s="1"/>
  <c r="CQ101" i="5"/>
  <c r="CQ125" i="5" s="1"/>
  <c r="Y125" i="5"/>
  <c r="U107" i="5"/>
  <c r="U123" i="5"/>
  <c r="U115" i="5"/>
  <c r="U124" i="5"/>
  <c r="Y115" i="5"/>
  <c r="AC183" i="5"/>
  <c r="AC184" i="5" s="1"/>
  <c r="CR101" i="5"/>
  <c r="V103" i="5"/>
  <c r="V125" i="5"/>
  <c r="V124" i="5"/>
  <c r="V115" i="5"/>
  <c r="CP101" i="5"/>
  <c r="CP125" i="5" s="1"/>
  <c r="D103" i="5"/>
  <c r="D107" i="5" s="1"/>
  <c r="D109" i="5" s="1"/>
  <c r="D111" i="5" s="1"/>
  <c r="D113" i="5" s="1"/>
  <c r="H115" i="5"/>
  <c r="M125" i="5"/>
  <c r="M115" i="5"/>
  <c r="M103" i="5"/>
  <c r="M124" i="5"/>
  <c r="Q124" i="5"/>
  <c r="Q115" i="5"/>
  <c r="Q103" i="5"/>
  <c r="Q125" i="5"/>
  <c r="AA101" i="5"/>
  <c r="CT57" i="5"/>
  <c r="AH131" i="5"/>
  <c r="AG134" i="5"/>
  <c r="AG133" i="5"/>
  <c r="C103" i="5"/>
  <c r="C107" i="5" s="1"/>
  <c r="C109" i="5" s="1"/>
  <c r="C111" i="5" s="1"/>
  <c r="C113" i="5" s="1"/>
  <c r="G115" i="5"/>
  <c r="CV30" i="5"/>
  <c r="W125" i="5"/>
  <c r="W115" i="5"/>
  <c r="W103" i="5"/>
  <c r="W124" i="5"/>
  <c r="N103" i="5"/>
  <c r="N125" i="5"/>
  <c r="N115" i="5"/>
  <c r="N124" i="5"/>
  <c r="O115" i="5"/>
  <c r="O124" i="5"/>
  <c r="O103" i="5"/>
  <c r="O125" i="5"/>
  <c r="K124" i="5"/>
  <c r="K103" i="5"/>
  <c r="K125" i="5"/>
  <c r="K115" i="5"/>
  <c r="AB182" i="5"/>
  <c r="AB184" i="5" s="1"/>
  <c r="Z115" i="5"/>
  <c r="Z103" i="5"/>
  <c r="Z125" i="5"/>
  <c r="Z124" i="5"/>
  <c r="S115" i="5"/>
  <c r="AG90" i="5" l="1"/>
  <c r="AF101" i="5"/>
  <c r="AE103" i="5"/>
  <c r="AE124" i="5"/>
  <c r="AE125" i="5"/>
  <c r="AI115" i="5"/>
  <c r="AD103" i="5"/>
  <c r="AD125" i="5"/>
  <c r="AD124" i="5"/>
  <c r="S107" i="5"/>
  <c r="S126" i="5" s="1"/>
  <c r="R107" i="5"/>
  <c r="R126" i="5" s="1"/>
  <c r="AD115" i="5"/>
  <c r="Y107" i="5"/>
  <c r="Y109" i="5" s="1"/>
  <c r="X124" i="5"/>
  <c r="AB115" i="5"/>
  <c r="X103" i="5"/>
  <c r="X107" i="5" s="1"/>
  <c r="T115" i="5"/>
  <c r="CU65" i="5"/>
  <c r="T124" i="5"/>
  <c r="CU61" i="5"/>
  <c r="CV4" i="5"/>
  <c r="CW4" i="5" s="1"/>
  <c r="T103" i="5"/>
  <c r="T107" i="5" s="1"/>
  <c r="CU57" i="5"/>
  <c r="CV57" i="5" s="1"/>
  <c r="CW57" i="5" s="1"/>
  <c r="CX57" i="5" s="1"/>
  <c r="CY57" i="5" s="1"/>
  <c r="CZ57" i="5" s="1"/>
  <c r="DA57" i="5" s="1"/>
  <c r="DB57" i="5" s="1"/>
  <c r="X115" i="5"/>
  <c r="P107" i="5"/>
  <c r="P109" i="5" s="1"/>
  <c r="CT101" i="5"/>
  <c r="L107" i="5"/>
  <c r="L126" i="5" s="1"/>
  <c r="CS125" i="5"/>
  <c r="CU118" i="5"/>
  <c r="AB123" i="5"/>
  <c r="CS124" i="5"/>
  <c r="CS115" i="5"/>
  <c r="AE115" i="5"/>
  <c r="CS123" i="5"/>
  <c r="CS107" i="5"/>
  <c r="CS109" i="5" s="1"/>
  <c r="CR115" i="5"/>
  <c r="CY29" i="5"/>
  <c r="CR125" i="5"/>
  <c r="U126" i="5"/>
  <c r="U109" i="5"/>
  <c r="CP115" i="5"/>
  <c r="V107" i="5"/>
  <c r="V123" i="5"/>
  <c r="CP103" i="5"/>
  <c r="CQ115" i="5"/>
  <c r="CQ103" i="5"/>
  <c r="O123" i="5"/>
  <c r="O107" i="5"/>
  <c r="W107" i="5"/>
  <c r="W123" i="5"/>
  <c r="AA103" i="5"/>
  <c r="AA125" i="5"/>
  <c r="AA115" i="5"/>
  <c r="AA124" i="5"/>
  <c r="Q123" i="5"/>
  <c r="Q107" i="5"/>
  <c r="M123" i="5"/>
  <c r="M107" i="5"/>
  <c r="AB109" i="5"/>
  <c r="AB127" i="5" s="1"/>
  <c r="K123" i="5"/>
  <c r="K107" i="5"/>
  <c r="CW30" i="5"/>
  <c r="Z107" i="5"/>
  <c r="Z123" i="5"/>
  <c r="N123" i="5"/>
  <c r="N107" i="5"/>
  <c r="AH133" i="5"/>
  <c r="AH134" i="5"/>
  <c r="AD107" i="5" l="1"/>
  <c r="AD123" i="5"/>
  <c r="AE107" i="5"/>
  <c r="AE123" i="5"/>
  <c r="AF115" i="5"/>
  <c r="AF124" i="5"/>
  <c r="AF125" i="5"/>
  <c r="AF103" i="5"/>
  <c r="R109" i="5"/>
  <c r="R127" i="5" s="1"/>
  <c r="S109" i="5"/>
  <c r="S111" i="5" s="1"/>
  <c r="CU71" i="5"/>
  <c r="CV71" i="5" s="1"/>
  <c r="CW71" i="5" s="1"/>
  <c r="CX71" i="5" s="1"/>
  <c r="CY71" i="5" s="1"/>
  <c r="CZ71" i="5" s="1"/>
  <c r="DA71" i="5" s="1"/>
  <c r="DB71" i="5" s="1"/>
  <c r="DC71" i="5" s="1"/>
  <c r="CV118" i="5"/>
  <c r="Y126" i="5"/>
  <c r="X123" i="5"/>
  <c r="L109" i="5"/>
  <c r="L111" i="5" s="1"/>
  <c r="L113" i="5" s="1"/>
  <c r="T123" i="5"/>
  <c r="P126" i="5"/>
  <c r="CR103" i="5"/>
  <c r="CR123" i="5" s="1"/>
  <c r="CT103" i="5"/>
  <c r="CT123" i="5" s="1"/>
  <c r="CT124" i="5"/>
  <c r="CU73" i="5"/>
  <c r="CV73" i="5" s="1"/>
  <c r="CW73" i="5" s="1"/>
  <c r="CX73" i="5" s="1"/>
  <c r="CY73" i="5" s="1"/>
  <c r="CZ73" i="5" s="1"/>
  <c r="DA73" i="5" s="1"/>
  <c r="DB73" i="5" s="1"/>
  <c r="DC73" i="5" s="1"/>
  <c r="CV117" i="5"/>
  <c r="CX4" i="5"/>
  <c r="CW118" i="5"/>
  <c r="CS127" i="5"/>
  <c r="CS126" i="5"/>
  <c r="CS111" i="5"/>
  <c r="CZ29" i="5"/>
  <c r="AH115" i="5"/>
  <c r="AG101" i="5"/>
  <c r="V126" i="5"/>
  <c r="V109" i="5"/>
  <c r="P111" i="5"/>
  <c r="P127" i="5"/>
  <c r="U111" i="5"/>
  <c r="U127" i="5"/>
  <c r="CX30" i="5"/>
  <c r="CP123" i="5"/>
  <c r="CP107" i="5"/>
  <c r="CP109" i="5" s="1"/>
  <c r="CP111" i="5" s="1"/>
  <c r="Z109" i="5"/>
  <c r="Z126" i="5"/>
  <c r="X126" i="5"/>
  <c r="X109" i="5"/>
  <c r="Q109" i="5"/>
  <c r="Q126" i="5"/>
  <c r="O126" i="5"/>
  <c r="O109" i="5"/>
  <c r="Y111" i="5"/>
  <c r="Y127" i="5"/>
  <c r="AB111" i="5"/>
  <c r="AB143" i="5" s="1"/>
  <c r="AA107" i="5"/>
  <c r="AA123" i="5"/>
  <c r="N126" i="5"/>
  <c r="N109" i="5"/>
  <c r="W109" i="5"/>
  <c r="W126" i="5"/>
  <c r="T109" i="5"/>
  <c r="T126" i="5"/>
  <c r="K126" i="5"/>
  <c r="K109" i="5"/>
  <c r="K111" i="5" s="1"/>
  <c r="K113" i="5" s="1"/>
  <c r="M126" i="5"/>
  <c r="M109" i="5"/>
  <c r="CQ107" i="5"/>
  <c r="CQ109" i="5" s="1"/>
  <c r="CQ123" i="5"/>
  <c r="CQ102" i="5"/>
  <c r="R111" i="5" l="1"/>
  <c r="R113" i="5" s="1"/>
  <c r="AF107" i="5"/>
  <c r="AF126" i="5" s="1"/>
  <c r="AF123" i="5"/>
  <c r="AE109" i="5"/>
  <c r="AE126" i="5"/>
  <c r="AG125" i="5"/>
  <c r="AG124" i="5"/>
  <c r="AG103" i="5"/>
  <c r="AG123" i="5" s="1"/>
  <c r="S127" i="5"/>
  <c r="AD109" i="5"/>
  <c r="AD126" i="5"/>
  <c r="AF109" i="5"/>
  <c r="AF127" i="5" s="1"/>
  <c r="AJ115" i="5"/>
  <c r="P119" i="5"/>
  <c r="CR102" i="5"/>
  <c r="CR107" i="5"/>
  <c r="CR109" i="5" s="1"/>
  <c r="CU97" i="5"/>
  <c r="CU101" i="5" s="1"/>
  <c r="CU104" i="5" s="1"/>
  <c r="CW117" i="5"/>
  <c r="CY4" i="5"/>
  <c r="CX118" i="5"/>
  <c r="CS113" i="5"/>
  <c r="CS128" i="5"/>
  <c r="AH107" i="5"/>
  <c r="AH126" i="5" s="1"/>
  <c r="DA29" i="5"/>
  <c r="P128" i="5"/>
  <c r="P193" i="5"/>
  <c r="P195" i="5" s="1"/>
  <c r="P113" i="5"/>
  <c r="P120" i="5" s="1"/>
  <c r="V111" i="5"/>
  <c r="V127" i="5"/>
  <c r="U128" i="5"/>
  <c r="U113" i="5"/>
  <c r="U193" i="5"/>
  <c r="U195" i="5" s="1"/>
  <c r="T111" i="5"/>
  <c r="T127" i="5"/>
  <c r="CY30" i="5"/>
  <c r="AA109" i="5"/>
  <c r="AA126" i="5"/>
  <c r="Y143" i="5"/>
  <c r="Y119" i="5"/>
  <c r="Y113" i="5"/>
  <c r="Y193" i="5"/>
  <c r="Y195" i="5" s="1"/>
  <c r="Y128" i="5"/>
  <c r="Q111" i="5"/>
  <c r="Q127" i="5"/>
  <c r="N111" i="5"/>
  <c r="N127" i="5"/>
  <c r="O111" i="5"/>
  <c r="S119" i="5" s="1"/>
  <c r="O127" i="5"/>
  <c r="CQ111" i="5"/>
  <c r="CQ126" i="5"/>
  <c r="W111" i="5"/>
  <c r="W127" i="5"/>
  <c r="AB128" i="5"/>
  <c r="AB113" i="5"/>
  <c r="AF120" i="5" s="1"/>
  <c r="AB193" i="5"/>
  <c r="AB194" i="5" s="1"/>
  <c r="AC194" i="5" s="1"/>
  <c r="S193" i="5"/>
  <c r="S195" i="5" s="1"/>
  <c r="S128" i="5"/>
  <c r="S113" i="5"/>
  <c r="Z111" i="5"/>
  <c r="Z127" i="5"/>
  <c r="M111" i="5"/>
  <c r="M127" i="5"/>
  <c r="X127" i="5"/>
  <c r="X111" i="5"/>
  <c r="CU108" i="5"/>
  <c r="R128" i="5" l="1"/>
  <c r="R193" i="5"/>
  <c r="R195" i="5" s="1"/>
  <c r="AG107" i="5"/>
  <c r="AG126" i="5" s="1"/>
  <c r="AD111" i="5"/>
  <c r="AD119" i="5" s="1"/>
  <c r="AD127" i="5"/>
  <c r="AE111" i="5"/>
  <c r="AE128" i="5" s="1"/>
  <c r="AE127" i="5"/>
  <c r="CR126" i="5"/>
  <c r="CR111" i="5"/>
  <c r="CR119" i="5" s="1"/>
  <c r="CV97" i="5"/>
  <c r="CW97" i="5" s="1"/>
  <c r="CW101" i="5" s="1"/>
  <c r="CX117" i="5"/>
  <c r="AB119" i="5"/>
  <c r="X193" i="5"/>
  <c r="X195" i="5" s="1"/>
  <c r="W193" i="5"/>
  <c r="W195" i="5" s="1"/>
  <c r="CZ4" i="5"/>
  <c r="CY118" i="5"/>
  <c r="AG109" i="5"/>
  <c r="AG127" i="5" s="1"/>
  <c r="AH109" i="5"/>
  <c r="AH127" i="5" s="1"/>
  <c r="DB29" i="5"/>
  <c r="V128" i="5"/>
  <c r="V193" i="5"/>
  <c r="V195" i="5" s="1"/>
  <c r="V119" i="5"/>
  <c r="V113" i="5"/>
  <c r="V120" i="5" s="1"/>
  <c r="CU125" i="5"/>
  <c r="AB195" i="5"/>
  <c r="W143" i="5"/>
  <c r="W113" i="5"/>
  <c r="W120" i="5" s="1"/>
  <c r="W119" i="5"/>
  <c r="W128" i="5"/>
  <c r="N119" i="5"/>
  <c r="N128" i="5"/>
  <c r="N113" i="5"/>
  <c r="R119" i="5"/>
  <c r="O119" i="5"/>
  <c r="O113" i="5"/>
  <c r="O120" i="5" s="1"/>
  <c r="O193" i="5"/>
  <c r="O195" i="5" s="1"/>
  <c r="O128" i="5"/>
  <c r="M128" i="5"/>
  <c r="M113" i="5"/>
  <c r="CQ113" i="5"/>
  <c r="CQ120" i="5" s="1"/>
  <c r="CQ128" i="5"/>
  <c r="CZ30" i="5"/>
  <c r="X113" i="5"/>
  <c r="AB120" i="5" s="1"/>
  <c r="X119" i="5"/>
  <c r="X143" i="5"/>
  <c r="X128" i="5"/>
  <c r="Z193" i="5"/>
  <c r="Z195" i="5" s="1"/>
  <c r="Z119" i="5"/>
  <c r="Z143" i="5"/>
  <c r="Z128" i="5"/>
  <c r="Z113" i="5"/>
  <c r="Q119" i="5"/>
  <c r="Q128" i="5"/>
  <c r="Q113" i="5"/>
  <c r="Q193" i="5"/>
  <c r="Q195" i="5" s="1"/>
  <c r="U119" i="5"/>
  <c r="Y120" i="5"/>
  <c r="AA111" i="5"/>
  <c r="AA193" i="5" s="1"/>
  <c r="AA127" i="5"/>
  <c r="T119" i="5"/>
  <c r="T113" i="5"/>
  <c r="T120" i="5" s="1"/>
  <c r="T128" i="5"/>
  <c r="T193" i="5"/>
  <c r="T195" i="5" s="1"/>
  <c r="AE113" i="5" l="1"/>
  <c r="CV101" i="5"/>
  <c r="CV115" i="5" s="1"/>
  <c r="AD113" i="5"/>
  <c r="AD120" i="5" s="1"/>
  <c r="AD128" i="5"/>
  <c r="CR113" i="5"/>
  <c r="CS120" i="5" s="1"/>
  <c r="CR128" i="5"/>
  <c r="CS119" i="5"/>
  <c r="CY117" i="5"/>
  <c r="AE119" i="5"/>
  <c r="DA4" i="5"/>
  <c r="CZ118" i="5"/>
  <c r="AF111" i="5"/>
  <c r="Z120" i="5"/>
  <c r="CX97" i="5"/>
  <c r="CX101" i="5" s="1"/>
  <c r="CX115" i="5" s="1"/>
  <c r="DA30" i="5"/>
  <c r="N120" i="5"/>
  <c r="R120" i="5"/>
  <c r="Q120" i="5"/>
  <c r="U120" i="5"/>
  <c r="X120" i="5"/>
  <c r="AA119" i="5"/>
  <c r="AA113" i="5"/>
  <c r="AA120" i="5" s="1"/>
  <c r="AA195" i="5"/>
  <c r="AA143" i="5"/>
  <c r="AA128" i="5"/>
  <c r="S120" i="5"/>
  <c r="CV125" i="5" l="1"/>
  <c r="CV104" i="5"/>
  <c r="AF119" i="5"/>
  <c r="AF128" i="5"/>
  <c r="CW115" i="5"/>
  <c r="CR120" i="5"/>
  <c r="DA3" i="5"/>
  <c r="CZ117" i="5"/>
  <c r="AE120" i="5"/>
  <c r="DA118" i="5"/>
  <c r="AG111" i="5"/>
  <c r="AG128" i="5" s="1"/>
  <c r="AH111" i="5"/>
  <c r="AH128" i="5" s="1"/>
  <c r="DB30" i="5"/>
  <c r="CW125" i="5"/>
  <c r="CW104" i="5"/>
  <c r="CY97" i="5"/>
  <c r="CY101" i="5" s="1"/>
  <c r="CY115" i="5" s="1"/>
  <c r="DA117" i="5" l="1"/>
  <c r="DB118" i="5"/>
  <c r="AH120" i="5"/>
  <c r="AH119" i="5"/>
  <c r="CX125" i="5"/>
  <c r="CX104" i="5"/>
  <c r="CZ97" i="5"/>
  <c r="CZ101" i="5" s="1"/>
  <c r="CZ115" i="5" s="1"/>
  <c r="DB117" i="5" l="1"/>
  <c r="DC118" i="5"/>
  <c r="CY125" i="5"/>
  <c r="CY104" i="5"/>
  <c r="DA97" i="5"/>
  <c r="DA101" i="5" s="1"/>
  <c r="DA115" i="5" s="1"/>
  <c r="DC117" i="5" l="1"/>
  <c r="DD118" i="5"/>
  <c r="DB97" i="5"/>
  <c r="DB101" i="5" s="1"/>
  <c r="DB115" i="5" s="1"/>
  <c r="CZ104" i="5"/>
  <c r="DA104" i="5" s="1"/>
  <c r="CZ125" i="5"/>
  <c r="DD117" i="5" l="1"/>
  <c r="DE118" i="5"/>
  <c r="DB104" i="5"/>
  <c r="DA124" i="5"/>
  <c r="DA125" i="5"/>
  <c r="DC97" i="5"/>
  <c r="DC101" i="5" s="1"/>
  <c r="DC115" i="5" s="1"/>
  <c r="DE117" i="5" l="1"/>
  <c r="DF118" i="5"/>
  <c r="DB124" i="5"/>
  <c r="DB125" i="5"/>
  <c r="DD115" i="5"/>
  <c r="DF117" i="5" l="1"/>
  <c r="DG118" i="5"/>
  <c r="DC124" i="5"/>
  <c r="DC125" i="5"/>
  <c r="DG117" i="5" l="1"/>
  <c r="DH3" i="5"/>
  <c r="DH101" i="5" s="1"/>
  <c r="DI118" i="5"/>
  <c r="DH118" i="5"/>
  <c r="DE125" i="5"/>
  <c r="DE115" i="5"/>
  <c r="DD124" i="5"/>
  <c r="DD125" i="5"/>
  <c r="DH104" i="5" l="1"/>
  <c r="DH103" i="5"/>
  <c r="DH123" i="5" s="1"/>
  <c r="DH117" i="5"/>
  <c r="DI3" i="5"/>
  <c r="DF115" i="5"/>
  <c r="DE124" i="5"/>
  <c r="DH102" i="5" l="1"/>
  <c r="DI117" i="5"/>
  <c r="DJ3" i="5"/>
  <c r="DI101" i="5"/>
  <c r="DG115" i="5"/>
  <c r="DG125" i="5"/>
  <c r="DI104" i="5" l="1"/>
  <c r="DI103" i="5"/>
  <c r="DI123" i="5" s="1"/>
  <c r="DK3" i="5"/>
  <c r="DJ101" i="5"/>
  <c r="DH125" i="5"/>
  <c r="DH115" i="5"/>
  <c r="DG124" i="5"/>
  <c r="DJ103" i="5" l="1"/>
  <c r="DJ102" i="5" s="1"/>
  <c r="DJ125" i="5"/>
  <c r="DJ104" i="5"/>
  <c r="DJ124" i="5" s="1"/>
  <c r="DJ115" i="5"/>
  <c r="DI102" i="5"/>
  <c r="DL3" i="5"/>
  <c r="DK101" i="5"/>
  <c r="DI125" i="5"/>
  <c r="DI115" i="5"/>
  <c r="DI124" i="5"/>
  <c r="DH124" i="5"/>
  <c r="DK104" i="5" l="1"/>
  <c r="DK124" i="5" s="1"/>
  <c r="DK115" i="5"/>
  <c r="DK103" i="5"/>
  <c r="DK125" i="5"/>
  <c r="DJ107" i="5"/>
  <c r="DJ123" i="5"/>
  <c r="DM3" i="5"/>
  <c r="DL101" i="5"/>
  <c r="CT115" i="5"/>
  <c r="DL125" i="5" l="1"/>
  <c r="DL104" i="5"/>
  <c r="DL124" i="5" s="1"/>
  <c r="DL115" i="5"/>
  <c r="DL103" i="5"/>
  <c r="DK123" i="5"/>
  <c r="DK107" i="5"/>
  <c r="DK102" i="5"/>
  <c r="DN3" i="5"/>
  <c r="DM101" i="5"/>
  <c r="CU123" i="5"/>
  <c r="CU103" i="5" s="1"/>
  <c r="CU102" i="5" s="1"/>
  <c r="CT125" i="5"/>
  <c r="CU115" i="5"/>
  <c r="DM104" i="5" l="1"/>
  <c r="DM124" i="5" s="1"/>
  <c r="DM115" i="5"/>
  <c r="DM103" i="5"/>
  <c r="DM125" i="5"/>
  <c r="DL107" i="5"/>
  <c r="DL123" i="5"/>
  <c r="DL102" i="5"/>
  <c r="DO3" i="5"/>
  <c r="DN101" i="5"/>
  <c r="CT107" i="5"/>
  <c r="CT109" i="5" s="1"/>
  <c r="CT110" i="5" s="1"/>
  <c r="CT127" i="5" s="1"/>
  <c r="CV123" i="5"/>
  <c r="DN104" i="5" l="1"/>
  <c r="DN124" i="5" s="1"/>
  <c r="DN125" i="5"/>
  <c r="DN115" i="5"/>
  <c r="DN103" i="5"/>
  <c r="DM107" i="5"/>
  <c r="DM123" i="5"/>
  <c r="DM102" i="5"/>
  <c r="DP3" i="5"/>
  <c r="DO101" i="5"/>
  <c r="CT126" i="5"/>
  <c r="CT111" i="5"/>
  <c r="CT119" i="5" s="1"/>
  <c r="CV103" i="5"/>
  <c r="CW123" i="5"/>
  <c r="CU107" i="5"/>
  <c r="CU109" i="5" s="1"/>
  <c r="CU126" i="5" s="1"/>
  <c r="DO104" i="5" l="1"/>
  <c r="DO115" i="5"/>
  <c r="DO103" i="5"/>
  <c r="DO123" i="5" s="1"/>
  <c r="DO125" i="5"/>
  <c r="DN123" i="5"/>
  <c r="DN107" i="5"/>
  <c r="DN102" i="5"/>
  <c r="DQ3" i="5"/>
  <c r="DP101" i="5"/>
  <c r="CT113" i="5"/>
  <c r="CT120" i="5" s="1"/>
  <c r="CT128" i="5"/>
  <c r="CU110" i="5"/>
  <c r="CU127" i="5" s="1"/>
  <c r="CX123" i="5"/>
  <c r="CW103" i="5"/>
  <c r="CV102" i="5"/>
  <c r="CV107" i="5"/>
  <c r="DP104" i="5" l="1"/>
  <c r="DP124" i="5" s="1"/>
  <c r="DP125" i="5"/>
  <c r="DP115" i="5"/>
  <c r="DP103" i="5"/>
  <c r="DO102" i="5"/>
  <c r="DO107" i="5"/>
  <c r="DO124" i="5"/>
  <c r="DR3" i="5"/>
  <c r="DQ101" i="5"/>
  <c r="CU111" i="5"/>
  <c r="CW107" i="5"/>
  <c r="CW102" i="5"/>
  <c r="CX103" i="5"/>
  <c r="CY123" i="5"/>
  <c r="DQ104" i="5" l="1"/>
  <c r="DQ124" i="5" s="1"/>
  <c r="DQ115" i="5"/>
  <c r="DQ103" i="5"/>
  <c r="DQ125" i="5"/>
  <c r="DP107" i="5"/>
  <c r="DP123" i="5"/>
  <c r="DP102" i="5"/>
  <c r="DS3" i="5"/>
  <c r="DS101" i="5" s="1"/>
  <c r="DR101" i="5"/>
  <c r="CU119" i="5"/>
  <c r="CU128" i="5"/>
  <c r="CU113" i="5"/>
  <c r="CU120" i="5" s="1"/>
  <c r="CU130" i="5"/>
  <c r="CV109" i="5" s="1"/>
  <c r="CV110" i="5" s="1"/>
  <c r="CV127" i="5" s="1"/>
  <c r="CZ123" i="5"/>
  <c r="CY103" i="5"/>
  <c r="CX102" i="5"/>
  <c r="CX107" i="5"/>
  <c r="DR104" i="5" l="1"/>
  <c r="DR124" i="5" s="1"/>
  <c r="DR125" i="5"/>
  <c r="DR115" i="5"/>
  <c r="DR103" i="5"/>
  <c r="DR102" i="5" s="1"/>
  <c r="DS115" i="5"/>
  <c r="DS103" i="5"/>
  <c r="DS102" i="5" s="1"/>
  <c r="DS104" i="5"/>
  <c r="DS124" i="5" s="1"/>
  <c r="DS125" i="5"/>
  <c r="DQ123" i="5"/>
  <c r="DQ107" i="5"/>
  <c r="DQ102" i="5"/>
  <c r="CV126" i="5"/>
  <c r="CZ103" i="5"/>
  <c r="CY102" i="5"/>
  <c r="CY107" i="5"/>
  <c r="CV111" i="5"/>
  <c r="DS123" i="5" l="1"/>
  <c r="DS107" i="5"/>
  <c r="DR123" i="5"/>
  <c r="DR107" i="5"/>
  <c r="DA103" i="5"/>
  <c r="CV113" i="5"/>
  <c r="CV120" i="5" s="1"/>
  <c r="CV119" i="5"/>
  <c r="CV128" i="5"/>
  <c r="CV130" i="5"/>
  <c r="CW109" i="5" s="1"/>
  <c r="CZ102" i="5"/>
  <c r="CZ107" i="5"/>
  <c r="DA102" i="5" l="1"/>
  <c r="DA107" i="5"/>
  <c r="CW110" i="5"/>
  <c r="CW127" i="5" s="1"/>
  <c r="CW126" i="5"/>
  <c r="DB103" i="5"/>
  <c r="CW111" i="5" l="1"/>
  <c r="CW113" i="5" s="1"/>
  <c r="CW120" i="5" s="1"/>
  <c r="DC103" i="5"/>
  <c r="DC102" i="5" s="1"/>
  <c r="DB107" i="5"/>
  <c r="DB102" i="5"/>
  <c r="CW119" i="5" l="1"/>
  <c r="CW128" i="5"/>
  <c r="CW130" i="5"/>
  <c r="CX109" i="5" s="1"/>
  <c r="CX110" i="5" s="1"/>
  <c r="CX127" i="5" s="1"/>
  <c r="DC107" i="5"/>
  <c r="CX126" i="5" l="1"/>
  <c r="CX111" i="5"/>
  <c r="CX128" i="5" s="1"/>
  <c r="CX113" i="5" l="1"/>
  <c r="CX120" i="5" s="1"/>
  <c r="CX119" i="5"/>
  <c r="CX130" i="5"/>
  <c r="CY109" i="5" s="1"/>
  <c r="CY126" i="5" s="1"/>
  <c r="CY110" i="5" l="1"/>
  <c r="CY127" i="5" s="1"/>
  <c r="CY111" i="5" l="1"/>
  <c r="CY128" i="5" s="1"/>
  <c r="DG107" i="5"/>
  <c r="CY113" i="5" l="1"/>
  <c r="CY120" i="5" s="1"/>
  <c r="CY119" i="5"/>
  <c r="CY130" i="5"/>
  <c r="CZ109" i="5" s="1"/>
  <c r="CZ110" i="5" s="1"/>
  <c r="CZ127" i="5" s="1"/>
  <c r="DI107" i="5"/>
  <c r="DH107" i="5"/>
  <c r="CZ126" i="5" l="1"/>
  <c r="CZ111" i="5"/>
  <c r="CZ119" i="5" s="1"/>
  <c r="CZ130" i="5" l="1"/>
  <c r="DA109" i="5" s="1"/>
  <c r="DA110" i="5" s="1"/>
  <c r="DA127" i="5" s="1"/>
  <c r="CZ128" i="5"/>
  <c r="CZ113" i="5"/>
  <c r="CZ120" i="5" s="1"/>
  <c r="DA126" i="5" l="1"/>
  <c r="DA111" i="5"/>
  <c r="DA119" i="5" l="1"/>
  <c r="DA113" i="5"/>
  <c r="DA120" i="5" s="1"/>
  <c r="DA128" i="5"/>
  <c r="DA130" i="5"/>
  <c r="DB109" i="5" s="1"/>
  <c r="DB110" i="5" l="1"/>
  <c r="DB127" i="5" s="1"/>
  <c r="DB126" i="5"/>
  <c r="DB111" i="5" l="1"/>
  <c r="DB113" i="5" l="1"/>
  <c r="DB120" i="5" s="1"/>
  <c r="DB119" i="5"/>
  <c r="DB128" i="5"/>
  <c r="DB130" i="5"/>
  <c r="DC109" i="5" s="1"/>
  <c r="DC110" i="5" l="1"/>
  <c r="DC127" i="5" s="1"/>
  <c r="DC126" i="5"/>
  <c r="DC111" i="5" l="1"/>
  <c r="DC119" i="5" l="1"/>
  <c r="DC128" i="5"/>
  <c r="DC113" i="5"/>
  <c r="DC120" i="5" s="1"/>
  <c r="DC130" i="5"/>
  <c r="DD126" i="5" l="1"/>
  <c r="DD127" i="5"/>
  <c r="DD113" i="5" l="1"/>
  <c r="DD120" i="5" s="1"/>
  <c r="DD128" i="5"/>
  <c r="DD119" i="5"/>
  <c r="DE126" i="5" l="1"/>
  <c r="DE127" i="5"/>
  <c r="DE119" i="5" l="1"/>
  <c r="DE113" i="5" l="1"/>
  <c r="DE120" i="5" s="1"/>
  <c r="DE128" i="5"/>
  <c r="AC101" i="5" l="1"/>
  <c r="AC115" i="5" l="1"/>
  <c r="AC124" i="5"/>
  <c r="AC125" i="5"/>
  <c r="AC103" i="5"/>
  <c r="AG115" i="5"/>
  <c r="AC123" i="5" l="1"/>
  <c r="AC107" i="5"/>
  <c r="AC126" i="5" s="1"/>
  <c r="AC109" i="5" l="1"/>
  <c r="AC127" i="5" s="1"/>
  <c r="AC111" i="5" l="1"/>
  <c r="AC128" i="5" s="1"/>
  <c r="AC119" i="5" l="1"/>
  <c r="AG119" i="5"/>
  <c r="AC193" i="5"/>
  <c r="AC195" i="5" s="1"/>
  <c r="AC113" i="5"/>
  <c r="AG120" i="5" l="1"/>
  <c r="AC120" i="5"/>
  <c r="DG109" i="5"/>
  <c r="DF125" i="5"/>
  <c r="DF124" i="5"/>
  <c r="DG126" i="5" l="1"/>
  <c r="DG110" i="5"/>
  <c r="DG127" i="5" s="1"/>
  <c r="DF126" i="5"/>
  <c r="DF127" i="5"/>
  <c r="DG111" i="5" l="1"/>
  <c r="DF128" i="5"/>
  <c r="DF119" i="5"/>
  <c r="DF113" i="5"/>
  <c r="DG113" i="5" l="1"/>
  <c r="DG120" i="5" s="1"/>
  <c r="DG130" i="5"/>
  <c r="DG119" i="5"/>
  <c r="DG128" i="5"/>
  <c r="DF120" i="5"/>
  <c r="DH108" i="5" l="1"/>
  <c r="DH109" i="5" s="1"/>
  <c r="DH110" i="5" l="1"/>
  <c r="DH127" i="5" s="1"/>
  <c r="DH126" i="5"/>
  <c r="DH111" i="5" l="1"/>
  <c r="DH128" i="5" s="1"/>
  <c r="DH130" i="5" l="1"/>
  <c r="DI108" i="5" s="1"/>
  <c r="DI109" i="5" s="1"/>
  <c r="DH119" i="5"/>
  <c r="DH113" i="5"/>
  <c r="DH120" i="5" s="1"/>
  <c r="DI110" i="5" l="1"/>
  <c r="DI127" i="5" s="1"/>
  <c r="DI126" i="5"/>
  <c r="DI111" i="5" l="1"/>
  <c r="DI128" i="5" s="1"/>
  <c r="DI130" i="5" l="1"/>
  <c r="DI119" i="5"/>
  <c r="DI113" i="5"/>
  <c r="DI120" i="5" s="1"/>
  <c r="DJ108" i="5"/>
  <c r="DJ109" i="5" s="1"/>
  <c r="DJ126" i="5" l="1"/>
  <c r="DJ110" i="5"/>
  <c r="DJ127" i="5" s="1"/>
  <c r="DJ111" i="5" l="1"/>
  <c r="DJ128" i="5" l="1"/>
  <c r="DJ113" i="5"/>
  <c r="DJ130" i="5"/>
  <c r="DK108" i="5" l="1"/>
  <c r="DK109" i="5" s="1"/>
  <c r="DK126" i="5" l="1"/>
  <c r="DK110" i="5"/>
  <c r="DK127" i="5" s="1"/>
  <c r="DK111" i="5" l="1"/>
  <c r="DK128" i="5" s="1"/>
  <c r="DK130" i="5" l="1"/>
  <c r="DK113" i="5"/>
  <c r="DL108" i="5"/>
  <c r="DL109" i="5" s="1"/>
  <c r="DL126" i="5" l="1"/>
  <c r="DL110" i="5"/>
  <c r="DL127" i="5" s="1"/>
  <c r="DL111" i="5" l="1"/>
  <c r="DL128" i="5" s="1"/>
  <c r="DL130" i="5" l="1"/>
  <c r="DM108" i="5" s="1"/>
  <c r="DM109" i="5" s="1"/>
  <c r="DL113" i="5"/>
  <c r="DM126" i="5" l="1"/>
  <c r="DM110" i="5"/>
  <c r="DM127" i="5" s="1"/>
  <c r="DM111" i="5" l="1"/>
  <c r="DM128" i="5" s="1"/>
  <c r="DM130" i="5" l="1"/>
  <c r="DN108" i="5" s="1"/>
  <c r="DN109" i="5" s="1"/>
  <c r="DM113" i="5"/>
  <c r="DN126" i="5" l="1"/>
  <c r="DN110" i="5"/>
  <c r="DN127" i="5" s="1"/>
  <c r="DN111" i="5" l="1"/>
  <c r="DN128" i="5" s="1"/>
  <c r="DN130" i="5" l="1"/>
  <c r="DO108" i="5" s="1"/>
  <c r="DO109" i="5" s="1"/>
  <c r="DN113" i="5"/>
  <c r="DO126" i="5" l="1"/>
  <c r="DO110" i="5"/>
  <c r="DO111" i="5" l="1"/>
  <c r="DO127" i="5"/>
  <c r="DO128" i="5" l="1"/>
  <c r="DO113" i="5"/>
  <c r="DO130" i="5"/>
  <c r="DP108" i="5" l="1"/>
  <c r="DP109" i="5" s="1"/>
  <c r="DP126" i="5" l="1"/>
  <c r="DP110" i="5"/>
  <c r="DP127" i="5" s="1"/>
  <c r="DP111" i="5" l="1"/>
  <c r="DP128" i="5"/>
  <c r="DP113" i="5"/>
  <c r="DP130" i="5"/>
  <c r="DQ108" i="5" l="1"/>
  <c r="DQ109" i="5" s="1"/>
  <c r="DQ110" i="5" l="1"/>
  <c r="DQ127" i="5" s="1"/>
  <c r="DQ126" i="5"/>
  <c r="DQ111" i="5" l="1"/>
  <c r="DQ128" i="5" s="1"/>
  <c r="DQ113" i="5"/>
  <c r="DQ130" i="5"/>
  <c r="DR108" i="5" l="1"/>
  <c r="DR109" i="5" s="1"/>
  <c r="DR110" i="5" l="1"/>
  <c r="DR127" i="5" s="1"/>
  <c r="DR126" i="5"/>
  <c r="DR111" i="5" l="1"/>
  <c r="DR128" i="5" s="1"/>
  <c r="DR130" i="5" l="1"/>
  <c r="DR113" i="5"/>
  <c r="DS108" i="5"/>
  <c r="DS109" i="5" s="1"/>
  <c r="DS110" i="5" l="1"/>
  <c r="DS127" i="5" s="1"/>
  <c r="DS126" i="5"/>
  <c r="DS111" i="5" l="1"/>
  <c r="DS128" i="5" s="1"/>
  <c r="DS113" i="5" l="1"/>
  <c r="DS130" i="5"/>
  <c r="DT111" i="5"/>
  <c r="DU111" i="5" s="1"/>
  <c r="DV111" i="5" s="1"/>
  <c r="DW111" i="5" s="1"/>
  <c r="DX111" i="5" s="1"/>
  <c r="DY111" i="5" s="1"/>
  <c r="DZ111" i="5" s="1"/>
  <c r="EA111" i="5" s="1"/>
  <c r="EB111" i="5" s="1"/>
  <c r="EC111" i="5" s="1"/>
  <c r="ED111" i="5" s="1"/>
  <c r="EE111" i="5" s="1"/>
  <c r="EF111" i="5" s="1"/>
  <c r="EG111" i="5" s="1"/>
  <c r="EH111" i="5" s="1"/>
  <c r="EI111" i="5" s="1"/>
  <c r="EJ111" i="5" s="1"/>
  <c r="EK111" i="5" s="1"/>
  <c r="EL111" i="5" s="1"/>
  <c r="EM111" i="5" s="1"/>
  <c r="EN111" i="5" s="1"/>
  <c r="EO111" i="5" s="1"/>
  <c r="EP111" i="5" s="1"/>
  <c r="EQ111" i="5" s="1"/>
  <c r="ER111" i="5" s="1"/>
  <c r="ES111" i="5" s="1"/>
  <c r="ET111" i="5" s="1"/>
  <c r="EU111" i="5" s="1"/>
  <c r="EV111" i="5" s="1"/>
  <c r="EW111" i="5" s="1"/>
  <c r="EX111" i="5" s="1"/>
  <c r="EY111" i="5" s="1"/>
  <c r="EZ111" i="5" s="1"/>
  <c r="FA111" i="5" s="1"/>
  <c r="FB111" i="5" s="1"/>
  <c r="FC111" i="5" s="1"/>
  <c r="FD111" i="5" s="1"/>
  <c r="FE111" i="5" s="1"/>
  <c r="FF111" i="5" s="1"/>
  <c r="FG111" i="5" s="1"/>
  <c r="FH111" i="5" s="1"/>
  <c r="FI111" i="5" s="1"/>
  <c r="FJ111" i="5" s="1"/>
  <c r="FK111" i="5" s="1"/>
  <c r="FL111" i="5" s="1"/>
  <c r="FM111" i="5" s="1"/>
  <c r="FN111" i="5" s="1"/>
  <c r="FO111" i="5" s="1"/>
  <c r="FP111" i="5" s="1"/>
  <c r="FQ111" i="5" s="1"/>
  <c r="FR111" i="5" s="1"/>
  <c r="FS111" i="5" s="1"/>
  <c r="DV119" i="5" s="1"/>
  <c r="DV120" i="5" s="1"/>
  <c r="DV121" i="5" s="1"/>
  <c r="FT111" i="5" l="1"/>
  <c r="FU111" i="5" s="1"/>
  <c r="FV111" i="5" s="1"/>
  <c r="FW111" i="5" s="1"/>
  <c r="FX111" i="5" s="1"/>
  <c r="FY111" i="5" s="1"/>
  <c r="FZ111" i="5" s="1"/>
  <c r="GA111" i="5" s="1"/>
  <c r="GB111" i="5" s="1"/>
  <c r="GC111" i="5" s="1"/>
  <c r="GD111" i="5" s="1"/>
  <c r="GE111" i="5" s="1"/>
  <c r="GF111" i="5" s="1"/>
  <c r="GG111" i="5" s="1"/>
  <c r="GH111" i="5" s="1"/>
  <c r="GI111" i="5" s="1"/>
  <c r="GJ111" i="5" s="1"/>
  <c r="GK11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tc={03AF95B9-068B-48CD-806A-94C6B7B864D9}</author>
  </authors>
  <commentList>
    <comment ref="F3" authorId="0" shapeId="0" xr:uid="{03AF95B9-068B-48CD-806A-94C6B7B864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Diskus approved 8/24/2000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  <author>Martin Shkreli</author>
    <author xml:space="preserve"> </author>
    <author>MSMB - Andre</author>
    <author>Martin</author>
    <author>tc={59B5BB42-C672-46DD-AFA0-9246AD414857}</author>
    <author>tc={DFAA27FD-EDD0-4577-BD62-4799DE66F44E}</author>
    <author>tc={8BD7E764-3C44-4855-8A2C-126CD6680518}</author>
    <author>tc={4AC894B8-18B3-4778-A6DA-97775BA5530D}</author>
    <author>tc={D5549FF8-C43E-4B47-B3EF-B7BADBC43614}</author>
    <author>tc={73281FE4-B227-4749-BB72-94DB80C56DF4}</author>
    <author>tc={1ADD1653-7317-4DB9-811A-2DEA31ADF4E8}</author>
    <author>Bloomberg</author>
    <author>tc={CF080184-7B2D-455D-9A74-4E5F85F95A59}</author>
    <author>tc={68667B6A-5C22-45CE-AA39-05A35252D800}</author>
    <author>tc={43B9D496-DDBA-4956-8BB5-AB43B41B3A10}</author>
    <author>tc={346FE1A0-CE4A-4919-88BA-BEDB66247B6B}</author>
    <author>tc={6DEAFE5F-48C2-49A3-BEF5-057ACFA8BBB3}</author>
    <author>tc={99B8FDF8-7CD1-405C-8684-6DBEB48C3BE9}</author>
    <author>tc={86362392-D8AB-44B9-A948-02F3B31E9306}</author>
    <author>tc={C3DE93A2-2E99-4015-A687-91DC43E9E8B0}</author>
    <author>tc={405F6D6F-B0A4-4E22-B7E6-22834B0A5FAE}</author>
    <author>tc={3DECF7D8-CDD1-4C00-BC18-5D5572EF88BD}</author>
    <author>tc={EC400C88-1EDF-4C9C-8565-82AD3964E084}</author>
    <author>tc={C5D923C6-3DD0-4635-9133-7A2CFE94F440}</author>
  </authors>
  <commentList>
    <comment ref="O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+11% CER</t>
        </r>
      </text>
    </comment>
    <comment ref="P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Q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+7% CER</t>
        </r>
      </text>
    </comment>
    <comment ref="R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S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CER</t>
        </r>
      </text>
    </comment>
    <comment ref="T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+6% CER</t>
        </r>
      </text>
    </comment>
    <comment ref="W3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flat</t>
        </r>
      </text>
    </comment>
    <comment ref="X3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3" authorId="2" shapeId="0" xr:uid="{00000000-0006-0000-0100-000009000000}">
      <text>
        <r>
          <rPr>
            <sz val="8"/>
            <color indexed="81"/>
            <rFont val="Tahoma"/>
            <family val="2"/>
          </rPr>
          <t>Rx dn 4% y/y in US
CER +5%</t>
        </r>
      </text>
    </comment>
    <comment ref="Z3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7% CER</t>
        </r>
      </text>
    </comment>
    <comment ref="AA3" authorId="3" shapeId="0" xr:uid="{00000000-0006-0000-01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CER 0% - big miss
USA CER 0% excluding stocking</t>
        </r>
      </text>
    </comment>
    <comment ref="AC3" authorId="4" shapeId="0" xr:uid="{00000000-0006-0000-01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
US CER +1%, difference due to stocking</t>
        </r>
      </text>
    </comment>
    <comment ref="AD3" authorId="4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-4% CER</t>
        </r>
      </text>
    </comment>
    <comment ref="AE3" authorId="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CER</t>
        </r>
      </text>
    </comment>
    <comment ref="AF3" authorId="4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CER</t>
        </r>
      </text>
    </comment>
    <comment ref="AG3" authorId="4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AH3" authorId="4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CER</t>
        </r>
      </text>
    </comment>
    <comment ref="CI3" authorId="5" shapeId="0" xr:uid="{59B5BB42-C672-46DD-AFA0-9246AD414857}">
      <text>
        <t>[Threaded comment]
Your version of Excel allows you to read this threaded comment; however, any edits to it will get removed if the file is opened in a newer version of Excel. Learn more: https://go.microsoft.com/fwlink/?linkid=870924
Comment:
    48m USD</t>
      </text>
    </comment>
    <comment ref="CJ3" authorId="6" shapeId="0" xr:uid="{DFAA27FD-EDD0-4577-BD62-4799DE66F44E}">
      <text>
        <t>[Threaded comment]
Your version of Excel allows you to read this threaded comment; however, any edits to it will get removed if the file is opened in a newer version of Excel. Learn more: https://go.microsoft.com/fwlink/?linkid=870924
Comment:
    208m GBP</t>
      </text>
    </comment>
    <comment ref="CR3" authorId="1" shapeId="0" xr:uid="{00000000-0006-0000-01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4bn guidance</t>
        </r>
      </text>
    </comment>
    <comment ref="CU3" authorId="2" shapeId="0" xr:uid="{00000000-0006-0000-0100-000014000000}">
      <text>
        <r>
          <rPr>
            <sz val="8"/>
            <color indexed="81"/>
            <rFont val="Tahoma"/>
            <family val="2"/>
          </rPr>
          <t>Blister patent expires</t>
        </r>
      </text>
    </comment>
    <comment ref="CZ3" authorId="4" shapeId="0" xr:uid="{00000000-0006-0000-0100-00001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Leerink at 3900+800=4700 as of Q409</t>
        </r>
      </text>
    </comment>
    <comment ref="W4" authorId="4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X4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4" authorId="4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+8% CER, alli contribution</t>
        </r>
      </text>
    </comment>
    <comment ref="Z4" authorId="4" shapeId="0" xr:uid="{00000000-0006-0000-01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CER, includes Alli</t>
        </r>
      </text>
    </comment>
    <comment ref="AA4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
Alli boosted sales</t>
        </r>
      </text>
    </comment>
    <comment ref="AB4" authorId="4" shapeId="0" xr:uid="{00000000-0006-0000-0100-00001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CER excluding Alli
+3% CER including Alli</t>
        </r>
      </text>
    </comment>
    <comment ref="AC4" authorId="4" shapeId="0" xr:uid="{00000000-0006-0000-0100-00001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CER +4%</t>
        </r>
      </text>
    </comment>
    <comment ref="AD4" authorId="4" shapeId="0" xr:uid="{00000000-0006-0000-0100-00001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+4% CER</t>
        </r>
      </text>
    </comment>
    <comment ref="AE4" authorId="4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CER, including +15% ex-US/EU</t>
        </r>
      </text>
    </comment>
    <comment ref="AF4" authorId="4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4% CER</t>
        </r>
      </text>
    </comment>
    <comment ref="AG4" authorId="4" shapeId="0" xr:uid="{00000000-0006-0000-01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AH4" authorId="4" shapeId="0" xr:uid="{00000000-0006-0000-01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CZ4" authorId="4" shapeId="0" xr:uid="{00000000-0006-0000-0100-00002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 at 5920</t>
        </r>
      </text>
    </comment>
    <comment ref="DK6" authorId="7" shapeId="0" xr:uid="{8BD7E764-3C44-4855-8A2C-126CD668051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K7" authorId="8" shapeId="0" xr:uid="{4AC894B8-18B3-4778-A6DA-97775BA5530D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K8" authorId="9" shapeId="0" xr:uid="{D5549FF8-C43E-4B47-B3EF-B7BADBC4361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K9" authorId="10" shapeId="0" xr:uid="{73281FE4-B227-4749-BB72-94DB80C56DF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AE10" authorId="4" shapeId="0" xr:uid="{00000000-0006-0000-0100-00002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CER, almost all ex-US</t>
        </r>
      </text>
    </comment>
    <comment ref="AF15" authorId="4" shapeId="0" xr:uid="{00000000-0006-0000-0100-00006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2m pounds</t>
        </r>
      </text>
    </comment>
    <comment ref="AG15" authorId="4" shapeId="0" xr:uid="{00000000-0006-0000-0100-00006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$19m USD</t>
        </r>
      </text>
    </comment>
    <comment ref="CZ15" authorId="4" shapeId="0" xr:uid="{00000000-0006-0000-0100-00006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1900</t>
        </r>
      </text>
    </comment>
    <comment ref="X17" authorId="2" shapeId="0" xr:uid="{00000000-0006-0000-0100-00002B000000}">
      <text>
        <r>
          <rPr>
            <sz val="8"/>
            <color indexed="81"/>
            <rFont val="Tahoma"/>
            <family val="2"/>
          </rPr>
          <t>-20% CER</t>
        </r>
      </text>
    </comment>
    <comment ref="AA17" authorId="4" shapeId="0" xr:uid="{00000000-0006-0000-01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CS17" authorId="2" shapeId="0" xr:uid="{00000000-0006-0000-0100-00002D000000}">
      <text>
        <r>
          <rPr>
            <sz val="8"/>
            <color indexed="81"/>
            <rFont val="Tahoma"/>
            <family val="2"/>
          </rPr>
          <t>DTPa competition</t>
        </r>
      </text>
    </comment>
    <comment ref="X20" authorId="2" shapeId="0" xr:uid="{00000000-0006-0000-0100-000033000000}">
      <text>
        <r>
          <rPr>
            <sz val="8"/>
            <color indexed="81"/>
            <rFont val="Tahoma"/>
            <family val="2"/>
          </rPr>
          <t>CER -2%</t>
        </r>
      </text>
    </comment>
    <comment ref="AA20" authorId="4" shapeId="0" xr:uid="{00000000-0006-0000-0100-00003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+38% CER, why?</t>
        </r>
      </text>
    </comment>
    <comment ref="AA21" authorId="3" shapeId="0" xr:uid="{00000000-0006-0000-0100-00003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FDA requests halt of use.</t>
        </r>
      </text>
    </comment>
    <comment ref="DK22" authorId="11" shapeId="0" xr:uid="{1ADD1653-7317-4DB9-811A-2DEA31ADF4E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X23" authorId="2" shapeId="0" xr:uid="{00000000-0006-0000-0100-000027000000}">
      <text>
        <r>
          <rPr>
            <sz val="8"/>
            <color indexed="81"/>
            <rFont val="Tahoma"/>
            <family val="2"/>
          </rPr>
          <t>+1% CER</t>
        </r>
      </text>
    </comment>
    <comment ref="Z23" authorId="3" shapeId="0" xr:uid="{00000000-0006-0000-01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3% CER</t>
        </r>
      </text>
    </comment>
    <comment ref="AA23" authorId="4" shapeId="0" xr:uid="{00000000-0006-0000-01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</t>
        </r>
      </text>
    </comment>
    <comment ref="CZ23" authorId="4" shapeId="0" xr:uid="{00000000-0006-0000-01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415m</t>
        </r>
      </text>
    </comment>
    <comment ref="X24" authorId="2" shapeId="0" xr:uid="{00000000-0006-0000-0100-000030000000}">
      <text>
        <r>
          <rPr>
            <sz val="8"/>
            <color indexed="81"/>
            <rFont val="Tahoma"/>
            <family val="2"/>
          </rPr>
          <t>2% CER, 8% US</t>
        </r>
      </text>
    </comment>
    <comment ref="CS24" authorId="2" shapeId="0" xr:uid="{00000000-0006-0000-0100-000031000000}">
      <text>
        <r>
          <rPr>
            <sz val="8"/>
            <color indexed="81"/>
            <rFont val="Tahoma"/>
            <family val="2"/>
          </rPr>
          <t>exiting 8% US</t>
        </r>
      </text>
    </comment>
    <comment ref="U25" authorId="1" shapeId="0" xr:uid="{00000000-0006-0000-0100-00003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7/23 teva approval
80% sales in US</t>
        </r>
      </text>
    </comment>
    <comment ref="AI25" authorId="4" shapeId="0" xr:uid="{00000000-0006-0000-0100-00003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XR 34m - not included</t>
        </r>
      </text>
    </comment>
    <comment ref="CR25" authorId="1" shapeId="0" xr:uid="{00000000-0006-0000-0100-00003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generic expected launch in 2008 - july 08 patent expiry (plus 6 months)</t>
        </r>
      </text>
    </comment>
    <comment ref="CS25" authorId="12" shapeId="0" xr:uid="{00000000-0006-0000-0100-00003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XR approval?</t>
        </r>
      </text>
    </comment>
    <comment ref="AE29" authorId="4" shapeId="0" xr:uid="{00000000-0006-0000-0100-00002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CZ29" authorId="4" shapeId="0" xr:uid="{00000000-0006-0000-0100-00002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775m</t>
        </r>
      </text>
    </comment>
    <comment ref="AA30" authorId="4" shapeId="0" xr:uid="{00000000-0006-0000-01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+20% CER</t>
        </r>
      </text>
    </comment>
    <comment ref="CW30" authorId="4" shapeId="0" xr:uid="{00000000-0006-0000-01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5998427 expires 9/2013</t>
        </r>
      </text>
    </comment>
    <comment ref="CY30" authorId="4" shapeId="0" xr:uid="{00000000-0006-0000-01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BRL authorized generic 2015</t>
        </r>
      </text>
    </comment>
    <comment ref="CZ31" authorId="4" shapeId="0" xr:uid="{00000000-0006-0000-0100-00003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500m</t>
        </r>
      </text>
    </comment>
    <comment ref="CS47" authorId="12" shapeId="0" xr:uid="{00000000-0006-0000-0100-000063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2009 expiry</t>
        </r>
      </text>
    </comment>
    <comment ref="X48" authorId="2" shapeId="0" xr:uid="{00000000-0006-0000-0100-00003D000000}">
      <text>
        <r>
          <rPr>
            <sz val="8"/>
            <color indexed="81"/>
            <rFont val="Tahoma"/>
            <family val="2"/>
          </rPr>
          <t>~70% ex-US/EU
-13% CER</t>
        </r>
      </text>
    </comment>
    <comment ref="X49" authorId="1" shapeId="0" xr:uid="{00000000-0006-0000-0100-00003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CS49" authorId="12" shapeId="0" xr:uid="{00000000-0006-0000-0100-00003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June 2009 expiry</t>
        </r>
      </text>
    </comment>
    <comment ref="CZ49" authorId="4" shapeId="0" xr:uid="{00000000-0006-0000-01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100m</t>
        </r>
      </text>
    </comment>
    <comment ref="X52" authorId="2" shapeId="0" xr:uid="{00000000-0006-0000-0100-000039000000}">
      <text>
        <r>
          <rPr>
            <sz val="8"/>
            <color indexed="81"/>
            <rFont val="Tahoma"/>
            <family val="2"/>
          </rPr>
          <t>15% US, CER 3%</t>
        </r>
      </text>
    </comment>
    <comment ref="CY53" authorId="4" shapeId="0" xr:uid="{00000000-0006-0000-0100-00003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Settlement agreement</t>
        </r>
      </text>
    </comment>
    <comment ref="DE54" authorId="4" shapeId="0" xr:uid="{00000000-0006-0000-0100-00003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COM expires 12/19/21</t>
        </r>
      </text>
    </comment>
    <comment ref="C59" authorId="3" shapeId="0" xr:uid="{00000000-0006-0000-0100-00004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180m Zofran</t>
        </r>
      </text>
    </comment>
    <comment ref="D59" authorId="3" shapeId="0" xr:uid="{00000000-0006-0000-01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192m Zofran</t>
        </r>
      </text>
    </comment>
    <comment ref="E59" authorId="3" shapeId="0" xr:uid="{00000000-0006-0000-01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201m Zofran</t>
        </r>
      </text>
    </comment>
    <comment ref="F59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190m Zofran</t>
        </r>
      </text>
    </comment>
    <comment ref="G59" authorId="3" shapeId="0" xr:uid="{00000000-0006-0000-0100-00004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189m Zofran</t>
        </r>
      </text>
    </comment>
    <comment ref="H59" authorId="3" shapeId="0" xr:uid="{00000000-0006-0000-0100-00004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204m Zofran</t>
        </r>
      </text>
    </comment>
    <comment ref="I59" authorId="3" shapeId="0" xr:uid="{00000000-0006-0000-0100-00004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215m Zofran</t>
        </r>
      </text>
    </comment>
    <comment ref="J59" authorId="3" shapeId="0" xr:uid="{00000000-0006-0000-0100-00004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K59" authorId="3" shapeId="0" xr:uid="{00000000-0006-0000-01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230m Zofran</t>
        </r>
      </text>
    </comment>
    <comment ref="L59" authorId="3" shapeId="0" xr:uid="{00000000-0006-0000-0100-00004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M59" authorId="3" shapeId="0" xr:uid="{00000000-0006-0000-0100-00004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223m Zofran</t>
        </r>
      </text>
    </comment>
    <comment ref="N59" authorId="3" shapeId="0" xr:uid="{00000000-0006-0000-0100-00004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165m Zofran</t>
        </r>
      </text>
    </comment>
    <comment ref="O59" authorId="3" shapeId="0" xr:uid="{00000000-0006-0000-0100-00004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87m Zofran</t>
        </r>
      </text>
    </comment>
    <comment ref="P59" authorId="3" shapeId="0" xr:uid="{00000000-0006-0000-0100-00004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55m Zofran</t>
        </r>
      </text>
    </comment>
    <comment ref="Q59" authorId="3" shapeId="0" xr:uid="{00000000-0006-0000-0100-00004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R59" authorId="3" shapeId="0" xr:uid="{00000000-0006-0000-0100-00005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22m Zofran</t>
        </r>
      </text>
    </comment>
    <comment ref="S59" authorId="3" shapeId="0" xr:uid="{00000000-0006-0000-0100-00005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29m Zofran</t>
        </r>
      </text>
    </comment>
    <comment ref="T59" authorId="3" shapeId="0" xr:uid="{00000000-0006-0000-0100-00005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31m Zofran</t>
        </r>
      </text>
    </comment>
    <comment ref="U59" authorId="3" shapeId="0" xr:uid="{00000000-0006-0000-01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33m Zofran</t>
        </r>
      </text>
    </comment>
    <comment ref="V59" authorId="3" shapeId="0" xr:uid="{00000000-0006-0000-0100-00005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17m Zofran</t>
        </r>
      </text>
    </comment>
    <comment ref="W59" authorId="3" shapeId="0" xr:uid="{00000000-0006-0000-01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X59" authorId="3" shapeId="0" xr:uid="{00000000-0006-0000-0100-00005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30m Zofran</t>
        </r>
      </text>
    </comment>
    <comment ref="Y59" authorId="3" shapeId="0" xr:uid="{00000000-0006-0000-0100-00005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23m Zofran</t>
        </r>
      </text>
    </comment>
    <comment ref="Z59" authorId="3" shapeId="0" xr:uid="{00000000-0006-0000-0100-00005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24m Zofran</t>
        </r>
      </text>
    </comment>
    <comment ref="CL59" authorId="3" shapeId="0" xr:uid="{00000000-0006-0000-0100-00005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708m Zofran</t>
        </r>
      </text>
    </comment>
    <comment ref="CM59" authorId="3" shapeId="0" xr:uid="{00000000-0006-0000-0100-00005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774m Zofran</t>
        </r>
      </text>
    </comment>
    <comment ref="CN59" authorId="3" shapeId="0" xr:uid="{00000000-0006-0000-0100-00005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763m Zofran</t>
        </r>
      </text>
    </comment>
    <comment ref="CO59" authorId="3" shapeId="0" xr:uid="{00000000-0006-0000-0100-00005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837m Zofran</t>
        </r>
      </text>
    </comment>
    <comment ref="CP59" authorId="3" shapeId="0" xr:uid="{00000000-0006-0000-0100-00005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847m Zofran</t>
        </r>
      </text>
    </comment>
    <comment ref="CQ59" authorId="3" shapeId="0" xr:uid="{00000000-0006-0000-0100-00005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196m Zofran</t>
        </r>
      </text>
    </comment>
    <comment ref="CR59" authorId="3" shapeId="0" xr:uid="{00000000-0006-0000-0100-00005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110m Zofran</t>
        </r>
      </text>
    </comment>
    <comment ref="CS59" authorId="3" shapeId="0" xr:uid="{00000000-0006-0000-01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85m Zofran</t>
        </r>
      </text>
    </comment>
    <comment ref="CZ61" authorId="4" shapeId="0" xr:uid="{00000000-0006-0000-0100-00006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330m</t>
        </r>
      </text>
    </comment>
    <comment ref="CZ62" authorId="4" shapeId="0" xr:uid="{00000000-0006-0000-0100-00006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555m</t>
        </r>
      </text>
    </comment>
    <comment ref="B64" authorId="12" shapeId="0" xr:uid="{00000000-0006-0000-0100-000064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75% ex-US/EU</t>
        </r>
      </text>
    </comment>
    <comment ref="X70" authorId="2" shapeId="0" xr:uid="{00000000-0006-0000-0100-000068000000}">
      <text>
        <r>
          <rPr>
            <sz val="8"/>
            <color indexed="81"/>
            <rFont val="Tahoma"/>
            <family val="2"/>
          </rPr>
          <t>-21% CER</t>
        </r>
      </text>
    </comment>
    <comment ref="T71" authorId="1" shapeId="0" xr:uid="{00000000-0006-0000-01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 sales began in May</t>
        </r>
      </text>
    </comment>
    <comment ref="X73" authorId="2" shapeId="0" xr:uid="{00000000-0006-0000-0100-00006A000000}">
      <text>
        <r>
          <rPr>
            <sz val="8"/>
            <color indexed="81"/>
            <rFont val="Tahoma"/>
            <family val="2"/>
          </rPr>
          <t>5/6/2009
Sold US rights to Biovail for$510m</t>
        </r>
      </text>
    </comment>
    <comment ref="CS73" authorId="1" shapeId="0" xr:uid="{00000000-0006-0000-0100-00006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Sold to BVF 5/09</t>
        </r>
      </text>
    </comment>
    <comment ref="AI74" authorId="4" shapeId="0" xr:uid="{00000000-0006-0000-0100-00006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Generics in EU</t>
        </r>
      </text>
    </comment>
    <comment ref="AJ74" authorId="4" shapeId="0" xr:uid="{00000000-0006-0000-0100-00006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20m 1H12 due to generics</t>
        </r>
      </text>
    </comment>
    <comment ref="CS75" authorId="2" shapeId="0" xr:uid="{00000000-0006-0000-0100-00006E000000}">
      <text>
        <r>
          <rPr>
            <sz val="8"/>
            <color indexed="81"/>
            <rFont val="Tahoma"/>
            <family val="2"/>
          </rPr>
          <t>Exiting 2009 at 20% US</t>
        </r>
      </text>
    </comment>
    <comment ref="X82" authorId="2" shapeId="0" xr:uid="{00000000-0006-0000-0100-00006F000000}">
      <text>
        <r>
          <rPr>
            <sz val="8"/>
            <color indexed="81"/>
            <rFont val="Tahoma"/>
            <family val="2"/>
          </rPr>
          <t>CER -14%</t>
        </r>
      </text>
    </comment>
    <comment ref="AC82" authorId="4" shapeId="0" xr:uid="{00000000-0006-0000-0100-00007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9/23/10 EMEA Suspends Avandia</t>
        </r>
      </text>
    </comment>
    <comment ref="CV82" authorId="12" shapeId="0" xr:uid="{00000000-0006-0000-0100-000071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settlement</t>
        </r>
      </text>
    </comment>
    <comment ref="CZ82" authorId="4" shapeId="0" xr:uid="{00000000-0006-0000-0100-00007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175m</t>
        </r>
      </text>
    </comment>
    <comment ref="AJ88" authorId="4" shapeId="0" xr:uid="{00000000-0006-0000-0100-00007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Approved, launch in 13</t>
        </r>
      </text>
    </comment>
    <comment ref="AJ91" authorId="4" shapeId="0" xr:uid="{00000000-0006-0000-0100-00007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co-promote concludes</t>
        </r>
      </text>
    </comment>
    <comment ref="CU97" authorId="4" shapeId="0" xr:uid="{00000000-0006-0000-0100-00007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settlement for Q411</t>
        </r>
      </text>
    </comment>
    <comment ref="Z98" authorId="3" shapeId="0" xr:uid="{00000000-0006-0000-0100-00007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11% CER</t>
        </r>
      </text>
    </comment>
    <comment ref="AI100" authorId="4" shapeId="0" xr:uid="{00000000-0006-0000-0100-00007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AJ100" authorId="4" shapeId="0" xr:uid="{00000000-0006-0000-0100-00007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CZ100" authorId="4" shapeId="0" xr:uid="{00000000-0006-0000-0100-00007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450m</t>
        </r>
      </text>
    </comment>
    <comment ref="BV101" authorId="13" shapeId="0" xr:uid="{CF080184-7B2D-455D-9A74-4E5F85F95A59}">
      <text>
        <t>[Threaded comment]
Your version of Excel allows you to read this threaded comment; however, any edits to it will get removed if the file is opened in a newer version of Excel. Learn more: https://go.microsoft.com/fwlink/?linkid=870924
Comment:
    9527 reported
7076 continuing</t>
      </text>
    </comment>
    <comment ref="BW101" authorId="14" shapeId="0" xr:uid="{68667B6A-5C22-45CE-AA39-05A35252D800}">
      <text>
        <t>[Threaded comment]
Your version of Excel allows you to read this threaded comment; however, any edits to it will get removed if the file is opened in a newer version of Excel. Learn more: https://go.microsoft.com/fwlink/?linkid=870924
Comment:
    9780 actual
7190 continuing operations</t>
      </text>
    </comment>
    <comment ref="BY101" authorId="15" shapeId="0" xr:uid="{43B9D496-DDBA-4956-8BB5-AB43B41B3A10}">
      <text>
        <t>[Threaded comment]
Your version of Excel allows you to read this threaded comment; however, any edits to it will get removed if the file is opened in a newer version of Excel. Learn more: https://go.microsoft.com/fwlink/?linkid=870924
Comment:
    7829 reported revenue</t>
      </text>
    </comment>
    <comment ref="BZ101" authorId="16" shapeId="0" xr:uid="{346FE1A0-CE4A-4919-88BA-BEDB66247B6B}">
      <text>
        <t>[Threaded comment]
Your version of Excel allows you to read this threaded comment; however, any edits to it will get removed if the file is opened in a newer version of Excel. Learn more: https://go.microsoft.com/fwlink/?linkid=870924
Comment:
    7376 reported revenue</t>
      </text>
    </comment>
    <comment ref="CT101" authorId="4" shapeId="0" xr:uid="{00000000-0006-0000-0100-00007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28392 actual</t>
        </r>
      </text>
    </comment>
    <comment ref="BT102" authorId="17" shapeId="0" xr:uid="{6DEAFE5F-48C2-49A3-BEF5-057ACFA8BBB3}">
      <text>
        <t>[Threaded comment]
Your version of Excel allows you to read this threaded comment; however, any edits to it will get removed if the file is opened in a newer version of Excel. Learn more: https://go.microsoft.com/fwlink/?linkid=870924
Comment:
    2,554 with consumer</t>
      </text>
    </comment>
    <comment ref="BT104" authorId="18" shapeId="0" xr:uid="{99B8FDF8-7CD1-405C-8684-6DBEB48C3BE9}">
      <text>
        <t>[Threaded comment]
Your version of Excel allows you to read this threaded comment; however, any edits to it will get removed if the file is opened in a newer version of Excel. Learn more: https://go.microsoft.com/fwlink/?linkid=870924
Comment:
    1,689 with consumer</t>
      </text>
    </comment>
    <comment ref="BW104" authorId="19" shapeId="0" xr:uid="{86362392-D8AB-44B9-A948-02F3B31E9306}">
      <text>
        <t>[Threaded comment]
Your version of Excel allows you to read this threaded comment; however, any edits to it will get removed if the file is opened in a newer version of Excel. Learn more: https://go.microsoft.com/fwlink/?linkid=870924
Comment:
    2681 discontinued</t>
      </text>
    </comment>
    <comment ref="BT105" authorId="20" shapeId="0" xr:uid="{C3DE93A2-2E99-4015-A687-91DC43E9E8B0}">
      <text>
        <t>[Threaded comment]
Your version of Excel allows you to read this threaded comment; however, any edits to it will get removed if the file is opened in a newer version of Excel. Learn more: https://go.microsoft.com/fwlink/?linkid=870924
Comment:
    1,222 with consumer</t>
      </text>
    </comment>
    <comment ref="BW105" authorId="21" shapeId="0" xr:uid="{405F6D6F-B0A4-4E22-B7E6-22834B0A5FAE}">
      <text>
        <t>[Threaded comment]
Your version of Excel allows you to read this threaded comment; however, any edits to it will get removed if the file is opened in a newer version of Excel. Learn more: https://go.microsoft.com/fwlink/?linkid=870924
Comment:
    1154 continuing operations
1103 discontinued operations</t>
      </text>
    </comment>
    <comment ref="X106" authorId="2" shapeId="0" xr:uid="{00000000-0006-0000-0100-00007B000000}">
      <text>
        <r>
          <rPr>
            <sz val="8"/>
            <color indexed="81"/>
            <rFont val="Tahoma"/>
            <family val="2"/>
          </rPr>
          <t>346 gain from asset sales!</t>
        </r>
      </text>
    </comment>
    <comment ref="BT112" authorId="22" shapeId="0" xr:uid="{3DECF7D8-CDD1-4C00-BC18-5D5572EF88BD}">
      <text>
        <t>[Threaded comment]
Your version of Excel allows you to read this threaded comment; however, any edits to it will get removed if the file is opened in a newer version of Excel. Learn more: https://go.microsoft.com/fwlink/?linkid=870924
Comment:
    5060 previously</t>
      </text>
    </comment>
    <comment ref="AA113" authorId="3" shapeId="0" xr:uid="{00000000-0006-0000-01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30.7 in press release</t>
        </r>
      </text>
    </comment>
    <comment ref="BX113" authorId="23" shapeId="0" xr:uid="{EC400C88-1EDF-4C9C-8565-82AD3964E084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34.7p, +6% CER</t>
      </text>
    </comment>
    <comment ref="CR113" authorId="12" shapeId="0" xr:uid="{00000000-0006-0000-0100-00007D000000}">
      <text>
        <r>
          <rPr>
            <sz val="8"/>
            <color indexed="81"/>
            <rFont val="Tahoma"/>
            <family val="2"/>
          </rPr>
          <t>Q308: reiterated guid.
Expect mid-single digit decline at CER. Management says earnings would have been flat if Avandia was flat.</t>
        </r>
      </text>
    </comment>
    <comment ref="AA116" authorId="3" shapeId="0" xr:uid="{00000000-0006-0000-0100-00007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4% excluding pandemic</t>
        </r>
      </text>
    </comment>
    <comment ref="AC116" authorId="4" shapeId="0" xr:uid="{00000000-0006-0000-0100-00007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hit from austerity/reform
Avandia and pandemic also hit comps
+6% without these three hits</t>
        </r>
      </text>
    </comment>
    <comment ref="BX116" authorId="24" shapeId="0" xr:uid="{C5D923C6-3DD0-4635-9133-7A2CFE94F440}">
      <text>
        <t>[Threaded comment]
Your version of Excel allows you to read this threaded comment; however, any edits to it will get removed if the file is opened in a newer version of Excel. Learn more: https://go.microsoft.com/fwlink/?linkid=870924
Comment:
    +10% without COVID</t>
      </text>
    </comment>
    <comment ref="CT116" authorId="4" shapeId="0" xr:uid="{00000000-0006-0000-0100-00008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Underlying sales growth net of flu, Avandia and Valtrex +4.5%</t>
        </r>
      </text>
    </comment>
    <comment ref="S117" authorId="1" shapeId="0" xr:uid="{00000000-0006-0000-0100-00008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10%</t>
        </r>
      </text>
    </comment>
    <comment ref="T117" authorId="1" shapeId="0" xr:uid="{00000000-0006-0000-0100-00008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</t>
        </r>
      </text>
    </comment>
    <comment ref="W117" authorId="4" shapeId="0" xr:uid="{00000000-0006-0000-0100-00008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 but excluding stocking real demand was mid-single digit range, japan &gt;100% to 36GBP</t>
        </r>
      </text>
    </comment>
    <comment ref="X117" authorId="4" shapeId="0" xr:uid="{00000000-0006-0000-0100-00008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+9% CER</t>
        </r>
      </text>
    </comment>
    <comment ref="AA117" authorId="3" shapeId="0" xr:uid="{00000000-0006-0000-0100-00008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117" authorId="4" shapeId="0" xr:uid="{00000000-0006-0000-0100-00008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AC117" authorId="4" shapeId="0" xr:uid="{00000000-0006-0000-0100-00008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T118" authorId="1" shapeId="0" xr:uid="{00000000-0006-0000-0100-00008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-1% CER</t>
        </r>
      </text>
    </comment>
    <comment ref="AA118" authorId="3" shapeId="0" xr:uid="{00000000-0006-0000-0100-00008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T120" authorId="1" shapeId="0" xr:uid="{00000000-0006-0000-0100-00008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 due to weakness in sterling vs EUR</t>
        </r>
      </text>
    </comment>
    <comment ref="AB121" authorId="4" shapeId="0" xr:uid="{00000000-0006-0000-0100-00008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not available due to legal charges</t>
        </r>
      </text>
    </comment>
    <comment ref="CT123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74% GM for FY</t>
        </r>
      </text>
    </comment>
    <comment ref="CT124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29% for FY</t>
        </r>
      </text>
    </comment>
    <comment ref="CT125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14% for FY</t>
        </r>
      </text>
    </comment>
    <comment ref="CU126" authorId="4" shapeId="0" xr:uid="{00000000-0006-0000-0100-00008F000000}">
      <text>
        <r>
          <rPr>
            <sz val="9"/>
            <color indexed="81"/>
            <rFont val="Tahoma"/>
            <family val="2"/>
          </rPr>
          <t>5/5/11 - Expect 30-32% margins in the near future</t>
        </r>
      </text>
    </comment>
    <comment ref="W197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2283 pre-ViiV</t>
        </r>
      </text>
    </comment>
    <comment ref="X197" authorId="4" shapeId="0" xr:uid="{00000000-0006-0000-0100-00009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2304, restated</t>
        </r>
      </text>
    </comment>
    <comment ref="W198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1,840 pre-ViiV</t>
        </r>
      </text>
    </comment>
    <comment ref="X198" authorId="4" shapeId="0" xr:uid="{00000000-0006-0000-0100-00009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1746, restated</t>
        </r>
      </text>
    </comment>
    <comment ref="W199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661 pre-ViiV</t>
        </r>
      </text>
    </comment>
    <comment ref="X199" authorId="4" shapeId="0" xr:uid="{00000000-0006-0000-0100-00009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720, restated</t>
        </r>
      </text>
    </comment>
    <comment ref="AB199" authorId="4" shapeId="0" xr:uid="{00000000-0006-0000-0100-00009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#14 in Argentina at the time of Phoenix acquisition with GBP100. Phoenix had GBP70. #3 combined.</t>
        </r>
      </text>
    </comment>
    <comment ref="W200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639 pre-ViiV</t>
        </r>
      </text>
    </comment>
    <comment ref="X200" authorId="4" shapeId="0" xr:uid="{00000000-0006-0000-0100-00009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609, restated</t>
        </r>
      </text>
    </comment>
    <comment ref="AB200" authorId="4" shapeId="0" xr:uid="{00000000-0006-0000-0100-00009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Hepsera/Viread</t>
        </r>
      </text>
    </comment>
    <comment ref="X202" authorId="4" shapeId="0" xr:uid="{00000000-0006-0000-0100-00009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203, restated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H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4/20/09 Approved in EU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Ted Lattis</author>
  </authors>
  <commentList>
    <comment ref="C67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Ted Lattis:</t>
        </r>
        <r>
          <rPr>
            <sz val="8"/>
            <color indexed="81"/>
            <rFont val="Tahoma"/>
            <family val="2"/>
          </rPr>
          <t xml:space="preserve">
No or mild pain</t>
        </r>
      </text>
    </comment>
  </commentList>
</comments>
</file>

<file path=xl/sharedStrings.xml><?xml version="1.0" encoding="utf-8"?>
<sst xmlns="http://schemas.openxmlformats.org/spreadsheetml/2006/main" count="2280" uniqueCount="1484">
  <si>
    <t>Indication</t>
  </si>
  <si>
    <t>Rights</t>
  </si>
  <si>
    <t>Competition</t>
  </si>
  <si>
    <t>IP</t>
  </si>
  <si>
    <t>Phase</t>
  </si>
  <si>
    <t>'699</t>
  </si>
  <si>
    <t>Multiple Sclerosis</t>
  </si>
  <si>
    <t>VLA-4 antagonist (similar to Tysabri)</t>
  </si>
  <si>
    <t>inhibits the entry of activated lymphocytes into the CNS</t>
  </si>
  <si>
    <t>Oral, not IV like Tysabri</t>
  </si>
  <si>
    <t>Q405: p2 data</t>
  </si>
  <si>
    <t>2008: Filing</t>
  </si>
  <si>
    <t>p2b study looking at MRI lesions which can be risky</t>
  </si>
  <si>
    <t>3-month duration also risky</t>
  </si>
  <si>
    <t>Avandia</t>
  </si>
  <si>
    <t>Diabetes</t>
  </si>
  <si>
    <t>Talnetant</t>
  </si>
  <si>
    <t>Anti-Psychotic</t>
  </si>
  <si>
    <t>Pain</t>
  </si>
  <si>
    <t>Depression</t>
  </si>
  <si>
    <t>Entereg</t>
  </si>
  <si>
    <t>Post-Operative Ileus</t>
  </si>
  <si>
    <t>ADLR</t>
  </si>
  <si>
    <t>Cervarix</t>
  </si>
  <si>
    <t>HPV / Cervical Cancer</t>
  </si>
  <si>
    <t>Rotarix</t>
  </si>
  <si>
    <t>Rotavirus</t>
  </si>
  <si>
    <t>N. meningitides</t>
  </si>
  <si>
    <t>Meningitis</t>
  </si>
  <si>
    <t>Streporix</t>
  </si>
  <si>
    <t>Strep pneumoniae</t>
  </si>
  <si>
    <t>p1 Lapatinib+Tras - Storniolo, ASCO 05 #559</t>
  </si>
  <si>
    <t>heavily pretreated HER2+ MBC: 2-3+</t>
  </si>
  <si>
    <t>750-1500mg qd with qw tras</t>
  </si>
  <si>
    <t>n=48, 27 evaluable. 1CR 8mo duration. 5PR, 2-7mo duration, 10SD 1-5mo duration. 11 PD</t>
  </si>
  <si>
    <t>p1 Lapatinib+Letrozole - Chu ASCO 2005 #3001</t>
  </si>
  <si>
    <t>n=39, 18 breast, 16 ovarian, 5 other. KPS 70% or greater, advanced disease with life expectancy at least 12 weeks</t>
  </si>
  <si>
    <t>3/18 BC with SD &gt;6 months (8, 8, 6 mo). 5, 3, 3 prior chemos</t>
  </si>
  <si>
    <t>1/2 endometrial had PR (SD for 7 mo then PR for 6 mo)</t>
  </si>
  <si>
    <t>1/16 ovarian had SD &gt;6 months w/ 3 prior chemos</t>
  </si>
  <si>
    <t>EGF30008 letrozole +- lapatinib phase 3 n=760</t>
  </si>
  <si>
    <t>Lapatinib +- tamoxifen p2</t>
  </si>
  <si>
    <t>CALGB 40302: fulvestrant +- lapatinib phase 3 n=288</t>
  </si>
  <si>
    <t>p2 lapatinib in MBC with brain mets - harvard</t>
  </si>
  <si>
    <t>£ millions</t>
  </si>
  <si>
    <t>1Q04A</t>
  </si>
  <si>
    <t>2Q04A</t>
  </si>
  <si>
    <t>3Q04A</t>
  </si>
  <si>
    <t>4Q04A</t>
  </si>
  <si>
    <t>1Q05A</t>
  </si>
  <si>
    <t>2Q05A</t>
  </si>
  <si>
    <t>3Q05A</t>
  </si>
  <si>
    <t>4Q05A</t>
  </si>
  <si>
    <t>1Q06A</t>
  </si>
  <si>
    <t>2Q06E</t>
  </si>
  <si>
    <t>3Q06E</t>
  </si>
  <si>
    <t>4Q06E</t>
  </si>
  <si>
    <t>- USA</t>
  </si>
  <si>
    <t>- Europe</t>
  </si>
  <si>
    <t>- RoW</t>
  </si>
  <si>
    <t>Serevent</t>
  </si>
  <si>
    <t>Wellbutrin</t>
  </si>
  <si>
    <t>Trexima</t>
  </si>
  <si>
    <t>Lamictal</t>
  </si>
  <si>
    <t>Requip</t>
  </si>
  <si>
    <t>Other CNS</t>
  </si>
  <si>
    <t>HIV</t>
  </si>
  <si>
    <t>Combivir</t>
  </si>
  <si>
    <t>Trizivir</t>
  </si>
  <si>
    <t>Epivir</t>
  </si>
  <si>
    <t>Other HIV</t>
  </si>
  <si>
    <t>Herpes</t>
  </si>
  <si>
    <t>Valtrex</t>
  </si>
  <si>
    <t>Zovirax</t>
  </si>
  <si>
    <t>Zeffix</t>
  </si>
  <si>
    <t>Augmentin</t>
  </si>
  <si>
    <t>Bonviva</t>
  </si>
  <si>
    <t>Boostrix</t>
  </si>
  <si>
    <t>Hycamtin</t>
  </si>
  <si>
    <t>Coreg</t>
  </si>
  <si>
    <t>Levitra</t>
  </si>
  <si>
    <t>Avodart</t>
  </si>
  <si>
    <t>Arixtra</t>
  </si>
  <si>
    <t>Vesicare</t>
  </si>
  <si>
    <t>Zantac</t>
  </si>
  <si>
    <t>Operating Profit</t>
  </si>
  <si>
    <t>Cost of Sales</t>
  </si>
  <si>
    <t>Gross Profit</t>
  </si>
  <si>
    <t>SG&amp;A</t>
  </si>
  <si>
    <t>R&amp;D</t>
  </si>
  <si>
    <t>Gross Margin</t>
  </si>
  <si>
    <t>Paxil</t>
  </si>
  <si>
    <t>Allergic Rhinitis</t>
  </si>
  <si>
    <t>allergic rhinitis steroid</t>
  </si>
  <si>
    <t>Migraine</t>
  </si>
  <si>
    <t>POZN</t>
  </si>
  <si>
    <t>GW597599</t>
  </si>
  <si>
    <t>NK1 antagonist (PFE also developing similar drug)</t>
  </si>
  <si>
    <t>USAN filing: anti-depression, anti-anxiety, nausea/vomiting, functional dyspepsia, IBS and GERD</t>
  </si>
  <si>
    <t>http://www.ama-assn.org/ama1/pub/upload/mm/365/vestipitant_mes.doc</t>
  </si>
  <si>
    <t>Vestipitant + paroxetine p2 studies in depression and anxiety</t>
  </si>
  <si>
    <t>25% reduction in exacerbations vs placebo (p&lt;0.001) with better QOL but more lower RT infections.</t>
  </si>
  <si>
    <t>Class</t>
  </si>
  <si>
    <t>LABA</t>
  </si>
  <si>
    <t>Steroid/LABA</t>
  </si>
  <si>
    <t>Steroid</t>
  </si>
  <si>
    <t>SMART study halted because of increased deaths</t>
  </si>
  <si>
    <t>QAB149 - Indacaterol - NVS - qd dosing - potential combo with asmanex</t>
  </si>
  <si>
    <t>THRX</t>
  </si>
  <si>
    <t>159797 - Beyond Advair - qd LABA</t>
  </si>
  <si>
    <t>NVA237 - qd antimuscarinic in COPD</t>
  </si>
  <si>
    <t>Alvesco - SNY/AAA - ciclesonide - FDA delay - combo with foradil</t>
  </si>
  <si>
    <t>KOSP/SKYE flutiform - formoterol/fluticasone dry powder combo</t>
  </si>
  <si>
    <t>MDI steroid</t>
  </si>
  <si>
    <t>10-22% FEV1 change</t>
  </si>
  <si>
    <t>Ariflo</t>
  </si>
  <si>
    <t>COPD</t>
  </si>
  <si>
    <t>10/03 approvable PDE4 inhibitor</t>
  </si>
  <si>
    <t>glucocorticoid receptor agonist</t>
  </si>
  <si>
    <t>COPD mortality claim?</t>
  </si>
  <si>
    <t>Asthma, COPD</t>
  </si>
  <si>
    <t>159802 - LABA beta2</t>
  </si>
  <si>
    <t>597599+parox, vestipitant</t>
  </si>
  <si>
    <t>842470</t>
  </si>
  <si>
    <t>256066</t>
  </si>
  <si>
    <t>Asthma - inhaled PDE4</t>
  </si>
  <si>
    <t>656933</t>
  </si>
  <si>
    <t>856553</t>
  </si>
  <si>
    <t>COPD - p38 kinase</t>
  </si>
  <si>
    <t>870086</t>
  </si>
  <si>
    <t>Asthma - glucocorticoid a.</t>
  </si>
  <si>
    <t>961081</t>
  </si>
  <si>
    <t>COPD - muscarinic LABA</t>
  </si>
  <si>
    <t>FDA mandated label changes</t>
  </si>
  <si>
    <t>159797 - qd beta2 agonist - asthma &amp; COPD in combination with a glucocorticoid agonist</t>
  </si>
  <si>
    <t>Main</t>
  </si>
  <si>
    <t>small molecule, selective dual competitive inhibitor of ErbB1 and ErbB2 tyrosine kinases</t>
  </si>
  <si>
    <t>Trastuzumab-R BC</t>
  </si>
  <si>
    <t>Tykerb in trastuzumab-resistant breast cancer - late-breaking data at ASCO 2006</t>
  </si>
  <si>
    <t>p2 data in brain mets in patients with HER2-positive BC</t>
  </si>
  <si>
    <t>p2 tykerb monotherapy data in relapsed/refractory inflammatory BC</t>
  </si>
  <si>
    <t>p3 RCC data for patients with high tumor EGFR expression</t>
  </si>
  <si>
    <t>MAGE</t>
  </si>
  <si>
    <t>NSCLC</t>
  </si>
  <si>
    <t>ITP</t>
  </si>
  <si>
    <t>ASCO 2006</t>
  </si>
  <si>
    <t>oral platelet growth factor increases platelet counts in thrombocytopenic patients and healthy subjects</t>
  </si>
  <si>
    <t>Notes</t>
  </si>
  <si>
    <t>http://www.clinicaltrials.gov/ct/show/NCT00256880?order=1</t>
  </si>
  <si>
    <t>Benzenesulfonamide, 5-[[4-[(2,3-dimethyl-2H-indazol-6-yl)methylamino]-2-pyrimidinyl]amino]-2-methyl-,  monohydrochloride</t>
  </si>
  <si>
    <t>5-[[4-[(2,3-dimethyl-2H-indazol-6-yl)methylamino]pyrimidin-2-yl]amino]-2-methylbenzenesulfonamide  monohydrochloride</t>
  </si>
  <si>
    <t>in a 63 patient study, 6 out of 6 patients with renal cell carcinoma had a clinical benefit</t>
  </si>
  <si>
    <t>Tumor shrinkage and prolonged stable disease was also observed in a number of other cancer types, including gastrointestinal, neuroendocrine, lung, thyroid and sarcomas</t>
  </si>
  <si>
    <t>Brand Name</t>
  </si>
  <si>
    <t>Generic Name</t>
  </si>
  <si>
    <t>Tykerb</t>
  </si>
  <si>
    <t>Mechanism</t>
  </si>
  <si>
    <t>Administration</t>
  </si>
  <si>
    <t>Oral</t>
  </si>
  <si>
    <t>Clinical Studies</t>
  </si>
  <si>
    <t>Can enter the brain (unlike Herceptin). Oral vs qm infusion (Herceptin). No HF? (Herceptin)</t>
  </si>
  <si>
    <t>Pivotal III</t>
  </si>
  <si>
    <t>Cohorts</t>
  </si>
  <si>
    <t>Herceptin-relapsed, HER2+ mBC</t>
  </si>
  <si>
    <t>Results</t>
  </si>
  <si>
    <t>8.5m vs 4.5m TTP. Interim analysis halted study 4/2006.</t>
  </si>
  <si>
    <t>lapatinib+capecitabine vs capecitabine alone.</t>
  </si>
  <si>
    <t>cardiac function in n=2812 treated patients. 1.3% had decrease in LVEF.</t>
  </si>
  <si>
    <t>MAGE-A3 Cancer Immunotherapy (ASCI)</t>
  </si>
  <si>
    <t>Clinical Trials</t>
  </si>
  <si>
    <t>II</t>
  </si>
  <si>
    <t>Population</t>
  </si>
  <si>
    <t>adjuvant stage IB/II MAGE-A3-positive completed resection NSCLC</t>
  </si>
  <si>
    <t>ASCO 2006, Abstract #7019</t>
  </si>
  <si>
    <t>Timeline</t>
  </si>
  <si>
    <t>33% reduction in risk of cancer recurrence (p=0.121)</t>
  </si>
  <si>
    <t>Safety</t>
  </si>
  <si>
    <t>2/182 withdrew due to possibly drug-related events</t>
  </si>
  <si>
    <t>Analysis conducted at 21 months. 37/122 (30.3%) of MAGE patients relapsed. 25/60 of placebo (41.7%)</t>
  </si>
  <si>
    <t>final phase 2 results later this year. phase 3 begins in early 2007</t>
  </si>
  <si>
    <t>Immunotherapy that combines tumor antigens with adjuvants. MAGE-A3 is present in 35-50% of early NSCLC</t>
  </si>
  <si>
    <t>Tykerb failed in RCC??</t>
  </si>
  <si>
    <t>EGF104900 - Herceptin+Tykerb vs Tykerb in refractory BC - n=270, started 11/05, results Q2 2007</t>
  </si>
  <si>
    <t>1L mBC HER2+ Taxol+-Tykerb, n=460, 1/06 start, results 2008 - EGF104535</t>
  </si>
  <si>
    <t>1L mBC HER2+ Taxol+Herceptin+-Tykerb, n=740, 11/05, results 2009 - EGF104383</t>
  </si>
  <si>
    <t>1L mBC Femara+- Tykerb, n=1280, start 11/03, results Q307 - EGF30008</t>
  </si>
  <si>
    <t>BCIG will run adjuvant study in n=8000???</t>
  </si>
  <si>
    <t>TZD+Sulfon</t>
  </si>
  <si>
    <t>Avandia+Amaryl</t>
  </si>
  <si>
    <t>Avandia (rosiglitazone) + Amaryl (glimepiride)</t>
  </si>
  <si>
    <t>Avandryl</t>
  </si>
  <si>
    <t>75% had A1C &lt;7% vs 49% for Amaryl and 46% for Avandia</t>
  </si>
  <si>
    <t>Trials</t>
  </si>
  <si>
    <t>2.4-2.5% a1c reduction vs 1.8% and 1.7% in baseline 9-9.2% patients</t>
  </si>
  <si>
    <t>Imitrex</t>
  </si>
  <si>
    <t>Triptan</t>
  </si>
  <si>
    <t>6/13/2006: EAACI data on qd dosing for SAR were positive, including ocular symptoms. Notes currently in phase 3 and both EU/US filings expected later this year</t>
  </si>
  <si>
    <t>MRK's Gardasil received strong recommendation from ACIP</t>
  </si>
  <si>
    <t>T-ALL, T-LBL</t>
  </si>
  <si>
    <t>eltrombopag</t>
  </si>
  <si>
    <t>oral platelet growth factor</t>
  </si>
  <si>
    <t>p2 data 6/19/06 shows 81% of patients achieving primary endpoint (&gt;50k/micro liter after up to 6wks) vs 11% for placebo after "up to 6 weeks" of dosing</t>
  </si>
  <si>
    <t>data presented at EHA</t>
  </si>
  <si>
    <t>FLML</t>
  </si>
  <si>
    <t>Hypertension</t>
  </si>
  <si>
    <t>H5N1</t>
  </si>
  <si>
    <t>Type 2 Diabetes</t>
  </si>
  <si>
    <t>n=25000 Alzheimer's</t>
  </si>
  <si>
    <t>10% price increase - 4-5% increase going forward</t>
  </si>
  <si>
    <t>higher dose/higher price? - also COPD market expansion - 500/50 dose priced at 41% premium over currently approved dose for COPD 250/50</t>
  </si>
  <si>
    <t>bid maintenance asthma, stage III COPD</t>
  </si>
  <si>
    <t>17% relative reduction in mortality over 3 years for patients receiving 50/500mg vs place (p=0.052) narrowly missed significance</t>
  </si>
  <si>
    <t>arguably not relevant given trial not compared to long-acting broncho-dilators</t>
  </si>
  <si>
    <t>Approval</t>
  </si>
  <si>
    <t>September 10 2006: DREAM results for Avandia in pre-diabetics</t>
  </si>
  <si>
    <t>DREAM</t>
  </si>
  <si>
    <t>ADOPT</t>
  </si>
  <si>
    <t>Combination</t>
  </si>
  <si>
    <t>abacavir, lamivudine and zidovudine</t>
  </si>
  <si>
    <t>ACTION - presented at ICAAC</t>
  </si>
  <si>
    <t>Trizivir is non-inferior to Combivir+atazanavir</t>
  </si>
  <si>
    <t>Lexiva</t>
  </si>
  <si>
    <t>telzir, fosamprenavir</t>
  </si>
  <si>
    <t>Economics</t>
  </si>
  <si>
    <t>Kaletra</t>
  </si>
  <si>
    <t>Dosage</t>
  </si>
  <si>
    <t>bid oral</t>
  </si>
  <si>
    <t>Protease</t>
  </si>
  <si>
    <t>VRTX</t>
  </si>
  <si>
    <t>KLEAN - Kaletra vs Lexiva+Epivir and Abacavir in ART-Naïve patients - published in LANCET - presented at ICAAC</t>
  </si>
  <si>
    <t>n=878 showed non-inferior efficacy/resistance/tolerability to Kaletra</t>
  </si>
  <si>
    <t>pre-diabetics -presented 9/10/2006 at EASD</t>
  </si>
  <si>
    <t>62% reduction in the risk of developing diabetes vs placebo (31% for metformin and 58% for diet and exercise)</t>
  </si>
  <si>
    <t>small increased risk of heart failure and some weight gain</t>
  </si>
  <si>
    <t>filed sNDA 10/11/2006</t>
  </si>
  <si>
    <t>TORCH - stage II COPD study n=6000</t>
  </si>
  <si>
    <t>COPD with chronic bronchitis November 2003: US</t>
  </si>
  <si>
    <t>pazopanib</t>
  </si>
  <si>
    <t>Phase 1 data at ASCO 2006 - combo with Tykerb</t>
  </si>
  <si>
    <t>GEN DC</t>
  </si>
  <si>
    <t>NS2359</t>
  </si>
  <si>
    <t>NEUR DC</t>
  </si>
  <si>
    <t>Anxiety, IBS</t>
  </si>
  <si>
    <t>NBIX</t>
  </si>
  <si>
    <t>HGSI</t>
  </si>
  <si>
    <t>GSK716155</t>
  </si>
  <si>
    <t>albumin-fused GLP1</t>
  </si>
  <si>
    <t>Phase I PK/PD - Began 10/2006</t>
  </si>
  <si>
    <t>Looking at different injection sites. Could mean first phase 1 had a problem.</t>
  </si>
  <si>
    <t>Phase I - Began 2/2006</t>
  </si>
  <si>
    <t>7 days of dosing</t>
  </si>
  <si>
    <t>n=80 healthy or diabetes</t>
  </si>
  <si>
    <t>Head-to-Head vs Gardasil</t>
  </si>
  <si>
    <t>n=1042, data expected in 2008</t>
  </si>
  <si>
    <t>2009 but generic approved</t>
  </si>
  <si>
    <t>Approved</t>
  </si>
  <si>
    <t>Atherosclerosis</t>
  </si>
  <si>
    <t>Sumatriptan</t>
  </si>
  <si>
    <t>Selective 5-ht1 agonist (no 5-ht2, etc.)</t>
  </si>
  <si>
    <t>Placebo</t>
  </si>
  <si>
    <t>1mg</t>
  </si>
  <si>
    <t>2mg</t>
  </si>
  <si>
    <t>3mg</t>
  </si>
  <si>
    <t>4mg</t>
  </si>
  <si>
    <t>6mg</t>
  </si>
  <si>
    <t>Number of Patients (N)</t>
  </si>
  <si>
    <t>Relief (10 min)</t>
  </si>
  <si>
    <t>Relief (30 min)</t>
  </si>
  <si>
    <t>Relief (1 hr)</t>
  </si>
  <si>
    <t>Relief (2 hr)</t>
  </si>
  <si>
    <t>Adverse Events Incidence</t>
  </si>
  <si>
    <t>Study 1</t>
  </si>
  <si>
    <t>Study 2</t>
  </si>
  <si>
    <t>n=190</t>
  </si>
  <si>
    <t>n=384</t>
  </si>
  <si>
    <t>n=180</t>
  </si>
  <si>
    <t>n=350</t>
  </si>
  <si>
    <t>1-Hour Data</t>
  </si>
  <si>
    <t>Pain Relief (grade 0/1)</t>
  </si>
  <si>
    <t>No Pain</t>
  </si>
  <si>
    <t>Without Nausea</t>
  </si>
  <si>
    <t>Without Photophobia</t>
  </si>
  <si>
    <t>Little or No Clinical Disability</t>
  </si>
  <si>
    <t>2-Hour Data</t>
  </si>
  <si>
    <t>8mg</t>
  </si>
  <si>
    <t>Subcutaneous Injection</t>
  </si>
  <si>
    <t>Nasal Spray</t>
  </si>
  <si>
    <t>placebo</t>
  </si>
  <si>
    <t>5mg</t>
  </si>
  <si>
    <t>10mg</t>
  </si>
  <si>
    <t>20mg</t>
  </si>
  <si>
    <t>Headache Response (2 hrs)</t>
  </si>
  <si>
    <t>n/a</t>
  </si>
  <si>
    <t>Study 3</t>
  </si>
  <si>
    <t>Study 4</t>
  </si>
  <si>
    <t>Study 5</t>
  </si>
  <si>
    <t>Adverse Events</t>
  </si>
  <si>
    <t>Burning Sensation</t>
  </si>
  <si>
    <t>Sinus Discomfort</t>
  </si>
  <si>
    <t>Throat Discomfort</t>
  </si>
  <si>
    <t>Nausea/Vomiting</t>
  </si>
  <si>
    <t>Dizziness</t>
  </si>
  <si>
    <t>Taste</t>
  </si>
  <si>
    <t>Information Source: Imitrex Nasal Spray Prescribing Information</t>
  </si>
  <si>
    <t>Oral tablet, subcutaneous injection, nasal spray</t>
  </si>
  <si>
    <t>Oral Tablet</t>
  </si>
  <si>
    <t>Mediates vasoconstriction</t>
  </si>
  <si>
    <t>25mg</t>
  </si>
  <si>
    <t>50mg</t>
  </si>
  <si>
    <t>100mg</t>
  </si>
  <si>
    <t>Pain Relief at 4 Hours</t>
  </si>
  <si>
    <t>Pain Relief at 2 Hours</t>
  </si>
  <si>
    <t>May 1 2007: AdCom for Advair</t>
  </si>
  <si>
    <t>LGND</t>
  </si>
  <si>
    <t>Allermist (fluticasone)</t>
  </si>
  <si>
    <t>Allermist in US. Avamys Ex-US. FKA '685698</t>
  </si>
  <si>
    <t>Shares</t>
  </si>
  <si>
    <t>MC GBP</t>
  </si>
  <si>
    <t>1L mBC Taxol+- Tykerb n=570, start 12/03, results Q406 - EGF30002 - does not differentiate for HER2 status. Data at ASCO 2007?</t>
  </si>
  <si>
    <t>2012 settlement with Teva</t>
  </si>
  <si>
    <t>Lamictal XR</t>
  </si>
  <si>
    <t>Epilepsy</t>
  </si>
  <si>
    <t>PPAR</t>
  </si>
  <si>
    <t>Flovent (fluticasone)</t>
  </si>
  <si>
    <t>Serevent (salmeterol)</t>
  </si>
  <si>
    <t>SSRI</t>
  </si>
  <si>
    <t>Asthma</t>
  </si>
  <si>
    <t>DVT/VTE</t>
  </si>
  <si>
    <t>RLS</t>
  </si>
  <si>
    <t>Steroid/long-acting beta agonist combination.</t>
  </si>
  <si>
    <t>III</t>
  </si>
  <si>
    <t>Insomnia</t>
  </si>
  <si>
    <t>Flovent</t>
  </si>
  <si>
    <t>Flonase</t>
  </si>
  <si>
    <t>Other Respiratory</t>
  </si>
  <si>
    <t>BPH</t>
  </si>
  <si>
    <t>Osteoporosis</t>
  </si>
  <si>
    <t>Bisphosphonate</t>
  </si>
  <si>
    <t>firategrast ('699)</t>
  </si>
  <si>
    <t>Tanabe?</t>
  </si>
  <si>
    <t>Dementia</t>
  </si>
  <si>
    <t>XNPT</t>
  </si>
  <si>
    <t>Gabapentin ER</t>
  </si>
  <si>
    <t>Schizophrenia</t>
  </si>
  <si>
    <t>2008 generic?</t>
  </si>
  <si>
    <t>816</t>
  </si>
  <si>
    <t>Smoking Cessation</t>
  </si>
  <si>
    <t>VLA4</t>
  </si>
  <si>
    <t>008 CRF1</t>
  </si>
  <si>
    <t>842166</t>
  </si>
  <si>
    <t>Inflammatory Pain</t>
  </si>
  <si>
    <t>CB2 ago.</t>
  </si>
  <si>
    <t>742457</t>
  </si>
  <si>
    <t>372475</t>
  </si>
  <si>
    <t>Triple/MAO</t>
  </si>
  <si>
    <t>Lovaza</t>
  </si>
  <si>
    <t>Ziagen</t>
  </si>
  <si>
    <t>Triglycerides</t>
  </si>
  <si>
    <t>Agenerase/Lexiva</t>
  </si>
  <si>
    <t>Epzicom/Kivexa</t>
  </si>
  <si>
    <t>Other Metabolic</t>
  </si>
  <si>
    <t>Hepatitis Vaccines</t>
  </si>
  <si>
    <t>Influenza Vaccines</t>
  </si>
  <si>
    <t>Other Antibiotics</t>
  </si>
  <si>
    <t>Infanrix/Pediarix</t>
  </si>
  <si>
    <t>Other Vaccines</t>
  </si>
  <si>
    <t>Other Oncology</t>
  </si>
  <si>
    <t>Other Cardio</t>
  </si>
  <si>
    <t>Other Misc</t>
  </si>
  <si>
    <t>Consumer</t>
  </si>
  <si>
    <t>Revenue</t>
  </si>
  <si>
    <t>Revenue Y/Y</t>
  </si>
  <si>
    <t>Promacta</t>
  </si>
  <si>
    <t>Lifecycle</t>
  </si>
  <si>
    <t>Epilepsy/Bipolar</t>
  </si>
  <si>
    <t>Ion Channel</t>
  </si>
  <si>
    <t>GBP</t>
  </si>
  <si>
    <t>Cash</t>
  </si>
  <si>
    <t>Engerix</t>
  </si>
  <si>
    <t>HBV</t>
  </si>
  <si>
    <t>Vaccine</t>
  </si>
  <si>
    <t>Havrix</t>
  </si>
  <si>
    <t>HAV</t>
  </si>
  <si>
    <t>Twinrix</t>
  </si>
  <si>
    <t>HBV/HAV</t>
  </si>
  <si>
    <t>Whooping Cough</t>
  </si>
  <si>
    <t>Pediarix</t>
  </si>
  <si>
    <t>HBV/Polio</t>
  </si>
  <si>
    <t>Infanrix</t>
  </si>
  <si>
    <t>Diptheria/Tetanus</t>
  </si>
  <si>
    <t>Fluarix/Fluviral/FluLaval</t>
  </si>
  <si>
    <t>Flu</t>
  </si>
  <si>
    <t>Bird Flu</t>
  </si>
  <si>
    <t>Kinrix</t>
  </si>
  <si>
    <t>Infanrix+Polio</t>
  </si>
  <si>
    <t>Adult Whooping Cough</t>
  </si>
  <si>
    <t>Vaccine?</t>
  </si>
  <si>
    <t>Alpha/Beta-Blocker</t>
  </si>
  <si>
    <t>Avodart (dutasteride)</t>
  </si>
  <si>
    <t>5-alpha reductase</t>
  </si>
  <si>
    <t>Roche</t>
  </si>
  <si>
    <t>LP-PLA2</t>
  </si>
  <si>
    <t>darapladib</t>
  </si>
  <si>
    <t>Peptidomimetic</t>
  </si>
  <si>
    <t>Anti-CD20</t>
  </si>
  <si>
    <t>p38 kinase</t>
  </si>
  <si>
    <t>PDE4</t>
  </si>
  <si>
    <t>95%, AZN</t>
  </si>
  <si>
    <t>Gardasil protects against genital warts, whereas Cervarix does not.</t>
  </si>
  <si>
    <t>Nplate (AMG531, Amgen). May have more durable responses than Nplate.</t>
  </si>
  <si>
    <t>Kinase</t>
  </si>
  <si>
    <t>Requip cr withdrawn.</t>
  </si>
  <si>
    <t>GBP/USD</t>
  </si>
  <si>
    <t>Interim analysis showed 79.5% coverage against persistent infections?</t>
  </si>
  <si>
    <t>Other Income</t>
  </si>
  <si>
    <t>Pretax Income</t>
  </si>
  <si>
    <t>Taxes</t>
  </si>
  <si>
    <t>Net Income</t>
  </si>
  <si>
    <t>Net Margin</t>
  </si>
  <si>
    <t>Tax Rate</t>
  </si>
  <si>
    <t>Operating Margin</t>
  </si>
  <si>
    <t>R&amp;D % of sales</t>
  </si>
  <si>
    <t>SG&amp;A % of sales</t>
  </si>
  <si>
    <t>EPS</t>
  </si>
  <si>
    <t>Net Income Y/Y</t>
  </si>
  <si>
    <t>solabegron</t>
  </si>
  <si>
    <t>IBS</t>
  </si>
  <si>
    <t>ofatumumab</t>
  </si>
  <si>
    <t>Molecule</t>
  </si>
  <si>
    <t>Fully human antibody to new epitope.</t>
  </si>
  <si>
    <t>Daiichi</t>
  </si>
  <si>
    <t>sumitriptan, naproxen</t>
  </si>
  <si>
    <t>Pozen</t>
  </si>
  <si>
    <t>Triptan/NSAID</t>
  </si>
  <si>
    <t>Generic Components</t>
  </si>
  <si>
    <t>Study MT400-301, -302</t>
  </si>
  <si>
    <t>Both studies showed SS better efficacy vs either component alone.</t>
  </si>
  <si>
    <t>4/15/2008: Trexima PDUFA</t>
  </si>
  <si>
    <t>Requip XL</t>
  </si>
  <si>
    <t>qd vs tid</t>
  </si>
  <si>
    <t>Chromosomal abnormality study underway - results available shortly - 12/2007</t>
  </si>
  <si>
    <r>
      <t xml:space="preserve">799943, </t>
    </r>
    <r>
      <rPr>
        <b/>
        <sz val="10"/>
        <rFont val="Arial"/>
        <family val="2"/>
      </rPr>
      <t>685698</t>
    </r>
    <r>
      <rPr>
        <sz val="10"/>
        <rFont val="Arial"/>
        <family val="2"/>
      </rPr>
      <t xml:space="preserve"> - </t>
    </r>
    <r>
      <rPr>
        <sz val="10"/>
        <rFont val="Arial"/>
        <family val="2"/>
      </rPr>
      <t>glucocorticoid agonist</t>
    </r>
  </si>
  <si>
    <t>New inhaler used.</t>
  </si>
  <si>
    <t>698/444 combination study.</t>
  </si>
  <si>
    <t>698/444 Phase III study</t>
  </si>
  <si>
    <t>642444 - Phase 2B started 12/07 - "HORIZON" '444 is the LABA n=600 asthma</t>
  </si>
  <si>
    <t>685698 - Phase 2B started 12/07 - "HORIZON" 698 is the steroid n=1800</t>
  </si>
  <si>
    <t xml:space="preserve"> </t>
  </si>
  <si>
    <t xml:space="preserve">  698 efficacious in phase 2</t>
  </si>
  <si>
    <t>-</t>
  </si>
  <si>
    <t>Financial Income</t>
  </si>
  <si>
    <t>Advair y/y</t>
  </si>
  <si>
    <t>Q2 2008: Advair COPD PDUFA</t>
  </si>
  <si>
    <t>Relenza</t>
  </si>
  <si>
    <t>Altabax</t>
  </si>
  <si>
    <t>Treximet</t>
  </si>
  <si>
    <t>2008?</t>
  </si>
  <si>
    <t>A randomized study of lapatinib alone or in combination with trastuzumab in heavily pretreated HER2+ metastatic breast cancer progressing on trastuzumab therapy.</t>
  </si>
  <si>
    <t>Sub-category:</t>
  </si>
  <si>
    <t>Metastatic Breast Cancer</t>
  </si>
  <si>
    <t>Category:</t>
  </si>
  <si>
    <t>Breast Cancer--Metastatic Breast Cancer</t>
  </si>
  <si>
    <t>Meeting:</t>
  </si>
  <si>
    <t>2008 ASCO Annual Meeting</t>
  </si>
  <si>
    <t>Abstract No:</t>
  </si>
  <si>
    <t>Citation:</t>
  </si>
  <si>
    <r>
      <t>J Clin Oncol</t>
    </r>
    <r>
      <rPr>
        <b/>
        <sz val="8"/>
        <rFont val="Arial"/>
        <family val="2"/>
      </rPr>
      <t xml:space="preserve"> 26: 2008 (May 20 suppl; abstr 1015)</t>
    </r>
  </si>
  <si>
    <t>Author(s):</t>
  </si>
  <si>
    <t>J. O'Shaughnessy, K. L. Blackwell, H. Burstein, A. M. Storniolo, G. Sledge, J. Baselga, M. Koehler, S. Laabs, A. Florance, D. Roychowdhury</t>
  </si>
  <si>
    <t>Abstract:</t>
  </si>
  <si>
    <t xml:space="preserve">Background: Lapatinib (L) is an oral, small-molecule inhibitor of EGFR and HER2 with a mechanism of action distinct from that of trastuzumab (T). Preclinical data suggest synergy between L and T. We studied L alone and in combination with T in pts with HER2+ MBC who progressed on T. Methods: Eligible women had received prior anthracycline and taxane therapy, had MBC with measurable lesions or bone-only disease, and had progressed on prior T-containing therapy. Pts were stratified by hormone receptor status and visceral/nonvisceral disease, then randomized to receive either L (1,500 mg QD) or L (1,000 mg QD) plus T (2 mg/kg weekly after 4 mg/kg loading dose). If pts progressed on the L arm, they could cross over to the L+T arm. The primary endpoint was PFS (investigator assessment), and secondary endpoints were clinical benefit rate (CBR) at 24 wks, RR, and OS. Results: 296 pts were randomized. All pts had received prior T; the median number of prior chemotherapy regimens was 6. Combination therapy significantly improved PFS and CBR; RR and OS were similar in both arms (Table). Both treatment regimens were generally well tolerated. Grade 1/2 diarrhea was higher in the L+T arm (53% vs 41%); acneiform rash was more common in the L-alone arm, likely due to higher L dose. Asymptomatic decline in LVEF (&gt; 20% and below LLN) occurred in 5% of pts in L+T arm and 2% of pts in L-alone arm. 1 death occurred due to cardiac toxicity in the L+T arm. Conclusions: This is the largest study of 2 targeted agents in HER2+ MBC and the first to demonstrate the synergy of L+T in a phase III setting. Improved clinical outcome was achieved with the combination of L+T in pts progressing on T-based therapy and without a substantial change in the side effect profile. The role of combined anti-HER2 therapy, in combination with chemotherapy, in less heavily pretreated patients with early stage disease is ongoing in the ALTTO (Adjuvant L and/or T Treatment Optimization) study. </t>
  </si>
  <si>
    <t>Endpoint</t>
  </si>
  <si>
    <t>L</t>
  </si>
  <si>
    <t>L + T</t>
  </si>
  <si>
    <t>Hazard/OR</t>
  </si>
  <si>
    <t>95% CI</t>
  </si>
  <si>
    <t>P value</t>
  </si>
  <si>
    <r>
      <t>PFS (median, wks)</t>
    </r>
    <r>
      <rPr>
        <b/>
        <vertAlign val="superscript"/>
        <sz val="8"/>
        <rFont val="Arial"/>
        <family val="2"/>
      </rPr>
      <t>*</t>
    </r>
  </si>
  <si>
    <t>0.6, 1.0</t>
  </si>
  <si>
    <r>
      <t>CBR (%)</t>
    </r>
    <r>
      <rPr>
        <b/>
        <vertAlign val="superscript"/>
        <sz val="8"/>
        <rFont val="Arial"/>
        <family val="2"/>
      </rPr>
      <t>*</t>
    </r>
  </si>
  <si>
    <t>1.1, 4.2</t>
  </si>
  <si>
    <r>
      <t>RR (%)</t>
    </r>
    <r>
      <rPr>
        <b/>
        <vertAlign val="superscript"/>
        <sz val="8"/>
        <rFont val="Arial"/>
        <family val="2"/>
      </rPr>
      <t>*</t>
    </r>
  </si>
  <si>
    <t>0.6, 3.9</t>
  </si>
  <si>
    <t>OS (median, wks)</t>
  </si>
  <si>
    <t>0.5, 1.1</t>
  </si>
  <si>
    <t>*Intent to treat.</t>
  </si>
  <si>
    <t>Lapatinib and paclitaxel in HER2-negative, extracellular domain (ECD) positive metastatic breast cancer (MBC) in a randomized phase III study.</t>
  </si>
  <si>
    <r>
      <t>J Clin Oncol</t>
    </r>
    <r>
      <rPr>
        <b/>
        <sz val="8"/>
        <rFont val="Arial"/>
        <family val="2"/>
      </rPr>
      <t xml:space="preserve"> 26: 2008 (May 20 suppl; abstr 1017)</t>
    </r>
  </si>
  <si>
    <t>R. S. Finn, R. Gagnon, A. Di Leo, M. F. Press, M. Arbushites, M. Koehler</t>
  </si>
  <si>
    <r>
      <t xml:space="preserve">Background: It has been hypothesized that women with HER2-negative MBC respond to HER2-targeted drugs if the circulating baseline HER2 ECD is &gt;16 ng/ml. Lapatinib, an oral, dual inhibitor of HER2 and EGFR, is effective in women with HER2+ MBC. We retrospectively examined this hypothesis using tissue and serum data from women with MBC who were enrolled in a randomized clinical trial of lapatinib and paclitaxel. Methods: Patients (pts, n=579) with newly diagnosed MBC were randomized to paclitaxel with placebo (P) or lapatinib (L+P). HER2 status was evaluated by fluorescence </t>
    </r>
    <r>
      <rPr>
        <b/>
        <i/>
        <sz val="8"/>
        <rFont val="Arial"/>
        <family val="2"/>
      </rPr>
      <t>in situ</t>
    </r>
    <r>
      <rPr>
        <b/>
        <sz val="8"/>
        <rFont val="Arial"/>
        <family val="2"/>
      </rPr>
      <t xml:space="preserve"> hybridization or immunohistochemistry in archival tissue. Serum ECD was centrally measured by ELISA in available samples at baseline (bECD, n=473), Week 9, and every 12 weeks thereafter. Pts were stratified by HER2 and bECD status. Results: bECD was positive only in 62% (50/81) of HER2+ pts and in as many as 24% (96/392) of HER2-negative pts. It is known that PFS increased in L+P in HER2+ patients. In HER2-negative pts, bECD status had no effect on response (see Table). PFS within L+P or P was not significantly different across bECD strata. Follow-up median ECD levels were stable in bECD- pts, and decreased (up to 9 ng/mL) in bECD+ pts. Decreases were similar between treatment arms. Additional correlations (response rate, time, tumor burden) and descriptive statistics for HER2+ pts will be reported. Conclusions: This is the largest reported randomized ECD dataset for HER2-negative MBC pts. bECD+ levels were observed in 24% of HER2-negative MBC pts. We conclude that in HER2-negative MBC: (1) bECD is not predictive of benefit of L+P or P, (2) higher bECD may not indicate more refractory tumors as PFS with L+P and P was similar across bECD strata, (3) bECD may not contribute to treatment decisions for pts with HER2-negative MBC since PFS was similar in bECD strata. </t>
    </r>
  </si>
  <si>
    <t>bECD+ (n=96)</t>
  </si>
  <si>
    <t>bECD- (n=296)</t>
  </si>
  <si>
    <t>L+P</t>
  </si>
  <si>
    <t>P</t>
  </si>
  <si>
    <t>p</t>
  </si>
  <si>
    <t>Median PFS, wks, HER2-</t>
  </si>
  <si>
    <t>GSK at Citi 2008: "Not particulary fearful about the 2010 date, we think Advair has a lot more runway than that".</t>
  </si>
  <si>
    <t>This is different from fluticasone (Flonase). It is a NCE with full IP (2021).</t>
  </si>
  <si>
    <t>Orexin</t>
  </si>
  <si>
    <t>Disc</t>
  </si>
  <si>
    <t>Mat</t>
  </si>
  <si>
    <t>Value</t>
  </si>
  <si>
    <t>September 2008: GSK sues Lupin</t>
  </si>
  <si>
    <t>Prepandrix</t>
  </si>
  <si>
    <t>Lupus</t>
  </si>
  <si>
    <t>TRAIL/BLYS</t>
  </si>
  <si>
    <t>fluticasone/salmeterol fixed combination.</t>
  </si>
  <si>
    <t>Market</t>
  </si>
  <si>
    <t>adrenal suppression, glaucoma and decreased BMD possible side effects. label change and resurfaced fear in pediatric population.</t>
  </si>
  <si>
    <t>H5N1 influenza</t>
  </si>
  <si>
    <t>Consumer y/y</t>
  </si>
  <si>
    <t>EPS Y/Y</t>
  </si>
  <si>
    <t>7/10/2008: Lamictal XR response submitted.</t>
  </si>
  <si>
    <t>lamotrigine</t>
  </si>
  <si>
    <t>TEVA generic approved in July 2008.</t>
  </si>
  <si>
    <t>CFFO</t>
  </si>
  <si>
    <t>Dividends</t>
  </si>
  <si>
    <t>XenoPort partnership</t>
  </si>
  <si>
    <t>RLS, Neuropathic Pain</t>
  </si>
  <si>
    <t>VEGF RTK. a potent and selective inhibitor of VEGFR-1, -2 and -3 tyrosine kinases</t>
  </si>
  <si>
    <t>Phase II trial in multiple myeloma</t>
  </si>
  <si>
    <t>Phase II Tykerb+- pazopanib in metastatic cervical n=180</t>
  </si>
  <si>
    <t>Phase II Tykerb+- pazopanib in mBC n=140</t>
  </si>
  <si>
    <t>Phase III trial in inflammatory mBC Tykerb+-pazopanib. Began 11/07. n=320</t>
  </si>
  <si>
    <t>Phase III trial in soft tissue sarcoma. N=255, began 9/08.</t>
  </si>
  <si>
    <t>Phase III trial in RCC n=400 began March 2006, Data April 2009</t>
  </si>
  <si>
    <t>Phase III trial in RCC vs Sutent n=876, began 8/08.</t>
  </si>
  <si>
    <t>690693</t>
  </si>
  <si>
    <t>Cancer</t>
  </si>
  <si>
    <t>AKT</t>
  </si>
  <si>
    <t>I</t>
  </si>
  <si>
    <t>685698 - Phase II in Asthma, started 10/08 n=750</t>
  </si>
  <si>
    <t>qd and bid tested.</t>
  </si>
  <si>
    <t>Pneumococcal Virus</t>
  </si>
  <si>
    <t>2189241A</t>
  </si>
  <si>
    <t>208136</t>
  </si>
  <si>
    <t>MMRV Vaccine</t>
  </si>
  <si>
    <t>1278863A</t>
  </si>
  <si>
    <t>Anemia</t>
  </si>
  <si>
    <t>705/244 Phase II COPD study</t>
  </si>
  <si>
    <t>656398</t>
  </si>
  <si>
    <t>IL8 antagonist</t>
  </si>
  <si>
    <t>COPD, UC</t>
  </si>
  <si>
    <t>I/II</t>
  </si>
  <si>
    <t>1557484A</t>
  </si>
  <si>
    <t>Pre-Pandemic Flu Vaccine</t>
  </si>
  <si>
    <t>1034702</t>
  </si>
  <si>
    <t>1363089</t>
  </si>
  <si>
    <t>EXEL</t>
  </si>
  <si>
    <t>561679</t>
  </si>
  <si>
    <t>756060</t>
  </si>
  <si>
    <t>962040</t>
  </si>
  <si>
    <t>Gastroparesis</t>
  </si>
  <si>
    <t>692342</t>
  </si>
  <si>
    <t>TB vaccine</t>
  </si>
  <si>
    <t>VRX</t>
  </si>
  <si>
    <t>Inhaled steroids: Pulmicort (AZN), Flovent (GSK), Asmanex (SGP), Alvesco (SNY/AAA). Fixed-combination: Symbicort. Pills: Singulair (MRK's leukotriene antagonist). Spiriva.</t>
  </si>
  <si>
    <t>16% reduction, HR=0.84</t>
  </si>
  <si>
    <t>Flu-prepandemic</t>
  </si>
  <si>
    <t>Sold to BVF</t>
  </si>
  <si>
    <t>100%, EU only?</t>
  </si>
  <si>
    <t>US Only</t>
  </si>
  <si>
    <t>Volibris</t>
  </si>
  <si>
    <t>HCC</t>
  </si>
  <si>
    <t>C-MET/VEGFR</t>
  </si>
  <si>
    <t>XL880 (foretinib)</t>
  </si>
  <si>
    <t>2141785</t>
  </si>
  <si>
    <t>Lamictal XR response filed July 2008. Also received approval for ODT?</t>
  </si>
  <si>
    <t>Arzerra, fka HuMax-cd20</t>
  </si>
  <si>
    <t>Benlysta</t>
  </si>
  <si>
    <t>Zyrtec</t>
  </si>
  <si>
    <t>Synflorix</t>
  </si>
  <si>
    <t>Salmeterol 5126375 expires August 2008. Device claims expire between 2008-2017. Sandoz/Vectura preparing ANDA.</t>
  </si>
  <si>
    <t>valacyclovir</t>
  </si>
  <si>
    <t>Antiviral</t>
  </si>
  <si>
    <t>4957294 expired 6/23/2009. '706 expires 2016. Apotex filed ANDA and notified GSK 8/16/2008 and GSK did not sue.</t>
  </si>
  <si>
    <t>Lamictal (lamotrigine)</t>
  </si>
  <si>
    <t>lamivudine, zidovudine</t>
  </si>
  <si>
    <t>Imitrex (sumatriptin)</t>
  </si>
  <si>
    <t>Expired but no generics, Diskus</t>
  </si>
  <si>
    <t>Generic</t>
  </si>
  <si>
    <t>GBP/USD q/q</t>
  </si>
  <si>
    <t>GBP/USD y/y</t>
  </si>
  <si>
    <t>Revenue Y/Y CER</t>
  </si>
  <si>
    <t>EPS Y/Y CER</t>
  </si>
  <si>
    <t>THRX's Beyond Advair/Horizon.</t>
  </si>
  <si>
    <t>5/29/09: Lamictal XR approved.</t>
  </si>
  <si>
    <t>Expired?</t>
  </si>
  <si>
    <t>100%?</t>
  </si>
  <si>
    <t>12/26/2009 30-month expiry</t>
  </si>
  <si>
    <t>Ventolin HFA</t>
  </si>
  <si>
    <t>Menhibrix</t>
  </si>
  <si>
    <t>Integrase</t>
  </si>
  <si>
    <t>Shionogi</t>
  </si>
  <si>
    <t>MRK/GILD</t>
  </si>
  <si>
    <t>6/18/12 COM, 11/16 Crystal</t>
  </si>
  <si>
    <t>2017 Prodrug patent</t>
  </si>
  <si>
    <t>5590645 device patent expires 11/1/2011.</t>
  </si>
  <si>
    <t>5873360 device patent expires 8/23/2016. Blister pack patent.</t>
  </si>
  <si>
    <t>RE40045 combination patent expires 9/7/2010.</t>
  </si>
  <si>
    <t>US: 10/09</t>
  </si>
  <si>
    <t>Q409</t>
  </si>
  <si>
    <t>Sued by ROG/BIIB, Antibody</t>
  </si>
  <si>
    <t>Arzerra</t>
  </si>
  <si>
    <t>Benlysta (belimumab)</t>
  </si>
  <si>
    <t>Cash GBP</t>
  </si>
  <si>
    <t>Price GBP</t>
  </si>
  <si>
    <t>EV GBP</t>
  </si>
  <si>
    <t>Q110</t>
  </si>
  <si>
    <t>Debt GBP</t>
  </si>
  <si>
    <t>12/2009: Purchases Algerian drug company for $38m.</t>
  </si>
  <si>
    <t>12/2009: NovaMin acquisition for 87m pounds.</t>
  </si>
  <si>
    <t>3/2010: Acquires 25% of JCR Pharma (Japan).</t>
  </si>
  <si>
    <t>2008: Acquires Sirtris.</t>
  </si>
  <si>
    <t>Q108</t>
  </si>
  <si>
    <t>Q208</t>
  </si>
  <si>
    <t>Q308</t>
  </si>
  <si>
    <t>Q408</t>
  </si>
  <si>
    <t>Q109</t>
  </si>
  <si>
    <t>Q209</t>
  </si>
  <si>
    <t>Q309</t>
  </si>
  <si>
    <t>Q210</t>
  </si>
  <si>
    <t>Q310</t>
  </si>
  <si>
    <t>Q410</t>
  </si>
  <si>
    <t>Alli</t>
  </si>
  <si>
    <t>Breathe Right</t>
  </si>
  <si>
    <t>Cold Sore</t>
  </si>
  <si>
    <t>Nicotine</t>
  </si>
  <si>
    <t>Panadol</t>
  </si>
  <si>
    <t>Tums</t>
  </si>
  <si>
    <t>OTC</t>
  </si>
  <si>
    <t>Other OTC</t>
  </si>
  <si>
    <t>Aquafresh</t>
  </si>
  <si>
    <t>Biotene</t>
  </si>
  <si>
    <t>Denture</t>
  </si>
  <si>
    <t>Sensodyne</t>
  </si>
  <si>
    <t>Other Oral</t>
  </si>
  <si>
    <t>Horlicks</t>
  </si>
  <si>
    <t>Lucozade</t>
  </si>
  <si>
    <t>Ribena</t>
  </si>
  <si>
    <t>Other Nutritional</t>
  </si>
  <si>
    <t>Nutritional</t>
  </si>
  <si>
    <t>USA</t>
  </si>
  <si>
    <t>Europe</t>
  </si>
  <si>
    <t>ROW</t>
  </si>
  <si>
    <t>CER</t>
  </si>
  <si>
    <t>ROW CER</t>
  </si>
  <si>
    <t>Europe CER</t>
  </si>
  <si>
    <t>US CER</t>
  </si>
  <si>
    <t>Sensodyne is 11% of Consumer, 2% of Total Revenue.</t>
  </si>
  <si>
    <t>VEGF inhibitor</t>
  </si>
  <si>
    <t>NCE</t>
  </si>
  <si>
    <t>Poor IP</t>
  </si>
  <si>
    <t>Poor IP?</t>
  </si>
  <si>
    <t>2017?</t>
  </si>
  <si>
    <t>Soon?</t>
  </si>
  <si>
    <t>NI-CFFO</t>
  </si>
  <si>
    <t>Advair</t>
  </si>
  <si>
    <t>Net Profit (CI)</t>
  </si>
  <si>
    <t>FX</t>
  </si>
  <si>
    <t>Investments</t>
  </si>
  <si>
    <t>Pension</t>
  </si>
  <si>
    <t>Total CI</t>
  </si>
  <si>
    <t>Minority</t>
  </si>
  <si>
    <t>Net CI</t>
  </si>
  <si>
    <t>Reported NI</t>
  </si>
  <si>
    <t>Antibody</t>
  </si>
  <si>
    <t>Prolia (denosumab)</t>
  </si>
  <si>
    <t>RANK ligand</t>
  </si>
  <si>
    <t>AMGN</t>
  </si>
  <si>
    <t>NSCLC, Melanoma</t>
  </si>
  <si>
    <t>PP&amp;E</t>
  </si>
  <si>
    <t>Goodwill/Intangibles</t>
  </si>
  <si>
    <t>Investment in JV</t>
  </si>
  <si>
    <t>Other Investments</t>
  </si>
  <si>
    <t>Derivatives</t>
  </si>
  <si>
    <t>ONCA</t>
  </si>
  <si>
    <t>Inventories</t>
  </si>
  <si>
    <t>Tax Recoverable</t>
  </si>
  <si>
    <t>A/R</t>
  </si>
  <si>
    <t>Assets</t>
  </si>
  <si>
    <t>Debt</t>
  </si>
  <si>
    <t>A/P</t>
  </si>
  <si>
    <t>Provisions</t>
  </si>
  <si>
    <t>Pensions</t>
  </si>
  <si>
    <t>ONCL</t>
  </si>
  <si>
    <t>Liabilities</t>
  </si>
  <si>
    <t>S/E</t>
  </si>
  <si>
    <t>NCI</t>
  </si>
  <si>
    <t>Balance</t>
  </si>
  <si>
    <t>PAT</t>
  </si>
  <si>
    <t>JV</t>
  </si>
  <si>
    <t>Finance Expense</t>
  </si>
  <si>
    <t>Depreciation</t>
  </si>
  <si>
    <t>Working Capital</t>
  </si>
  <si>
    <t>Other</t>
  </si>
  <si>
    <t>Capex</t>
  </si>
  <si>
    <t>FCF</t>
  </si>
  <si>
    <t>LMWH</t>
  </si>
  <si>
    <t>Complex Mixture?</t>
  </si>
  <si>
    <t>Old Drugs/Failures</t>
  </si>
  <si>
    <t>Zofran: 2002-2009: 708m, 774m, 763m, 837m, 847m, 196m, 110m, 109m</t>
  </si>
  <si>
    <t>US Pharma</t>
  </si>
  <si>
    <t>EU Pharma</t>
  </si>
  <si>
    <t>EM Pharma</t>
  </si>
  <si>
    <t>Asia Pharma</t>
  </si>
  <si>
    <t>ViiV Pharma</t>
  </si>
  <si>
    <t>Other Pharma</t>
  </si>
  <si>
    <t>US Growth</t>
  </si>
  <si>
    <t>EU Growth</t>
  </si>
  <si>
    <t>EU CER</t>
  </si>
  <si>
    <t>EM Growth</t>
  </si>
  <si>
    <t>EM CER</t>
  </si>
  <si>
    <t>Asia Growth</t>
  </si>
  <si>
    <t>Asia CER</t>
  </si>
  <si>
    <t>ViiV Growth</t>
  </si>
  <si>
    <t>ViiV CER</t>
  </si>
  <si>
    <t>Other Growth</t>
  </si>
  <si>
    <t>Other CER</t>
  </si>
  <si>
    <t>Fraxiparine (EU)</t>
  </si>
  <si>
    <t>Mosquirix</t>
  </si>
  <si>
    <t>Marlaria</t>
  </si>
  <si>
    <t>Africa only?</t>
  </si>
  <si>
    <t>Nimenrix</t>
  </si>
  <si>
    <t>MenAWCY</t>
  </si>
  <si>
    <t>Menveo</t>
  </si>
  <si>
    <t>Redona (DPP4) - safety discontinuation</t>
  </si>
  <si>
    <t>679586</t>
  </si>
  <si>
    <t>Rheumatoid Arthritis</t>
  </si>
  <si>
    <t>315234</t>
  </si>
  <si>
    <t>249320</t>
  </si>
  <si>
    <t>Stroke</t>
  </si>
  <si>
    <t>iboctadekin</t>
  </si>
  <si>
    <t>IL-18</t>
  </si>
  <si>
    <t>?</t>
  </si>
  <si>
    <t>APN01</t>
  </si>
  <si>
    <t>ARDS</t>
  </si>
  <si>
    <t>rACE</t>
  </si>
  <si>
    <t>2401502</t>
  </si>
  <si>
    <t>Melanoma</t>
  </si>
  <si>
    <t>1223249</t>
  </si>
  <si>
    <t>ALS</t>
  </si>
  <si>
    <t>1070806</t>
  </si>
  <si>
    <t>Metabolic</t>
  </si>
  <si>
    <t>933776</t>
  </si>
  <si>
    <t>Alzheimer's</t>
  </si>
  <si>
    <t>rilapladib</t>
  </si>
  <si>
    <t>221149 (retosiban)</t>
  </si>
  <si>
    <t>Pre-Term Labour</t>
  </si>
  <si>
    <t>Oxytocin</t>
  </si>
  <si>
    <t>681323 (losmapimod)</t>
  </si>
  <si>
    <t>COPD, CV</t>
  </si>
  <si>
    <t>2245840</t>
  </si>
  <si>
    <t>SIRT1</t>
  </si>
  <si>
    <t>Sirtuin</t>
  </si>
  <si>
    <t>1362885</t>
  </si>
  <si>
    <t>Glycogen Phosphorylase</t>
  </si>
  <si>
    <t>GPR119 agonist</t>
  </si>
  <si>
    <t>557296</t>
  </si>
  <si>
    <t>Premature Ejaculation</t>
  </si>
  <si>
    <t>GW274150 (iNOS)</t>
  </si>
  <si>
    <t>GSK 773812 (atypical)</t>
  </si>
  <si>
    <t>GSK 1838262 (migraine)</t>
  </si>
  <si>
    <t>Name</t>
  </si>
  <si>
    <t>1992/1999</t>
  </si>
  <si>
    <t>Generic?</t>
  </si>
  <si>
    <t>Dopamine Agonist</t>
  </si>
  <si>
    <t>Fish Oil</t>
  </si>
  <si>
    <t>2402968/PRO051</t>
  </si>
  <si>
    <t>Duchenne Muscular Dystrophy</t>
  </si>
  <si>
    <t>Antisense</t>
  </si>
  <si>
    <t>Gabapentin</t>
  </si>
  <si>
    <t>Carcinogenicity</t>
  </si>
  <si>
    <t>Potassium Channel</t>
  </si>
  <si>
    <t>Economics?</t>
  </si>
  <si>
    <t>NCEs</t>
  </si>
  <si>
    <t>5-HT6 antagnoist</t>
  </si>
  <si>
    <t>Menhibrix HiB-MenCY/134612</t>
  </si>
  <si>
    <t>Sandoz was first partnered with Vectura, but then discontinued the relationship and subsequently acquired Oriel (ex-GSK executives and device similar to Diskus).</t>
  </si>
  <si>
    <t>Cipla, Respirics and Vectura.</t>
  </si>
  <si>
    <t>Meningitis C&amp;Y, Haemophilus Influenzae B</t>
  </si>
  <si>
    <t>6/2010: Acquires Phoenix Labs in Argentina for $250m.</t>
  </si>
  <si>
    <t>Vaccines focus (A).</t>
  </si>
  <si>
    <t>Q407</t>
  </si>
  <si>
    <t>Q307</t>
  </si>
  <si>
    <t>Q207</t>
  </si>
  <si>
    <t>Q107</t>
  </si>
  <si>
    <t>Q206</t>
  </si>
  <si>
    <t>Q306</t>
  </si>
  <si>
    <t>Q406</t>
  </si>
  <si>
    <t>Q106</t>
  </si>
  <si>
    <t>Selzentry</t>
  </si>
  <si>
    <t>ROIC</t>
  </si>
  <si>
    <t xml:space="preserve">  Licensed some Vectura patents in 8/10.</t>
  </si>
  <si>
    <t>573719</t>
  </si>
  <si>
    <t>Muscarinic</t>
  </si>
  <si>
    <t>233705/642444</t>
  </si>
  <si>
    <t>Relovair (642444 LABA)</t>
  </si>
  <si>
    <t>Price</t>
  </si>
  <si>
    <t>$2,500 per patient per year means 3.3 million people take Advair globally.</t>
  </si>
  <si>
    <t>Mitsubishi Tanabe co-promote in Japan?</t>
  </si>
  <si>
    <t>7% of the United States has asthma, 500k hospitalizations. ~1.5m US patients versus 20m asthmatics. Albuterol emergency inhaler is 1L therapy.</t>
  </si>
  <si>
    <t>Q105</t>
  </si>
  <si>
    <t>Q205</t>
  </si>
  <si>
    <t>Q305</t>
  </si>
  <si>
    <t>Q405</t>
  </si>
  <si>
    <t>Q111</t>
  </si>
  <si>
    <t>Q211</t>
  </si>
  <si>
    <t>Q311</t>
  </si>
  <si>
    <t>Q411</t>
  </si>
  <si>
    <t>RCC</t>
  </si>
  <si>
    <t>NCE 2021: 7105530</t>
  </si>
  <si>
    <t>Votrient fka Neovastat, AE-941, GW786034</t>
  </si>
  <si>
    <t>12/19/2021 Orange book 7105530 C.O.M. patent.</t>
  </si>
  <si>
    <t>Votrient '21</t>
  </si>
  <si>
    <t>9.2 months for pazopanib versus 4.2 months for placebo. HR=0.46.</t>
  </si>
  <si>
    <t>Crohn's Disease</t>
  </si>
  <si>
    <t>ChemoCentryx</t>
  </si>
  <si>
    <t>DMD</t>
  </si>
  <si>
    <t>Prosensa</t>
  </si>
  <si>
    <t>Amigal</t>
  </si>
  <si>
    <t>BPH, Reducing risk of prostate cancer</t>
  </si>
  <si>
    <t>1/26/11 Received CRL for prostate cancer.</t>
  </si>
  <si>
    <t>COM 5565467 expires 11/20/2015, COM 5998427 expires 9/17/2013.</t>
  </si>
  <si>
    <t>9/2013: 5998427 COM</t>
  </si>
  <si>
    <t>FOLD</t>
  </si>
  <si>
    <t>Chaperone</t>
  </si>
  <si>
    <t>GSK2118436</t>
  </si>
  <si>
    <t>GSK1120212</t>
  </si>
  <si>
    <t>BRAF</t>
  </si>
  <si>
    <t>MEK</t>
  </si>
  <si>
    <t>JT</t>
  </si>
  <si>
    <t>GW-353,162/radafaxine</t>
  </si>
  <si>
    <t>ezogabine/retigabine</t>
  </si>
  <si>
    <t>Potiga/Trobant</t>
  </si>
  <si>
    <t>Potiga/Trobalt (retigabine/ezogabine)</t>
  </si>
  <si>
    <t>GSK2402968</t>
  </si>
  <si>
    <t>Exon 51 skipper</t>
  </si>
  <si>
    <t>1/17/11: $3.4bn USD legal charge. Afer tax of GBP1.8bn.</t>
  </si>
  <si>
    <t>1/21/11: CHMP positive opinion.</t>
  </si>
  <si>
    <t>CCR9</t>
  </si>
  <si>
    <t>961081 - muscarinic antagonist and a beta2receptor agonist.</t>
  </si>
  <si>
    <t>961081 Phase IIB COPD - Initiated 12/21/10</t>
  </si>
  <si>
    <t>IPX066</t>
  </si>
  <si>
    <t>Parkinson's</t>
  </si>
  <si>
    <t>IPXL</t>
  </si>
  <si>
    <t>Carbi/Levodopa</t>
  </si>
  <si>
    <t>Phase III paclitaxel+- Tykerb in 1L HER2-positive mBC</t>
  </si>
  <si>
    <t>27.8m vs 20.5m mOS.</t>
  </si>
  <si>
    <t>9.7m vs. 6.5m PFS.</t>
  </si>
  <si>
    <t>Asian Pacific region.</t>
  </si>
  <si>
    <t>Phase III NeoALTTO Tykerb vs Herceptin vs Tykerb+Herceptin</t>
  </si>
  <si>
    <t>pCR of 51.3% for combination versus 24.7% for Tykerb versus 29.5% for Herceptin.</t>
  </si>
  <si>
    <t>12/19/10: German Federal register notes Chiesi's price of 50% discount to Advair.</t>
  </si>
  <si>
    <t>12/13/10: Acquires Maxinutrition for GBP162m.</t>
  </si>
  <si>
    <t>12/7/10: Acquires Nanjing MeiRui Pharmaceuticals for $70m.</t>
  </si>
  <si>
    <t>12/1/10: Potiga CRL.</t>
  </si>
  <si>
    <t>Fabry Disease</t>
  </si>
  <si>
    <t>Net CFFO</t>
  </si>
  <si>
    <t>Intangibles</t>
  </si>
  <si>
    <t>Equity</t>
  </si>
  <si>
    <t>Other Investing</t>
  </si>
  <si>
    <t>CFFI</t>
  </si>
  <si>
    <t>CFFF</t>
  </si>
  <si>
    <t>1/22/10 CHMP positive opinion.</t>
  </si>
  <si>
    <t>Results announcement for the fourth quarter 2008</t>
  </si>
  <si>
    <t>GSK’s paediatric pneumococcal candidate vaccine Synflorix™ receives positive opinion in Europe</t>
  </si>
  <si>
    <t>GlaxoSmithKline receives European Commission approval to market alli® (orlistat 60mg)</t>
  </si>
  <si>
    <t>GSK and Xenoport resubmit new drug application for Solzira™ in restless legs syndrome</t>
  </si>
  <si>
    <t>GlaxoSmithKline and Archemix form strategic alliance to develop aptamers to treat inflammatory diseases</t>
  </si>
  <si>
    <t>GlaxoSmithKline to cease providing corporate political contributions</t>
  </si>
  <si>
    <t>GlaxoSmithKline extends tender offer for Genelabs Technologies, Inc.</t>
  </si>
  <si>
    <t>Two new studies in the New England Journal of Medicine show malaria vaccine candidate advancing in Africa</t>
  </si>
  <si>
    <t>GSK and Neptunus sign cooperation agreement to form joint venture for the co-development of flu vaccines in China, Hong Kong and Macau</t>
  </si>
  <si>
    <t>Cervarix, GSK’s cervical cancer vaccine, wins tender for Dutch national immunisation programme</t>
  </si>
  <si>
    <t>GlaxoSmithKline and AFFiRiS sign an exclusive licence and option agreement for therapeutic Alzheimer’s disease candidate vaccines</t>
  </si>
  <si>
    <t>Results announcement for the third quarter 2008</t>
  </si>
  <si>
    <t>GlaxoSmithKline to acquire the leading dry mouth brand, Biotene</t>
  </si>
  <si>
    <t>GSK’s Emerging Markets strategy advances with acquisition in Egypt</t>
  </si>
  <si>
    <t>GSK responds to NICE’s second technology appraisal consultation document on the use of Tyverb, in combination with capecitabine, for women with previously treated advanced or metastatic breast cancer</t>
  </si>
  <si>
    <t>LF Elimination programme treats over half billion people and protects millions more from debilitating disease</t>
  </si>
  <si>
    <t>GSK update on FDA review of Promacta® (eltrombopag)</t>
  </si>
  <si>
    <t>New data for GlaxoSmithKline’s pre-pandemic H5N1 influenza vaccine, Prepandrix™, show administration flexibility for pandemic planning</t>
  </si>
  <si>
    <t>GSK and Xenoport announce submission of new drug application requesting FDA approval of Solzira™ for Restless Legs Syndrome</t>
  </si>
  <si>
    <t>Tyverb® demonstrates encouraging results in Phase II study in advanced head and neck cancer</t>
  </si>
  <si>
    <t>ESMO 2008 - GlaxoSmithKline to present encouraging new data supporting late stage development programme</t>
  </si>
  <si>
    <t>GlaxoSmithKline and Cellzome announce major strategic alliance</t>
  </si>
  <si>
    <t>GlaxoSmithKline and Valeant Pharmaceuticals announce worldwide collaboration agreement for retigabine</t>
  </si>
  <si>
    <t>GlaxoSmithKline and the Harvard Stem Cell Institute announce a unique collaboration to enable the discovery of new medicines</t>
  </si>
  <si>
    <t>Results announcement for the second quarter 2008</t>
  </si>
  <si>
    <t>GSK enters transformational agreement with Aspen to drive growth in emerging markets</t>
  </si>
  <si>
    <t>GSK receives BITC CommunityMark for global community programmes</t>
  </si>
  <si>
    <t>GlaxoSmithKline responds to FDA on Cervarix® and plans to submit final study data for approval</t>
  </si>
  <si>
    <t>Cervarix™, GSK’s cervical cancer vaccine, wins tender for UK national immunisation programme</t>
  </si>
  <si>
    <t>GlaxoSmithKline responds to Government announcement on the PPRS</t>
  </si>
  <si>
    <t>GlaxoSmithKline and Mpex Pharmaceuticals form alliance to develop novel efflux pump inhibitors for use against serious gram-negative infections</t>
  </si>
  <si>
    <t>Revolade® (eltrombopag) data presented at EHA: updated data for EXTEND plus new data for REPEAT and DELPHI studies</t>
  </si>
  <si>
    <t>GlaxoSmithKline receives marketing authorisation in the EU for Tyverb® (lapatinib), the first oral targeted therapy for ErbB2-positive breast cancer</t>
  </si>
  <si>
    <t>GlaxoSmithKline acquires Sirtris Pharmaceuticals, Inc., a world leader in sirtuin research and development</t>
  </si>
  <si>
    <t>GlaxoSmithKline and Boston’s Immune Disease Institute put scientists head-to-head in race for new discoveries</t>
  </si>
  <si>
    <t>GlaxoSmithKline successfully completes tender offer for shares of Sirtris Pharmaceuticals</t>
  </si>
  <si>
    <t>New data offer insights into the potential role for Tykerb® / Tyverb® (lapatinib) in non-cytotoxic chemotherapy-based treatment regimens</t>
  </si>
  <si>
    <t>New data on MAGE-A3 cancer immuno therapy support novel options of treating non-small cell lung cancer and melanoma</t>
  </si>
  <si>
    <t>GlaxoSmithKline announces new drug application and Phase III results for Rezonic™ / Zunrisa™ (casopitant)</t>
  </si>
  <si>
    <t>GlaxoSmithKline plc - results of AGM</t>
  </si>
  <si>
    <t>First pre-pandemic vaccine approved to help protect against pandemic influenza</t>
  </si>
  <si>
    <t>GSK announces results of first Phase III trial evaluating Tykerb®/Tyverb® (lapatinib) plus Herceptin® (trastuzumab)</t>
  </si>
  <si>
    <t>The battle against obesity: European experts and pharmacists call for an increased role for pharmacy</t>
  </si>
  <si>
    <t>Scientists publishing in Nature call for the diversification of antiviral stockpiles in preparation for an influenza pandemic</t>
  </si>
  <si>
    <t>Cervarix™ provides longest duration of sustained neutralising antibodies reported for any vaccine against HPV 16 and 18 to date</t>
  </si>
  <si>
    <t>GlaxoSmithKline commences tender offer to acquire Sirtris Pharmaceuticals</t>
  </si>
  <si>
    <t>FDA approves Advair 250/50 for reduction of exacerbations in patients with COPD</t>
  </si>
  <si>
    <t>GSK announces changes to Corporate Executive Team</t>
  </si>
  <si>
    <t>GlaxoSmithKline awards £300,000 to community health charities in recognition of their work</t>
  </si>
  <si>
    <t>GlaxoSmithKline's Volibris (ambrisentan) receives authorisation from the European Commission for the treatment of Functional Class II and III Pulmonary Arterial Hypertension</t>
  </si>
  <si>
    <t>GSK receives positive opinion for conditional approval of new oral breast cancer treatment, Tyverb (lapatinib)</t>
  </si>
  <si>
    <t>Results announcement for the first quarter 2008</t>
  </si>
  <si>
    <t>GlaxoSmithKline to acquire Sirtris Pharmaceuticals, a world leader in 'Sirtuin' research and development</t>
  </si>
  <si>
    <t>GlaxoSmithKline gains approval for co-administration of Avodart® (dutasteride) with tamsulosin for the treatment of benign prostatic hyperplasia under the European Mutual Recognition Procedure</t>
  </si>
  <si>
    <t>GlaxoSmithKline reports further progress of oncology portfolio</t>
  </si>
  <si>
    <t>GlaxoSmithKline and Regulus Therapeutics form strategic alliance to develop microRNA targeted therapeutics to treat inflammatory diseases</t>
  </si>
  <si>
    <t>Treximet (sumatriptan and naproxen sodium) tablets approved by FDA for acute treatment of migraine</t>
  </si>
  <si>
    <t>GlaxoSmithKline confirms receipt of FDA letter on regulatory reporting</t>
  </si>
  <si>
    <t>FDA approves Rotarix [Rotavirus Vaccine, live, oral], the first vaccine licensed to complete the rotavirus immunisation series by four months of age</t>
  </si>
  <si>
    <t>Tyverb (lapatinib) European regulatory update</t>
  </si>
  <si>
    <t>Phase III study of Bosatria (mepolizumab) showed disease control with reduced corticosteroid use in hypereosinophilic syndrome</t>
  </si>
  <si>
    <t>FDA grants Priority Review For Promacta / Revolade (Eltrombopag)</t>
  </si>
  <si>
    <t>Update on GSK's malaria treatments: Dacart and Lapdap</t>
  </si>
  <si>
    <t>XenoPort and GlaxoSmithKline report positive top-line results of final pivotal trial of XP13512/GSK1838262 for restless legs syndrome</t>
  </si>
  <si>
    <t>GlaxoSmithKline statement: Public Library of Science Medicine article on antidepressant medicines</t>
  </si>
  <si>
    <t>GlaxoSmithKline and Theravance announce expansion of the Horizon programme with start of large Phase 2B study of LABA in COPD patients</t>
  </si>
  <si>
    <t>GSK's Volibris (ambrisentan) receives EMEA positive opinion for approval to treat class II and II pulmonary arterial hypertension (PAH)</t>
  </si>
  <si>
    <t>New price reductions for GSK antiretrovirals in the world's poorest countries</t>
  </si>
  <si>
    <t>Novel anti-CD20 monoclonal antibody ofatumumab demonstrates anti-tumour responses in patients with relapsed/refractory B-cell chronic lymphocytic leukaemia</t>
  </si>
  <si>
    <t>FDA extends review of NDA for Entereg® (alvimopan)</t>
  </si>
  <si>
    <t>Full-year results announcement 2007</t>
  </si>
  <si>
    <t>GlaxoSmithKline responds to findings in ACCORD study</t>
  </si>
  <si>
    <t>GlaxoSmithKline receives EMEA positive opinion for the approval of Hycamtin® (topotecan) hard capsules for the treatment of relapsed small cell lung cancer</t>
  </si>
  <si>
    <t>GlaxoSmithKline and Amira Pharmaceuticals enter global agreement for FLAP inhibitor programme</t>
  </si>
  <si>
    <t>GlaxoSmithKline files pneumococcal paediatric vaccine in the EU</t>
  </si>
  <si>
    <t>GlaxoSmithKline welcomes European guidance that stockpiling more than one antiviral would be useful in preparing for a flu pandemic</t>
  </si>
  <si>
    <t>GlaxoSmithKline and Synta announce elesclomol granted US orphan drug designation by the FDA</t>
  </si>
  <si>
    <t>GSK appoints Lon Cardon to focus genetics on new disease targets</t>
  </si>
  <si>
    <t>GSK and MRC to identify new therapeutic targets and biomarkers from genetic association studies</t>
  </si>
  <si>
    <t>GlaxoSmithKline and TB Alliance renew tuberculosis drug discovery programme</t>
  </si>
  <si>
    <t>GlaxoSmithKline and Medicines For Malaria Venture announce new collaboration to investigate novel antimalarial compounds</t>
  </si>
  <si>
    <t>GlaxoSmithKline to revise Avandia® (rosiglitazone maleate) label in Europe following assessment by CHMP</t>
  </si>
  <si>
    <t>GlaxoSmithKline and Adolor report favourable FDA Advisory Committee meeting for Entereg® (alvimopan) for the management of postoperative ileus in bowel resection</t>
  </si>
  <si>
    <t>New allergic rhinitis treatment Avamys™ approved in Europe</t>
  </si>
  <si>
    <t>GlaxoSmithKline and XenoPort report positive top-line results of second phase 3 restless legs syndrome trial for XP13512/GSK1838262</t>
  </si>
  <si>
    <t>GlaxoSmithKline and Theravance announce start of large Phase 2B ICS and LABA studies for asthma in the Horizon programme</t>
  </si>
  <si>
    <t>First head-to-head study comparing common treatments for patients with COPD shows quality of life and survival benefits for patients treated with Seretide</t>
  </si>
  <si>
    <t>GlaxoSmithKline files for FDA approval of Promacta/Revolade (eltrombopag) to be the first oral platelet growth factor for rare blood disorder</t>
  </si>
  <si>
    <t>GlaxoSmithKline and Santaris Pharma enter global R&amp;D alliance to discover, develop and commercialise RNA antagonists as novel antivirals</t>
  </si>
  <si>
    <t>GlaxoSmithKline completes acquisition of Reliant Pharmaceuticals</t>
  </si>
  <si>
    <t>GlaxoSmithKline receives FDA ‘complete response’ letter for cervical cancer vaccine</t>
  </si>
  <si>
    <t>GlaxoSmithKline announces data on Tykerb® (lapatinib) plus capecitabine for the treatment of HER2-positive breast cancer brain metastases</t>
  </si>
  <si>
    <t>GlaxoSmithKline, via its Centre Of Excellence for External Drug Discovery, exercises its options to further develop and commercialise Exelixis’ anti-cancer C-Met inhibitior XL880</t>
  </si>
  <si>
    <t>GlaxoSmithKline presents innovative neuroscience pipeline</t>
  </si>
  <si>
    <t>GlaxoSmithKline responds to JAMA article on the ICES thiazolidinediones and cardiovascular outcomes in older patients with diabetes</t>
  </si>
  <si>
    <t>GlaxoSmithKline receives decision from US FDA on Requip® XL™</t>
  </si>
  <si>
    <t>Long-term safety and efficacy data on Promacta™ (eltrombopag) presented at American Society of Hematology Annual Meeting</t>
  </si>
  <si>
    <t>GlaxoSmithKline and OncoMed Pharmaceuticals form strategic alliance to develop cancer stem cell antibody therapeutics</t>
  </si>
  <si>
    <t>GlaxoSmithKline and Galapagos enter strategic alliance to develop novel antibacterials and antivirals</t>
  </si>
  <si>
    <t>GlaxoSmithKline announces appointments to the Board of Directors</t>
  </si>
  <si>
    <t>GSK’s continued commitment to fighting HIV/AIDS results in approval of new formulations of three medicines for the treatment of children</t>
  </si>
  <si>
    <t>Statement from GlaxoSmithKline: publication of update regarding thiazolidinediones to treatment guidelines for the management of type 2 diabetes mellitus by the European Association for the Study of Diabetes (EASD) and the American Diabetes Association (ADA)</t>
  </si>
  <si>
    <t>GSK response to Nature Medicine article on rosiglitazone and bone in mice</t>
  </si>
  <si>
    <t>GSK statement on US Food and Drug Administration Pediatric Advisory Committee recommendations regarding salmeterol</t>
  </si>
  <si>
    <t>GlaxoSmithKline obtains exclusive US OTC marketing rights to Mevacor® (lovastatin) from Merck &amp; Co., Inc.</t>
  </si>
  <si>
    <t>New data published in The Lancet show GSK's rotavirus vaccine Rotarix offers sustained and broad protection against all common circulating rotavirus types</t>
  </si>
  <si>
    <t>GlaxoSmithKline to acquire Reliant Pharmaceuticals</t>
  </si>
  <si>
    <t>GlaxoSmithKline and Genmab initiate ofatumumab rheumatoid arthritis Phase III programme</t>
  </si>
  <si>
    <t>GSK and the European Foundation for the Study of Diabetes (EFSD) commit €1 million to diabetes research in Europe</t>
  </si>
  <si>
    <t>GlaxoSmithKline revises US labeling for Avandia</t>
  </si>
  <si>
    <t>Prometheus to acquire Lotronex® from GlaxoSmithKline</t>
  </si>
  <si>
    <t>GlaxoSmithKline initiates trials of Promacta®/Revolade™ (eltrombopag) to investigate the potential to aid hepatitis C patients in achieving sustained virological response</t>
  </si>
  <si>
    <t>New innovation grants boost malaria advocacy efforts in Africa</t>
  </si>
  <si>
    <t>Fabre Kramer Pharmaceuticals receives decision from FDA on gepirone ER for major depressive disorder</t>
  </si>
  <si>
    <t>Results announcement for the third quarter 2007</t>
  </si>
  <si>
    <t>GlaxoSmithKline and Tolerx form worldwide collaboration for development and commercialisation of novel medication</t>
  </si>
  <si>
    <t>New allergic rhinitis treatment Avamys™ receives positive opinion in Europe</t>
  </si>
  <si>
    <t>European Medicine Agency (EMEA) confirms positive Avandia benefit risk assessment</t>
  </si>
  <si>
    <t>New Lancet study: Malaria vaccine candidate has promising safety, tolerability profile in infants</t>
  </si>
  <si>
    <t>GSK receives approval for Hycamtin® (topotecan) capsules for the treatment of relapsed small cell lung cancer</t>
  </si>
  <si>
    <t>GlaxoSmithKline and Synta Pharmaceuticals announce development and commercialisation collaboration for STA-4783 in oncology</t>
  </si>
  <si>
    <t>GlaxoSmithKline appoints Andrew Witty CEO designate</t>
  </si>
  <si>
    <t>GlaxoSmithKline and Anacor Pharmaceuticals form alliance to develop systemic antivirals and antibiotics based on boron chemistry</t>
  </si>
  <si>
    <t>GSK seeks prequalification for Cervarix™ from the World Health Organization after obtaining marketing approval in Europe</t>
  </si>
  <si>
    <t>GSK applies for licence to market OTC weight loss product In Europe</t>
  </si>
  <si>
    <t>GSK submits Cervarix licence application to Japan's health authorities</t>
  </si>
  <si>
    <t>GlaxoSmithKline plc announces change to the Board of Directors</t>
  </si>
  <si>
    <t>GlaxoSmithKline helps form the Serious Adverse Events Consortium</t>
  </si>
  <si>
    <t>Cervarix, GSK's cervical cancer vaccine, approved In Europe</t>
  </si>
  <si>
    <t>GSK receives decision from FDA on Lamictal®XR™ Extended-Release Tablets</t>
  </si>
  <si>
    <t>GlaxoSmithKline and Sepracor Inc. announce international alliance for commercialisation of Lunivia</t>
  </si>
  <si>
    <t>GlaxoSmithKline responds to JAMA articles</t>
  </si>
  <si>
    <t>Study shows combination therapy incorporating Avodart® and tamsulosin provides continuous symptom improvement over two years</t>
  </si>
  <si>
    <t>GlaxoSmithKline's Arixtra® receives European authorisation for the treatment of acute coronary syndromes</t>
  </si>
  <si>
    <t>FDA accepts for review complete response to approvable letter for Entereg® (alvimopan) for POI</t>
  </si>
  <si>
    <t>GlaxoSmithKline receives approval for Atriance® (nelarabine) in Europe for the treatment of difficult-to-treat leukaemias and lymphomas</t>
  </si>
  <si>
    <t>GlaxoSmithKline signs contract for its pandemic flu vaccine with UK Government</t>
  </si>
  <si>
    <t>GlaxoSmithKline's application for Rotarix® is accepted for review by the FDA</t>
  </si>
  <si>
    <t>GlaxoSmithKline updates prescribing information for Avandia in the US</t>
  </si>
  <si>
    <t>GSK gives consent under Canada's Access to Medicines Regime for generic version of HIV/AIDS medicine for use in Rwanda</t>
  </si>
  <si>
    <t>GSK receives decision from FDA on Advair 500/50 for COPD</t>
  </si>
  <si>
    <t>GlaxoSmithKline receives new HHS order for H5N1 bulk antigen</t>
  </si>
  <si>
    <t>FDA issues second approvable letter for Trexima™</t>
  </si>
  <si>
    <t>GSK comments on UK Government announcement to renegotiate current Pharmaceutical Pricing and Regulation Scheme agreement</t>
  </si>
  <si>
    <t>GlaxoSmithKline presents Avandia data to FDA</t>
  </si>
  <si>
    <t>Pharmetrics epidemiology study</t>
  </si>
  <si>
    <t>FDA Advisory Panel votes 22 to 1 for Avandia® to remain available to patients in the US</t>
  </si>
  <si>
    <t>GlaxoSmithKline statement in diabetes care study thiazolidinediones and heart failure: a teleo-analysis [1]</t>
  </si>
  <si>
    <t>GlaxoSmithKline and Targacept form alliance in therapeutics for CNS-related disorders</t>
  </si>
  <si>
    <t>New head-to-head study comparing Lexiva® and atazanavir show similar efficacy and lipid changes</t>
  </si>
  <si>
    <t>Results announcement for the second quarter 2007</t>
  </si>
  <si>
    <t>GSK's cervical cancer candidate vaccine Cervarix™ receives positive opinion in Europe for prevention of cervical cancer</t>
  </si>
  <si>
    <t>GSK responds to online review of rosiglitazone by The Cochrane Collaboration</t>
  </si>
  <si>
    <t>GSK receives extended licence indication for Seretide in Europe following submission of TORCH data for COPD</t>
  </si>
  <si>
    <t>Largest cervical cancer vaccine efficacy trial shows Cervarix™ provides excellent protection against lesions caused by most common cancer-causing virus types</t>
  </si>
  <si>
    <t>GlaxoSmithKline's Arixtra® (fondaparinux sodium) receives positive opinion in Europe for the treatment of acute coronary syndromes</t>
  </si>
  <si>
    <t>New data show patients treated with Avandia® (rosiglitazone maleate) incurred lower medical costs and used fewer healthcare resources when compared to patients treated with sulphonylureas</t>
  </si>
  <si>
    <t>GlaxoSmithKline's Atriance (nelarabine) receives positive opinion in Europe for the treatment of rare, difficult to treat leukaemias and lymphomas</t>
  </si>
  <si>
    <t>GlaxoSmithKline expects to launch up to five major new medicines for oncology in next three years</t>
  </si>
  <si>
    <t>GlaxoSmithKlline and Genmab present positive Phase II results with ofatumumab in patients with rheumatoid arthritis (RA)</t>
  </si>
  <si>
    <t>GlaxoSmithKline, Imperial College London, and The Medical Research Council officially open the UK's world-leading Clinical Imaging Centre</t>
  </si>
  <si>
    <t>GlaxoSmithKline to make unprecedented vaccine donation to WHO pandemic flu stockpile</t>
  </si>
  <si>
    <t>GlaxoSmithKline's application for DTaP-IPV vaccine is accepted for review by the FDA</t>
  </si>
  <si>
    <t>alli™ - the OTC weight loss product - on shelves nationwide in the US later this week</t>
  </si>
  <si>
    <t>FDA grants priority review for oral formulation of HYCAMTIN (topotecan) to treat relapsed small cell lung cancer</t>
  </si>
  <si>
    <t>GlaxoSmithKline and Adolor update alvimopan (Entereg/Entrareg) development programme</t>
  </si>
  <si>
    <t>Pivotal phase III trial showed RevoladeTM (eltrombopag) raised platelet counts and reduced bleeding in patients with chronic ITP</t>
  </si>
  <si>
    <t>Newly published data from large study support cardiovascular safety of Avandia (rosiglitazone maleate)</t>
  </si>
  <si>
    <t>Statement of Moncef Slaoui, PhD, Chairman Research &amp; Development, GlaxoSmithKline</t>
  </si>
  <si>
    <t>Encouraging clinical activity of GSK's novel cancer immunotherapeutic confirmed in phase II study in patients with most common form of lung cancer</t>
  </si>
  <si>
    <t>Cervarix, the GSK cervical cancer candidate vaccine, provides sustained immune response in 100 per cent of women up to 55 years of age</t>
  </si>
  <si>
    <t>Interim data from RECORD study show no significant difference between Avandia and standard therapy in risk of cardiovascular hospitalization or death</t>
  </si>
  <si>
    <t>GlaxoSmithKline response to New England Journal of Medicine editorials</t>
  </si>
  <si>
    <t>GSK's pazopanib shows positive results in patients with advanced renal cell carcinoma, ovarian cancer and soft tissue sarcoma</t>
  </si>
  <si>
    <t>Eight-year long-term data demonstrate prolonged overall survival and length of disease remission with BEXXAR</t>
  </si>
  <si>
    <t>GlaxoSmithKline reports positive new data on Tykerb (lapatinib) at the 2007 American Society of Clinical Oncology (ASCO) annual meeting</t>
  </si>
  <si>
    <t>GlaxoSmithKline announces Altargo approved in Europe for treatment of Impetigo and other skin infections</t>
  </si>
  <si>
    <t>GlaxoSmithKline honours cancer research pioneer Gianni Bonadonna with new ASCO award and fellowship</t>
  </si>
  <si>
    <t>Data affirms Avandia (rosiglitazone maleate) cardiovascular safety profile</t>
  </si>
  <si>
    <t>Retrospective observational study shows combination vaccines may improve vaccination coverage rates in infants</t>
  </si>
  <si>
    <t>GlaxoSmithKline launches Chinese R&amp;D centre with appointment of head in Shanghai</t>
  </si>
  <si>
    <t>GlaxoSmithKline announces Swiss approval of Tyverb®, a new oral treatment for advanced breast cancer</t>
  </si>
  <si>
    <t>alli™ debuts through the alli Experience</t>
  </si>
  <si>
    <t>Cervarix™ is approved in Australia for females 10-45 years old</t>
  </si>
  <si>
    <t>GlaxoSmithKline responds to NEJM article on Avandia</t>
  </si>
  <si>
    <t>GlaxoSmithKline strongly defends its record on Avandia</t>
  </si>
  <si>
    <t>Sally Field addresses members of Congress about osteoporosis during national osteoporosis awareness month</t>
  </si>
  <si>
    <t>GlaxoSmithKline's Hib-MenCY-TT combination vaccine meets phase II study endpoints of immunogenicity and safety compared to licensed vaccines</t>
  </si>
  <si>
    <t>Cervarix® data show that higher levels of antibodies in the bloodstream correlate to higher levels in cervico-vaginal secretions</t>
  </si>
  <si>
    <t>Fabre-Kramer refiles gepirone ER with the FDA for the treatment of major depressive disorder</t>
  </si>
  <si>
    <t>GlaxoSmithKline's investigational DTaP-IPV combination vaccine shown to be immunogenic and well-tolerated in Phase III clinical trial</t>
  </si>
  <si>
    <t>GlaxoSmithKline supports World Health Organization efforts to strengthen global pandemic preparedness plans</t>
  </si>
  <si>
    <t>Trexima™ (sumatriptan/naproxen sodium) provided relief of both traditional and non-traditional migraine symptoms</t>
  </si>
  <si>
    <t>FDA Advisory Committee finds substantial evidence to support Advair 500/50 in reducing COPD exacerbations</t>
  </si>
  <si>
    <t>New data shows once a day Lamictal® XR™ is effective in treating patients with partial seizures</t>
  </si>
  <si>
    <t>GlaxoSmithKline and Wellcome Trust announce partnership to target drug-resistant hospital infections</t>
  </si>
  <si>
    <t>FDA approves once-daily Veramyst (fluticasone furoate) Nasal Spray for treatment of seasonal and year-round allergy symptoms in adults and children as young as two years</t>
  </si>
  <si>
    <t>Results announcement for the first quarter 2007</t>
  </si>
  <si>
    <t>GlaxoSmithKline receives Japanese approval for two major new product opportunities: Seretide/Advair and Arixtra</t>
  </si>
  <si>
    <t>Community health charities receive £265,000 in recognition of their work from GlaxoSmithKline</t>
  </si>
  <si>
    <t>Cervarix®, GSK cervical cancer candidate vaccine, demonstrates 100 percent protection against precancerous lesions caused by cancer-causing human papillomavirus types 16 &amp; 18 for more than five years</t>
  </si>
  <si>
    <t>GSK initiates repeat dosing study of its novel oral platelet growth factor, eltrombopag, in ITP</t>
  </si>
  <si>
    <t>GSK announces FDA approval of Altabax (retapamulin ointment), 1%</t>
  </si>
  <si>
    <t>GSK and Adolor announce preliminary results from phase 3 Safety study of Alvimopan (Entereg/Entrareg)</t>
  </si>
  <si>
    <t>Once daily, extended-release ropinirole improves Parkinson's symptoms in patients not optimally controlled with levodopa</t>
  </si>
  <si>
    <t>Trexima (sumatriptan/naproxen sodium) superior efficacy data published in JAMA</t>
  </si>
  <si>
    <t>GlaxoSmithKline KK seeks approval in Japan for lapatinib, a new treatment for breast cancer</t>
  </si>
  <si>
    <t>FDA approves accelerated dosing schedule for GlaxoSmithKline's Twinrix</t>
  </si>
  <si>
    <t>GlaxoSmithKline files meningococcal conjugate vaccine</t>
  </si>
  <si>
    <t>GlaxoSmithKline submits biologics license application to US Food and Drug Administration for Cervarix</t>
  </si>
  <si>
    <t>GlaxoSmithKline appoints Zhi Hong to head infectious-diseases research centre</t>
  </si>
  <si>
    <t>New study indicates nicotine patches may be safe for helping patients with coronary artery disease to quit smoking</t>
  </si>
  <si>
    <t>GlaxoSmithKline announces Altargo receives positive opinion in Europe for treatment of impetigo and other skin infections</t>
  </si>
  <si>
    <t>GSK giving figures exceed £300 million for fourth year running: medicines for Lymphatic Filariasis elimination valued at £16 million</t>
  </si>
  <si>
    <t>GSK announces nationwide availability of once-a-day Coreg CR for the treatment of three key cardiovascular conditions</t>
  </si>
  <si>
    <t>FiberChoice plus multivitamins issues allergy alert</t>
  </si>
  <si>
    <t>FDA approves Tykerb (lapatinib) in combination with Xeloda (capecitabine) for the treatment of advanced or metastatic breast cancer in women who have progressed on prior therapy</t>
  </si>
  <si>
    <t>New JACC analysis details cardiovascular protective benefits of carvedilol in heart failure patients</t>
  </si>
  <si>
    <t>New studies indicate GSK's pre-pandemic influenza vaccine can protect against different strains of H5N1</t>
  </si>
  <si>
    <t>Study published in New England Journal of Medicine: Vaccine 95.5% effective against neglected hepatitis E</t>
  </si>
  <si>
    <t>New data show fluticasone furoate nasal spray effectively treated nasal symptoms of allergic rhinitis</t>
  </si>
  <si>
    <t>GSK initiates first global Phase III study of Tykerb (lapatinib) in head and neck cancer</t>
  </si>
  <si>
    <t>Landmark study shows important benefits of Seretide treatment for patients with fatal lung disease, COPD</t>
  </si>
  <si>
    <t>GlaxoSmithKline acquires exclusive rights to over-the-counter orlistat for markets outside the US from Roche Group</t>
  </si>
  <si>
    <t>OFT market study into the Pharmaceutical Price Regulation Scheme</t>
  </si>
  <si>
    <t>GlaxoSmithKline successfully completes tender offer for shares of Praecis Pharmaceuticals</t>
  </si>
  <si>
    <t>GlaxoSmithKline Diseases of the Developing World ad campaign receives industry award</t>
  </si>
  <si>
    <t>WHO awards prequalification status to GSK rotavirus vaccine</t>
  </si>
  <si>
    <t>GlaxoSmithKline and Human Genome Sciences announce initiation of Phase 3 clinical trial of Lymphostat-B in systemic lupus erythematosus</t>
  </si>
  <si>
    <t>GlaxoSmithKline offers new tools to help patients get free medicines</t>
  </si>
  <si>
    <t>GlaxoSmithKline commends $1.5 billion advance market commitment for pneumococcal vaccines</t>
  </si>
  <si>
    <t>Full-year results announcement 2006</t>
  </si>
  <si>
    <t>GlaxoSmithKline and XenoPort announce agreement on late-stage compound for RLS and neuropathic pain</t>
  </si>
  <si>
    <t>GlaxoSmithKline and Fabre-Kramer Pharmaceuticals enter global agreement for new treatment of major depressive disorder</t>
  </si>
  <si>
    <t>FDA approves alli (orlistat 60 mg capsules) over-the-counter</t>
  </si>
  <si>
    <t>GlaxoSmithKline accepts shares in tender offer for shares of Praecis Pharmaceuticals and commences subsequent offering period</t>
  </si>
  <si>
    <t>GlaxoSmithKline receives approvable letter for new indications for Arixtra (fondaparinux sodium) injection</t>
  </si>
  <si>
    <t>Valtrex (valacyclovir) - US patent litigation update</t>
  </si>
  <si>
    <t>GlaxoSmithKline statement - BBC Panorama - 29 January 2007</t>
  </si>
  <si>
    <t>GlaxoSmithKline files its new pre-pandemic influenza vaccine in Europe</t>
  </si>
  <si>
    <t>GlaxoSmithKline initiates head-to-head study of cervical cancer vaccines</t>
  </si>
  <si>
    <t>GlaxoSmithKline awarded $63 million HHS contract for pandemic vaccine research and development: Company begins government and retail shipments of its antiviral Relenza</t>
  </si>
  <si>
    <t>GlaxoSmithKline receives first European approval for Wellbutrin XR</t>
  </si>
  <si>
    <t>GlaxoSmithKline commences tender offer to acquire Praecis Pharmaceuticals</t>
  </si>
  <si>
    <t>almorexant: orexin antagonist insomnia candidate discontinued 1/11.</t>
  </si>
  <si>
    <t>Controversies</t>
  </si>
  <si>
    <t>$3.4bn Avandia/US Attorney's DofCo.</t>
  </si>
  <si>
    <t>http://www.gsk.com/media/pressreleases/2011/2011_pressrelease_10018.htm</t>
  </si>
  <si>
    <t>MEK inhibitor</t>
  </si>
  <si>
    <t>Phase III "METRIC" GSK212 versus DTC/paclitaxel</t>
  </si>
  <si>
    <t>Metastatic Melanoma BRAF V600 mutation</t>
  </si>
  <si>
    <t>BRAF inhibitor</t>
  </si>
  <si>
    <t>Phase III "BRF113683" GSK436 versus DTIC</t>
  </si>
  <si>
    <t>$750m Puerto Rico manufacturing facility</t>
  </si>
  <si>
    <t>Exon 51 skip</t>
  </si>
  <si>
    <t>Phase III n=160 DMD</t>
  </si>
  <si>
    <t>6MW primary endpoint at 48 weeks.</t>
  </si>
  <si>
    <t>Relenza (zanamivir)</t>
  </si>
  <si>
    <t>Influenza</t>
  </si>
  <si>
    <t>Biota</t>
  </si>
  <si>
    <t>zanamivir</t>
  </si>
  <si>
    <t>Phase III IV zanamivir versus Oral Tamiflu n=462</t>
  </si>
  <si>
    <t>Initiated 1/19/2011, results in 2014.</t>
  </si>
  <si>
    <t>GSK1605786</t>
  </si>
  <si>
    <t>Phase III Induction study versus placebo</t>
  </si>
  <si>
    <t>NovaMin, XRAY relationship</t>
  </si>
  <si>
    <t>n=425 100mcg, 400mcg, 800mcg QD and 100mcg, 200mg and 400mcg BID versus 50mcg salmterol versus placebo in DISKUS.</t>
  </si>
  <si>
    <t>IPXL retains US. GSK retains Ex-US and Ex-Taiwain</t>
  </si>
  <si>
    <t>Phase III APEX-PD</t>
  </si>
  <si>
    <t>carbidopa-levodopa combination ER</t>
  </si>
  <si>
    <t>Acquired Maxinutrition 12/13/2010.</t>
  </si>
  <si>
    <t>Phase III "GeparQuinto" n=620 Herceptin versus Lapatinib in HER2-positive neo-adjuvant</t>
  </si>
  <si>
    <t>31.3% PCR for Herceptin versus 21.7% for Tykerb.</t>
  </si>
  <si>
    <t>2011: submit ezogabine CR.</t>
  </si>
  <si>
    <t>belimumab</t>
  </si>
  <si>
    <t>SLE</t>
  </si>
  <si>
    <t>11/16/2010 AdCom recommended approval.</t>
  </si>
  <si>
    <t>Xyzal (levocetirizine)</t>
  </si>
  <si>
    <t>Japan Only;UCB</t>
  </si>
  <si>
    <t>Amicus receives $30m upfront and $30m equity investment</t>
  </si>
  <si>
    <t>Phase III n=60 versus placebo</t>
  </si>
  <si>
    <t>Amigal (migalastat)</t>
  </si>
  <si>
    <t>migalastat</t>
  </si>
  <si>
    <t>ADA-SCID</t>
  </si>
  <si>
    <t>Gene Therapy</t>
  </si>
  <si>
    <t>Fondazione Telethon</t>
  </si>
  <si>
    <t>Simplirix (Herpes Simplex Vaccine).</t>
  </si>
  <si>
    <t>fondaparinux</t>
  </si>
  <si>
    <t>VTE</t>
  </si>
  <si>
    <t>Antithrombotic LWMH</t>
  </si>
  <si>
    <t>WPWM</t>
  </si>
  <si>
    <t>H1N1 influenza</t>
  </si>
  <si>
    <t>Narcolepsy relationship accusation.</t>
  </si>
  <si>
    <t>Adjuvanted H1N1 pandemic vaccine</t>
  </si>
  <si>
    <t>H1N1 pandemic vaccine</t>
  </si>
  <si>
    <t>fluticasone furoate, vilanterol trifenatate</t>
  </si>
  <si>
    <t>Inhaled corticosteroid and LABA combination</t>
  </si>
  <si>
    <t>Once-daily inhalation</t>
  </si>
  <si>
    <t>CLL, FL, DLBCL</t>
  </si>
  <si>
    <t>Subcutaneous delivery for autoimmune indications, intravenous for oncology indications.</t>
  </si>
  <si>
    <t>CLL, NHL, Multiple Sclerosis, Rheumatoid Arthritis</t>
  </si>
  <si>
    <t>Phase III Rituxan-Failure indolent B-NHL</t>
  </si>
  <si>
    <t>Compares Bendamustine+-Arzerra. Primary endpoint PFS.</t>
  </si>
  <si>
    <t>Legal strategy (D).</t>
  </si>
  <si>
    <t>Herpes Zoster Vaccine</t>
  </si>
  <si>
    <t>Shingles</t>
  </si>
  <si>
    <t>Fludarabine/Alemtuzumab refractory CLL</t>
  </si>
  <si>
    <t>n=59 interim resulted in worldwide approval</t>
  </si>
  <si>
    <t>Phase III Pivotal CLL study n=95 3L</t>
  </si>
  <si>
    <t>ORR 51%</t>
  </si>
  <si>
    <t>ANAC</t>
  </si>
  <si>
    <t>GSK2251052</t>
  </si>
  <si>
    <t>Gram-Negative</t>
  </si>
  <si>
    <t>Antibiotic</t>
  </si>
  <si>
    <t>Q2 2010</t>
  </si>
  <si>
    <t>Relovair (fka Beyond Advair, HORIZON), fka 444, 698</t>
  </si>
  <si>
    <t>$2.36bn settlements for PR, Avandia, Paxil and other.</t>
  </si>
  <si>
    <t>Selling research centers to Aptuit and Galapagos. (A).</t>
  </si>
  <si>
    <t>Genmab partnership, renegotiated in 2010 to allow GSK to develop autoimmune indications.</t>
  </si>
  <si>
    <t>Tykerb, Tyverb in Europe, fka GW572016.</t>
  </si>
  <si>
    <t>lapatinib ditosyle</t>
  </si>
  <si>
    <t>6/14/10 FDA approves Jalyn combination.</t>
  </si>
  <si>
    <t>Phase III COMBAT combination versus individual drugs</t>
  </si>
  <si>
    <t>MenHibrix (Hib-MenCY)</t>
  </si>
  <si>
    <t>Meningococcal and Hib Combination Vaccine</t>
  </si>
  <si>
    <t>CRL received 6/11/10.</t>
  </si>
  <si>
    <t>New Generation Flu (discontinued Q2 2010), possible code name 2186877A.</t>
  </si>
  <si>
    <t>rotavirus vaccine</t>
  </si>
  <si>
    <t>Rotavirus prophylaxis. Rotavirus gastroenteritis can be deadly.</t>
  </si>
  <si>
    <t>PCV contamination was a worry but exonerated in 2010.</t>
  </si>
  <si>
    <t>Advair (US), Seretide (EU), Adoair (Japan), Viani (German).</t>
  </si>
  <si>
    <t>German court rules Viani combination patent not valid on 5/20/2010. German patents still applicable for 2011/2012 as well as technical hurdles.</t>
  </si>
  <si>
    <t>5/2010: Acquires 10% of Dong-A for GBP74m.</t>
  </si>
  <si>
    <t>Sirtris acquisition (F).</t>
  </si>
  <si>
    <t>Phase III BLISS-76</t>
  </si>
  <si>
    <t>Met primary endpoint of responser rate versus placebo.</t>
  </si>
  <si>
    <t>38.5%, 39.1% and 32.4% for 10mg, 1mg and placebo. P=0.13, 0.11 at 76 weeks.</t>
  </si>
  <si>
    <t>4/19/10 EMEA approval.</t>
  </si>
  <si>
    <t>Jalyn/Duodart (dutasteride/tamsulosin)</t>
  </si>
  <si>
    <t>Avodart, Jalyn (US combination), Duodart (EU combination).</t>
  </si>
  <si>
    <t>dutasteride (Jalyn/Duodart is combination dutasteride and tamsulosin).</t>
  </si>
  <si>
    <t>3/31/10 EMEA approval of Duodart.</t>
  </si>
  <si>
    <t>Phase III Relovair 100/25mcg against fluticasone furoate 100mcg in uncontrolled asthma patients</t>
  </si>
  <si>
    <t>Time to first severe asthma exacerbation is the primary endpoint.</t>
  </si>
  <si>
    <t>Phase III Relovair versus Advair 24-week study</t>
  </si>
  <si>
    <t>Phase III fluticasone furoate versus fluticasone propionate versus placebo</t>
  </si>
  <si>
    <t>Device</t>
  </si>
  <si>
    <t>Single step activation inhaler</t>
  </si>
  <si>
    <t>Note that fluticasone propionate is the steroid in Advair and Flonase. Fluticasone furoate is a different steroid, which is Veramyst.</t>
  </si>
  <si>
    <t>Advair life-cycle management is brilliant (A).</t>
  </si>
  <si>
    <t>Promacta (US), Revolade (EU)</t>
  </si>
  <si>
    <t>3/12/10 EU approval.</t>
  </si>
  <si>
    <t>10/10 Japan approval.</t>
  </si>
  <si>
    <t>US approval 10/09, EMEA approval 6/10, EMEA recommendation 2/19/10.</t>
  </si>
  <si>
    <t>Label changes?</t>
  </si>
  <si>
    <t>Zinc denture adhesive scare in 2010.</t>
  </si>
  <si>
    <t>Horizant, fka Solzira</t>
  </si>
  <si>
    <t>11/5/2010 CRL response accepted.</t>
  </si>
  <si>
    <t>2/17/2010 CRL.</t>
  </si>
  <si>
    <t>4/6/2011 PDUFA.</t>
  </si>
  <si>
    <t>Horizant</t>
  </si>
  <si>
    <t>&gt;100%</t>
  </si>
  <si>
    <t>Two oral doses given to infants.</t>
  </si>
  <si>
    <t>GSK1605786 fka Traficet-EN, fka CCX282-B</t>
  </si>
  <si>
    <t>ChemoCentryx option exercised 1/11/10. Worldwide commercialization by GSK, with DD% royalties to ChemoCentryx.</t>
  </si>
  <si>
    <t>Phase II PROTECT-1</t>
  </si>
  <si>
    <t>CCR9 antagonist small molecule</t>
  </si>
  <si>
    <t>12/18/09 EMEA positive opinion.</t>
  </si>
  <si>
    <t>Acquired Xerclear from Medivir 6/10. NanoBio OTC license in Phase II.</t>
  </si>
  <si>
    <t>Phase III Tykerb versus Tykerb+Herceptin n=296 ErbB2-positive 4L+</t>
  </si>
  <si>
    <t>HR=0.74, p=0.03, 14 MOS versus 9.5 MOS monotherapy.</t>
  </si>
  <si>
    <t>InterCell patch vaccine (travellers' diarrhea).</t>
  </si>
  <si>
    <t>Pandemrix/Arepanrix</t>
  </si>
  <si>
    <t>Pandemrix, Arepanrix</t>
  </si>
  <si>
    <t>12/1/09: Completes Aspen transaction.</t>
  </si>
  <si>
    <t>Filed in Japan 12/09.</t>
  </si>
  <si>
    <t>NicVax</t>
  </si>
  <si>
    <t>Nictoine Addiction</t>
  </si>
  <si>
    <t>NABI</t>
  </si>
  <si>
    <t>10-valent pneumococcal vaccine</t>
  </si>
  <si>
    <t>Synflorix, fka 1024850A</t>
  </si>
  <si>
    <t>10/30/09: Filed both applications.</t>
  </si>
  <si>
    <t>10mg group met its primary with 43.2% response, 40.6% for 1mg and 33.8% for placebo, p=0.021, p=0.10.</t>
  </si>
  <si>
    <t>Phase III COPD n=1560</t>
  </si>
  <si>
    <t>Three doses of FF combined with 25mcg of 444 versus 444 monotherapy dosed once daily.</t>
  </si>
  <si>
    <t>10/26/09 FDA approval.</t>
  </si>
  <si>
    <t>5/29/09 ODAC positive vote.</t>
  </si>
  <si>
    <t>Approved in the US 10/16/2009, versus Gardasil in 10/2006. Suffered approvable letter 12/2007. Filed 4/2007.</t>
  </si>
  <si>
    <t>Filed in EU in March 2006. Gardasil filed in EU in December 2005.</t>
  </si>
  <si>
    <t>Approved in Japan 10/16/2009, ahead of Gardasil.</t>
  </si>
  <si>
    <t>Priorix</t>
  </si>
  <si>
    <t>MMR Vaccine</t>
  </si>
  <si>
    <t>10/6/09: Priorix MMR Chinese deal.</t>
  </si>
  <si>
    <t>5/29/10 Resubmitted prostate cancer sNDA.</t>
  </si>
  <si>
    <t>10/1/09 Submitted prostate cancer sNDA.</t>
  </si>
  <si>
    <t>10/30/09 EC approval.</t>
  </si>
  <si>
    <t>Sports/energy drink brand. Launching in China with Uni-President China Holdings as of 11/28/09.</t>
  </si>
  <si>
    <t>Rezonic/Zunrisa (casopitant) - CRL then discontinued 9/28/09.</t>
  </si>
  <si>
    <t>Integrase inhibitor</t>
  </si>
  <si>
    <t>1349572</t>
  </si>
  <si>
    <t>Series</t>
  </si>
  <si>
    <t>GSK1265744 discontinued</t>
  </si>
  <si>
    <t>GSK1349572</t>
  </si>
  <si>
    <t>Approved by Brazil on 6/22/2009.</t>
  </si>
  <si>
    <t>Phase III Rheumatoid Arthritis study using IV</t>
  </si>
  <si>
    <t>50% response rate versus 27% for placebo.</t>
  </si>
  <si>
    <t>mepolizumab</t>
  </si>
  <si>
    <t>Bosatria</t>
  </si>
  <si>
    <t>IL-5 inhibitor</t>
  </si>
  <si>
    <t>hypereosinophilic syndrome, Asthma</t>
  </si>
  <si>
    <t>Withdrawn as HES therapy 6/29/09.</t>
  </si>
  <si>
    <t>denosumab</t>
  </si>
  <si>
    <t>Amgen license</t>
  </si>
  <si>
    <t>PMO in Europe, PMO/Oncology in emerging markets (Brazil, China, India, South Korea). Daiichi Sankyo owns Japan.</t>
  </si>
  <si>
    <t>7/22/09: Acquires Stiefel for $3.3bn.</t>
  </si>
  <si>
    <t>Phase II monotherapy n=35</t>
  </si>
  <si>
    <t>Day 10 saw 1.5-2.5log drop.</t>
  </si>
  <si>
    <t>Dosing</t>
  </si>
  <si>
    <t>QD without boosting</t>
  </si>
  <si>
    <t>Phase III BLISS-52</t>
  </si>
  <si>
    <t>57.6% for 10mg, 51.7% for 1mg and 43.6% for placebo response rates, p=0.0006, p=0.011.</t>
  </si>
  <si>
    <t>92% versus 51.9% CIN2+ with HPV31, 33 and 45. 100% in ATP-E (all three doses).</t>
  </si>
  <si>
    <t>Phase III 008 "PATRICIA" study n=18,644 published in Lancet.</t>
  </si>
  <si>
    <t>7/2/09: Acquires BMY Lebanon/Jordan business for $23m.</t>
  </si>
  <si>
    <t>Irish court rules Seretide combination patent not valid on 6/26/2009. Other patents still exist with 2011/2012 expiry. IVX/TEVA challenger.</t>
  </si>
  <si>
    <t>6/15/09: RDY emerging markets deal.</t>
  </si>
  <si>
    <t>6/6/09: Shenzhen Neptunus deal for flu vaccines in China.</t>
  </si>
  <si>
    <t>Phase III RECORD published in Lancet 2009</t>
  </si>
  <si>
    <t>14.5% events versus 14.5% for oral medications.</t>
  </si>
  <si>
    <t>Reduced risk of all biopsy-detectable prostate cancer by 23%</t>
  </si>
  <si>
    <t>Phase III REDUCE n=8121</t>
  </si>
  <si>
    <t>3/13/2007 US approval. 6/10/2008 EU approval.</t>
  </si>
  <si>
    <t>Approved by EU on 3/31/2009.</t>
  </si>
  <si>
    <t>albiglutide</t>
  </si>
  <si>
    <t>Phase III</t>
  </si>
  <si>
    <t>GLP-1 agonist</t>
  </si>
  <si>
    <t>HGSI?</t>
  </si>
  <si>
    <t>GLP-1</t>
  </si>
  <si>
    <t>Byetta, Byetta LAR, Victoza</t>
  </si>
  <si>
    <t>Syncria, fka 716155</t>
  </si>
  <si>
    <t>IDX899</t>
  </si>
  <si>
    <t>NNRTI</t>
  </si>
  <si>
    <t>IDIX</t>
  </si>
  <si>
    <t>Showed dose curve of no response at 25mcg with toxicity of urinary cortisol reduction at 800mcg.</t>
  </si>
  <si>
    <t>$400m for DofCo.</t>
  </si>
  <si>
    <t>1/23/09: Acquires UCB EM products for 515GBP.</t>
  </si>
  <si>
    <t>EM Acquisitions intelligent: Laboratorios Phoenix, Maxinutrition, Nanjing MeiRui, Dong-A, UCB portfolio, Aspen (A).</t>
  </si>
  <si>
    <t>Poor licensing decisions or defensive maneuvers? Almorexant, Intercell (C-).</t>
  </si>
  <si>
    <t>Hepsera</t>
  </si>
  <si>
    <t>Syncria (albiglutide)</t>
  </si>
  <si>
    <t>GSK2118436 (dabrafenib)</t>
  </si>
  <si>
    <t>573719/vilanterol - Combiation LAMA/LABA in Phase III</t>
  </si>
  <si>
    <t>2190915/fiboflapon</t>
  </si>
  <si>
    <t>2012: File Relovair.</t>
  </si>
  <si>
    <t>Xyzal</t>
  </si>
  <si>
    <t>Keppra</t>
  </si>
  <si>
    <t>Other Antivirals</t>
  </si>
  <si>
    <t>otelixumab</t>
  </si>
  <si>
    <t>Taspo failed because of GI.</t>
  </si>
  <si>
    <t>2012: MAGE data.</t>
  </si>
  <si>
    <t>Q112</t>
  </si>
  <si>
    <t>Q212</t>
  </si>
  <si>
    <t>Q312</t>
  </si>
  <si>
    <t>Q412</t>
  </si>
  <si>
    <t>ViiV</t>
  </si>
  <si>
    <t>Flolan</t>
  </si>
  <si>
    <t>Other Rare</t>
  </si>
  <si>
    <t>Potiga/Trobalt</t>
  </si>
  <si>
    <t>Filed</t>
  </si>
  <si>
    <t>Q413</t>
  </si>
  <si>
    <t>Q113</t>
  </si>
  <si>
    <t>Q213</t>
  </si>
  <si>
    <t>Q313</t>
  </si>
  <si>
    <t>Q114</t>
  </si>
  <si>
    <t>Q214</t>
  </si>
  <si>
    <t>Q314</t>
  </si>
  <si>
    <t>Q414</t>
  </si>
  <si>
    <t>Other Autoimmune</t>
  </si>
  <si>
    <t>Relvar/Breo Ellipta</t>
  </si>
  <si>
    <t>Mekinist</t>
  </si>
  <si>
    <t>Tafinlar</t>
  </si>
  <si>
    <t>Price USD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</si>
  <si>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</si>
  <si>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</si>
  <si>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</si>
  <si>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</si>
  <si>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</si>
  <si>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</si>
  <si>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</si>
  <si>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</si>
  <si>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</si>
  <si>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</si>
  <si>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</si>
  <si>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</si>
  <si>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</si>
  <si>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</si>
  <si>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</si>
  <si>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</si>
  <si>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</si>
  <si>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</si>
  <si>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</si>
  <si>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</si>
  <si>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</si>
  <si>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</si>
  <si>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</si>
  <si>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</si>
  <si>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</si>
  <si>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</si>
  <si>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</si>
  <si>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</si>
  <si>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</si>
  <si>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</si>
  <si>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</si>
  <si>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</si>
  <si>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Tivicay</t>
  </si>
  <si>
    <t>Triumeq</t>
  </si>
  <si>
    <t>Juluca</t>
  </si>
  <si>
    <t>Dovato</t>
  </si>
  <si>
    <t>Rukobia</t>
  </si>
  <si>
    <t>Cabenuva</t>
  </si>
  <si>
    <t>Apretude</t>
  </si>
  <si>
    <t>Zejula</t>
  </si>
  <si>
    <t>Blenrep</t>
  </si>
  <si>
    <t>Jemperli</t>
  </si>
  <si>
    <t>Nucala</t>
  </si>
  <si>
    <t>Xevudy</t>
  </si>
  <si>
    <t>Shingrix</t>
  </si>
  <si>
    <t>Bexsero</t>
  </si>
  <si>
    <t>Arnuity Ellipta</t>
  </si>
  <si>
    <t>Anoro Ellipta</t>
  </si>
  <si>
    <t>Avamys/Veramyst</t>
  </si>
  <si>
    <t>Incruse Ellipta</t>
  </si>
  <si>
    <t>Trelegy Ellipta</t>
  </si>
  <si>
    <t>Taxes+MI</t>
  </si>
  <si>
    <t>Brand</t>
  </si>
  <si>
    <t>abacavir+lamivudine+zidovudine</t>
  </si>
  <si>
    <t>MOA</t>
  </si>
  <si>
    <t>NNRTI, NRTI</t>
  </si>
  <si>
    <t>fosamprenavir</t>
  </si>
  <si>
    <t>Avandaryl</t>
  </si>
  <si>
    <t>rosiglitazone/glimepiride</t>
  </si>
  <si>
    <t>rosiglitazone</t>
  </si>
  <si>
    <t>Coreg CR</t>
  </si>
  <si>
    <t>carvedilol</t>
  </si>
  <si>
    <t>Dermatology</t>
  </si>
  <si>
    <t>Pandemic adjuvant</t>
  </si>
  <si>
    <t>Wellbutrin/XL</t>
  </si>
  <si>
    <t>bupropion</t>
  </si>
  <si>
    <t>Votrient</t>
  </si>
  <si>
    <t>Sold to NVS</t>
  </si>
  <si>
    <t>Arranon, Atriance</t>
  </si>
  <si>
    <t>nelarabine</t>
  </si>
  <si>
    <t>lapatinib</t>
  </si>
  <si>
    <t>Promacta/Revolade</t>
  </si>
  <si>
    <t>ropinirole</t>
  </si>
  <si>
    <t>lamivudine/zidovudine</t>
  </si>
  <si>
    <t>Paxil CR</t>
  </si>
  <si>
    <t>paroxetine</t>
  </si>
  <si>
    <t>2,422</t>
  </si>
  <si>
    <t>Q123</t>
  </si>
  <si>
    <t>Q223</t>
  </si>
  <si>
    <t>Q323</t>
  </si>
  <si>
    <t>Q423</t>
  </si>
  <si>
    <t>2,292</t>
  </si>
  <si>
    <t>Held for Sale</t>
  </si>
  <si>
    <t>Net Cash</t>
  </si>
  <si>
    <t>Nucala (mepolizumab)</t>
  </si>
  <si>
    <t>bepirovirsen</t>
  </si>
  <si>
    <t>CCO: Luke Miels</t>
  </si>
  <si>
    <t>ViiV: Deborah Waterhouse</t>
  </si>
  <si>
    <t>2,633</t>
  </si>
  <si>
    <t>2,497</t>
  </si>
  <si>
    <t>2,506</t>
  </si>
  <si>
    <t>2,312</t>
  </si>
  <si>
    <t>2,360</t>
  </si>
  <si>
    <t>2,862</t>
  </si>
  <si>
    <t>2,389</t>
  </si>
  <si>
    <t>Sold to Novartis</t>
  </si>
  <si>
    <t>PARP</t>
  </si>
  <si>
    <t>niraparib</t>
  </si>
  <si>
    <t>ovarian cancer</t>
  </si>
  <si>
    <t>Regulatory</t>
  </si>
  <si>
    <t>3/27/2017 approval</t>
  </si>
  <si>
    <t>8071623, 2031 expiry</t>
  </si>
  <si>
    <t>dolutegravir</t>
  </si>
  <si>
    <t>dolutegravir/lamivudine</t>
  </si>
  <si>
    <t>dolutegravir/lamivudine/abacavir</t>
  </si>
  <si>
    <t>Advair/Seretide (fluticasone/salmeterol)</t>
  </si>
  <si>
    <t>3-way market in US: TEVA/VTRS</t>
  </si>
  <si>
    <t>Shingles Prevention</t>
  </si>
  <si>
    <t>2 IM</t>
  </si>
  <si>
    <t>Prevention of Herpez Zoster reactivation in ages 50+</t>
  </si>
  <si>
    <t>Recombinant Adjuvanted vaccine, AS01B adjuvant, surface glycoprotein E antigen</t>
  </si>
  <si>
    <t>97% reduction in shingles</t>
  </si>
  <si>
    <t>Phase III n=14000 - NCT01165177</t>
  </si>
  <si>
    <t>Phase III n=13000 ages 70+</t>
  </si>
  <si>
    <t>90% reduction in shingles</t>
  </si>
  <si>
    <t>$220 AWP 1/1/23, $206 1/1/22, $194 1/1/21, $182 1/1/20</t>
  </si>
  <si>
    <t>Manufacturing</t>
  </si>
  <si>
    <t>CHO-K1</t>
  </si>
  <si>
    <t>Triumeq (abacavir/dolutegravir/lamivudine)</t>
  </si>
  <si>
    <t>NRTI/NRTI/Integrase</t>
  </si>
  <si>
    <t>Tivicay (dolutegravir)</t>
  </si>
  <si>
    <t>Dovato (dolutegravir/lamivudine)</t>
  </si>
  <si>
    <t>Juluca (dolutegravir/rilpivirine)</t>
  </si>
  <si>
    <t>NRTI/Integrase</t>
  </si>
  <si>
    <t>NNRTI/Integrase</t>
  </si>
  <si>
    <t>JNJ</t>
  </si>
  <si>
    <t>9242986 - expires 12/2029, synthesis patent claiming crystal isomorphs</t>
  </si>
  <si>
    <t>dolutegravir/rilpivirine</t>
  </si>
  <si>
    <t>8129385 - COM expires 10/2027. Does this include Hatch-Waxman Extension?</t>
  </si>
  <si>
    <t>Trelegy</t>
  </si>
  <si>
    <t>fluticasone, umeclidinium, vilanterol</t>
  </si>
  <si>
    <t>Inhalation</t>
  </si>
  <si>
    <t>Asthma/COPD</t>
  </si>
  <si>
    <t>Trelegy (fluticasone, umeclidinium, vilanterol)</t>
  </si>
  <si>
    <t>Steroid/LABA/Muscarinic</t>
  </si>
  <si>
    <t>2030 latest patent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</si>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</sst>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%;\(0.0\)%"/>
    <numFmt numFmtId="169" formatCode="0.000"/>
    <numFmt numFmtId="170" formatCode="#,##0.0"/>
  </numFmts>
  <fonts count="22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0"/>
      <name val="Arial"/>
      <family val="2"/>
    </font>
    <font>
      <sz val="6"/>
      <name val="Arial"/>
      <family val="2"/>
    </font>
    <font>
      <u/>
      <sz val="8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vertAlign val="superscript"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2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164" fontId="8" fillId="0" borderId="0" xfId="1" applyNumberFormat="1" applyFont="1" applyFill="1"/>
    <xf numFmtId="164" fontId="7" fillId="0" borderId="0" xfId="1" applyNumberFormat="1" applyFont="1" applyFill="1"/>
    <xf numFmtId="164" fontId="7" fillId="0" borderId="2" xfId="1" applyNumberFormat="1" applyFont="1" applyFill="1" applyBorder="1"/>
    <xf numFmtId="164" fontId="9" fillId="0" borderId="0" xfId="1" applyNumberFormat="1" applyFont="1" applyFill="1"/>
    <xf numFmtId="164" fontId="8" fillId="0" borderId="0" xfId="1" quotePrefix="1" applyNumberFormat="1" applyFont="1" applyFill="1"/>
    <xf numFmtId="0" fontId="7" fillId="0" borderId="2" xfId="1" applyNumberFormat="1" applyFont="1" applyFill="1" applyBorder="1" applyAlignment="1">
      <alignment horizontal="center"/>
    </xf>
    <xf numFmtId="164" fontId="8" fillId="0" borderId="0" xfId="1" applyNumberFormat="1" applyFont="1" applyFill="1" applyAlignment="1"/>
    <xf numFmtId="3" fontId="7" fillId="0" borderId="2" xfId="1" applyNumberFormat="1" applyFont="1" applyFill="1" applyBorder="1" applyAlignment="1">
      <alignment horizontal="center"/>
    </xf>
    <xf numFmtId="3" fontId="8" fillId="0" borderId="0" xfId="1" applyNumberFormat="1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3" fillId="2" borderId="0" xfId="2" applyFill="1" applyAlignment="1" applyProtection="1"/>
    <xf numFmtId="0" fontId="5" fillId="2" borderId="0" xfId="0" applyFont="1" applyFill="1"/>
    <xf numFmtId="0" fontId="6" fillId="2" borderId="0" xfId="0" applyFont="1" applyFill="1"/>
    <xf numFmtId="0" fontId="3" fillId="0" borderId="0" xfId="2" applyAlignment="1" applyProtection="1"/>
    <xf numFmtId="164" fontId="7" fillId="2" borderId="2" xfId="1" applyNumberFormat="1" applyFont="1" applyFill="1" applyBorder="1"/>
    <xf numFmtId="3" fontId="7" fillId="2" borderId="2" xfId="1" applyNumberFormat="1" applyFont="1" applyFill="1" applyBorder="1" applyAlignment="1">
      <alignment horizontal="center"/>
    </xf>
    <xf numFmtId="0" fontId="7" fillId="2" borderId="2" xfId="1" applyNumberFormat="1" applyFont="1" applyFill="1" applyBorder="1" applyAlignment="1">
      <alignment horizontal="center"/>
    </xf>
    <xf numFmtId="164" fontId="9" fillId="2" borderId="0" xfId="1" applyNumberFormat="1" applyFont="1" applyFill="1"/>
    <xf numFmtId="164" fontId="8" fillId="2" borderId="0" xfId="1" quotePrefix="1" applyNumberFormat="1" applyFont="1" applyFill="1"/>
    <xf numFmtId="3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/>
    <xf numFmtId="164" fontId="7" fillId="2" borderId="0" xfId="1" applyNumberFormat="1" applyFont="1" applyFill="1"/>
    <xf numFmtId="3" fontId="7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8" xfId="0" applyFont="1" applyFill="1" applyBorder="1"/>
    <xf numFmtId="0" fontId="7" fillId="2" borderId="8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9" fontId="0" fillId="2" borderId="0" xfId="3" applyFont="1" applyFill="1" applyBorder="1" applyAlignment="1">
      <alignment horizontal="center"/>
    </xf>
    <xf numFmtId="0" fontId="8" fillId="2" borderId="10" xfId="0" applyFont="1" applyFill="1" applyBorder="1"/>
    <xf numFmtId="9" fontId="0" fillId="2" borderId="10" xfId="3" applyFont="1" applyFill="1" applyBorder="1" applyAlignment="1">
      <alignment horizontal="center"/>
    </xf>
    <xf numFmtId="0" fontId="7" fillId="2" borderId="6" xfId="0" applyFont="1" applyFill="1" applyBorder="1"/>
    <xf numFmtId="0" fontId="8" fillId="2" borderId="6" xfId="0" applyFont="1" applyFill="1" applyBorder="1"/>
    <xf numFmtId="9" fontId="0" fillId="2" borderId="6" xfId="3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12" fillId="2" borderId="9" xfId="0" applyFont="1" applyFill="1" applyBorder="1"/>
    <xf numFmtId="0" fontId="13" fillId="2" borderId="0" xfId="0" applyFont="1" applyFill="1" applyAlignment="1">
      <alignment vertical="top"/>
    </xf>
    <xf numFmtId="0" fontId="13" fillId="2" borderId="0" xfId="3" applyNumberFormat="1" applyFont="1" applyFill="1" applyBorder="1" applyAlignment="1">
      <alignment horizontal="center" vertical="top"/>
    </xf>
    <xf numFmtId="165" fontId="0" fillId="2" borderId="0" xfId="3" applyNumberFormat="1" applyFont="1" applyFill="1" applyBorder="1" applyAlignment="1">
      <alignment horizontal="center"/>
    </xf>
    <xf numFmtId="165" fontId="0" fillId="2" borderId="10" xfId="3" applyNumberFormat="1" applyFont="1" applyFill="1" applyBorder="1" applyAlignment="1">
      <alignment horizontal="center"/>
    </xf>
    <xf numFmtId="0" fontId="14" fillId="2" borderId="0" xfId="2" applyFont="1" applyFill="1" applyAlignment="1" applyProtection="1"/>
    <xf numFmtId="0" fontId="7" fillId="2" borderId="4" xfId="0" applyFont="1" applyFill="1" applyBorder="1" applyAlignment="1">
      <alignment horizontal="center"/>
    </xf>
    <xf numFmtId="0" fontId="13" fillId="2" borderId="10" xfId="3" applyNumberFormat="1" applyFont="1" applyFill="1" applyBorder="1" applyAlignment="1">
      <alignment horizontal="center" vertical="top"/>
    </xf>
    <xf numFmtId="0" fontId="6" fillId="2" borderId="8" xfId="0" applyFont="1" applyFill="1" applyBorder="1"/>
    <xf numFmtId="0" fontId="13" fillId="2" borderId="10" xfId="0" applyFont="1" applyFill="1" applyBorder="1" applyAlignment="1">
      <alignment vertical="top"/>
    </xf>
    <xf numFmtId="9" fontId="0" fillId="2" borderId="9" xfId="3" applyFont="1" applyFill="1" applyBorder="1" applyAlignment="1">
      <alignment horizontal="center"/>
    </xf>
    <xf numFmtId="9" fontId="0" fillId="2" borderId="11" xfId="3" applyFont="1" applyFill="1" applyBorder="1" applyAlignment="1">
      <alignment horizontal="center"/>
    </xf>
    <xf numFmtId="9" fontId="0" fillId="2" borderId="4" xfId="3" applyFont="1" applyFill="1" applyBorder="1" applyAlignment="1">
      <alignment horizontal="center"/>
    </xf>
    <xf numFmtId="0" fontId="13" fillId="2" borderId="12" xfId="3" applyNumberFormat="1" applyFont="1" applyFill="1" applyBorder="1" applyAlignment="1">
      <alignment horizontal="center" vertical="top"/>
    </xf>
    <xf numFmtId="0" fontId="13" fillId="2" borderId="5" xfId="3" applyNumberFormat="1" applyFont="1" applyFill="1" applyBorder="1" applyAlignment="1">
      <alignment horizontal="center" vertical="top"/>
    </xf>
    <xf numFmtId="9" fontId="0" fillId="2" borderId="5" xfId="3" applyFont="1" applyFill="1" applyBorder="1" applyAlignment="1">
      <alignment horizontal="center"/>
    </xf>
    <xf numFmtId="0" fontId="6" fillId="2" borderId="0" xfId="0" quotePrefix="1" applyFont="1" applyFill="1"/>
    <xf numFmtId="0" fontId="17" fillId="0" borderId="13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0" xfId="0" applyFont="1"/>
    <xf numFmtId="0" fontId="8" fillId="0" borderId="0" xfId="0" applyFont="1"/>
    <xf numFmtId="3" fontId="7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8" fillId="3" borderId="0" xfId="0" applyFont="1" applyFill="1"/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" fontId="0" fillId="3" borderId="0" xfId="0" applyNumberFormat="1" applyFill="1"/>
    <xf numFmtId="0" fontId="3" fillId="3" borderId="4" xfId="2" applyFill="1" applyBorder="1" applyAlignment="1" applyProtection="1"/>
    <xf numFmtId="9" fontId="0" fillId="3" borderId="0" xfId="0" applyNumberFormat="1" applyFill="1" applyAlignment="1">
      <alignment horizontal="center"/>
    </xf>
    <xf numFmtId="0" fontId="8" fillId="3" borderId="5" xfId="0" applyFont="1" applyFill="1" applyBorder="1" applyAlignment="1">
      <alignment horizontal="center"/>
    </xf>
    <xf numFmtId="3" fontId="0" fillId="3" borderId="0" xfId="0" applyNumberFormat="1" applyFill="1"/>
    <xf numFmtId="0" fontId="8" fillId="3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9" fontId="8" fillId="3" borderId="0" xfId="0" applyNumberFormat="1" applyFont="1" applyFill="1" applyAlignment="1">
      <alignment horizontal="center"/>
    </xf>
    <xf numFmtId="0" fontId="8" fillId="3" borderId="4" xfId="0" applyFont="1" applyFill="1" applyBorder="1"/>
    <xf numFmtId="0" fontId="3" fillId="3" borderId="0" xfId="2" applyFill="1" applyAlignment="1" applyProtection="1"/>
    <xf numFmtId="0" fontId="5" fillId="3" borderId="0" xfId="0" applyFont="1" applyFill="1"/>
    <xf numFmtId="0" fontId="0" fillId="3" borderId="4" xfId="0" applyFill="1" applyBorder="1"/>
    <xf numFmtId="17" fontId="0" fillId="3" borderId="0" xfId="0" applyNumberFormat="1" applyFill="1" applyAlignment="1">
      <alignment horizontal="center"/>
    </xf>
    <xf numFmtId="0" fontId="3" fillId="3" borderId="0" xfId="2" applyFill="1" applyAlignment="1" applyProtection="1">
      <alignment horizontal="left" vertical="center"/>
    </xf>
    <xf numFmtId="14" fontId="8" fillId="3" borderId="0" xfId="0" applyNumberFormat="1" applyFont="1" applyFill="1" applyAlignment="1">
      <alignment horizontal="center"/>
    </xf>
    <xf numFmtId="0" fontId="0" fillId="3" borderId="4" xfId="0" quotePrefix="1" applyFill="1" applyBorder="1"/>
    <xf numFmtId="0" fontId="8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3" borderId="4" xfId="0" quotePrefix="1" applyFill="1" applyBorder="1" applyAlignment="1">
      <alignment horizontal="left"/>
    </xf>
    <xf numFmtId="0" fontId="8" fillId="3" borderId="4" xfId="0" quotePrefix="1" applyFont="1" applyFill="1" applyBorder="1" applyAlignment="1">
      <alignment horizontal="left"/>
    </xf>
    <xf numFmtId="0" fontId="8" fillId="3" borderId="4" xfId="0" quotePrefix="1" applyFont="1" applyFill="1" applyBorder="1"/>
    <xf numFmtId="0" fontId="0" fillId="3" borderId="14" xfId="0" quotePrefix="1" applyFill="1" applyBorder="1"/>
    <xf numFmtId="0" fontId="0" fillId="3" borderId="6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5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2" fillId="0" borderId="0" xfId="0" applyFont="1"/>
    <xf numFmtId="0" fontId="6" fillId="0" borderId="0" xfId="0" applyFont="1"/>
    <xf numFmtId="0" fontId="2" fillId="3" borderId="4" xfId="0" applyFont="1" applyFill="1" applyBorder="1"/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0" fontId="3" fillId="3" borderId="4" xfId="2" quotePrefix="1" applyFill="1" applyBorder="1" applyAlignment="1" applyProtection="1">
      <alignment horizontal="left"/>
    </xf>
    <xf numFmtId="3" fontId="7" fillId="2" borderId="2" xfId="1" applyNumberFormat="1" applyFont="1" applyFill="1" applyBorder="1" applyAlignment="1">
      <alignment horizontal="right"/>
    </xf>
    <xf numFmtId="0" fontId="7" fillId="2" borderId="2" xfId="1" applyNumberFormat="1" applyFont="1" applyFill="1" applyBorder="1" applyAlignment="1">
      <alignment horizontal="right"/>
    </xf>
    <xf numFmtId="164" fontId="9" fillId="2" borderId="0" xfId="1" applyNumberFormat="1" applyFont="1" applyFill="1" applyAlignment="1">
      <alignment horizontal="right"/>
    </xf>
    <xf numFmtId="3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4" xfId="0" quotePrefix="1" applyFont="1" applyFill="1" applyBorder="1"/>
    <xf numFmtId="0" fontId="3" fillId="0" borderId="0" xfId="2" applyFill="1" applyBorder="1" applyAlignment="1" applyProtection="1"/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9" fontId="8" fillId="0" borderId="0" xfId="0" applyNumberFormat="1" applyFont="1" applyAlignment="1">
      <alignment horizontal="center"/>
    </xf>
    <xf numFmtId="9" fontId="7" fillId="0" borderId="0" xfId="3" applyFont="1" applyFill="1" applyBorder="1" applyAlignment="1">
      <alignment horizontal="right"/>
    </xf>
    <xf numFmtId="9" fontId="8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right"/>
    </xf>
    <xf numFmtId="3" fontId="8" fillId="0" borderId="0" xfId="1" applyNumberFormat="1" applyFont="1" applyFill="1" applyBorder="1" applyAlignment="1">
      <alignment horizontal="right"/>
    </xf>
    <xf numFmtId="165" fontId="8" fillId="0" borderId="0" xfId="3" applyNumberFormat="1" applyFont="1" applyFill="1" applyBorder="1"/>
    <xf numFmtId="167" fontId="8" fillId="0" borderId="0" xfId="3" applyNumberFormat="1" applyFont="1" applyFill="1" applyBorder="1" applyAlignment="1">
      <alignment horizontal="right"/>
    </xf>
    <xf numFmtId="1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8" fillId="0" borderId="0" xfId="0" applyNumberFormat="1" applyFont="1" applyAlignment="1">
      <alignment horizontal="center"/>
    </xf>
    <xf numFmtId="165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8" fillId="0" borderId="0" xfId="0" applyNumberFormat="1" applyFont="1"/>
    <xf numFmtId="3" fontId="7" fillId="0" borderId="0" xfId="0" applyNumberFormat="1" applyFont="1"/>
    <xf numFmtId="0" fontId="0" fillId="3" borderId="5" xfId="0" applyFill="1" applyBorder="1"/>
    <xf numFmtId="0" fontId="1" fillId="3" borderId="4" xfId="2" applyFont="1" applyFill="1" applyBorder="1" applyAlignment="1" applyProtection="1">
      <alignment horizontal="left"/>
    </xf>
    <xf numFmtId="3" fontId="2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70" fontId="7" fillId="0" borderId="0" xfId="0" applyNumberFormat="1" applyFont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3" fontId="9" fillId="0" borderId="0" xfId="1" applyNumberFormat="1" applyFont="1" applyFill="1" applyBorder="1" applyAlignment="1"/>
    <xf numFmtId="3" fontId="8" fillId="0" borderId="0" xfId="1" applyNumberFormat="1" applyFont="1" applyFill="1" applyBorder="1" applyAlignment="1"/>
    <xf numFmtId="4" fontId="7" fillId="0" borderId="0" xfId="0" applyNumberFormat="1" applyFont="1"/>
    <xf numFmtId="3" fontId="8" fillId="0" borderId="0" xfId="3" applyNumberFormat="1" applyFont="1" applyFill="1" applyBorder="1" applyAlignment="1"/>
    <xf numFmtId="167" fontId="8" fillId="0" borderId="0" xfId="0" applyNumberFormat="1" applyFont="1"/>
    <xf numFmtId="3" fontId="2" fillId="0" borderId="0" xfId="0" quotePrefix="1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9" fontId="0" fillId="3" borderId="0" xfId="0" applyNumberFormat="1" applyFill="1"/>
    <xf numFmtId="14" fontId="0" fillId="3" borderId="0" xfId="0" applyNumberFormat="1" applyFill="1" applyAlignment="1">
      <alignment horizontal="center"/>
    </xf>
    <xf numFmtId="0" fontId="0" fillId="3" borderId="14" xfId="0" applyFill="1" applyBorder="1"/>
    <xf numFmtId="0" fontId="8" fillId="3" borderId="7" xfId="0" applyFont="1" applyFill="1" applyBorder="1" applyAlignment="1">
      <alignment horizontal="center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wrapText="1"/>
    </xf>
    <xf numFmtId="0" fontId="3" fillId="0" borderId="0" xfId="2" applyAlignment="1" applyProtection="1">
      <alignment vertical="top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0" fillId="0" borderId="19" xfId="0" applyBorder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7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0" borderId="0" xfId="0" applyNumberFormat="1" applyFont="1" applyAlignment="1">
      <alignment horizontal="right"/>
    </xf>
    <xf numFmtId="3" fontId="0" fillId="0" borderId="0" xfId="0" applyNumberFormat="1"/>
    <xf numFmtId="14" fontId="0" fillId="3" borderId="5" xfId="0" applyNumberFormat="1" applyFill="1" applyBorder="1" applyAlignment="1">
      <alignment horizontal="center"/>
    </xf>
    <xf numFmtId="0" fontId="7" fillId="4" borderId="0" xfId="0" applyFont="1" applyFill="1"/>
    <xf numFmtId="0" fontId="3" fillId="3" borderId="0" xfId="2" applyFill="1" applyBorder="1" applyAlignment="1" applyProtection="1"/>
    <xf numFmtId="0" fontId="0" fillId="3" borderId="0" xfId="0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1" defaultTableStyle="TableStyleMedium9" defaultPivotStyle="PivotStyleLight16">
    <tableStyle name="Invisible" pivot="0" table="0" count="0" xr9:uid="{CDB9BF9E-5907-4FE6-BDD7-E0DB4C0BDF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http://www.abstract.asco.org/abst_files/spacer.gif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300</xdr:row>
      <xdr:rowOff>0</xdr:rowOff>
    </xdr:from>
    <xdr:to>
      <xdr:col>8</xdr:col>
      <xdr:colOff>9525</xdr:colOff>
      <xdr:row>300</xdr:row>
      <xdr:rowOff>9525</xdr:rowOff>
    </xdr:to>
    <xdr:sp macro="" textlink="">
      <xdr:nvSpPr>
        <xdr:cNvPr id="5147" name="AutoShape 27" descr="https://gskgskcorp.112.2O7.net/b/ss/gskgskcorp/1/G.9-PD-R/s25372654034818?%5bAQB%5d&amp;ndh=1&amp;t=29/0/2011%2020%3A29%3A55%206%20300&amp;ce=ISO-8859-1&amp;pageName=Press%20release%20archive%20-%20Media%20-%20GlaxoSmithKline&amp;g=http%3A//www.gsk.com/media/archive.htm%23nolink&amp;r=http%3A//www.gsk.com/media/pressreleases/2010/2010_pressrelease_10115.htm&amp;h1=Media%2CPress%20release%20archive%20-%20Media%20-%20GlaxoSmithKline%2C2010&amp;c2=no_media&amp;c5=Press%20release%20archive%20-%20Media%20-%20GlaxoSmithKline%20%7C%202010&amp;pe=lnk_o&amp;pev2=2010&amp;s=1365x768&amp;c=32&amp;j=1.3&amp;v=Y&amp;k=Y&amp;bw=677&amp;bh=571&amp;ct=lan&amp;hp=N&amp;%5bAQE%5d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039475" y="33462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62469</xdr:colOff>
      <xdr:row>0</xdr:row>
      <xdr:rowOff>4329</xdr:rowOff>
    </xdr:from>
    <xdr:to>
      <xdr:col>78</xdr:col>
      <xdr:colOff>62469</xdr:colOff>
      <xdr:row>244</xdr:row>
      <xdr:rowOff>23380</xdr:rowOff>
    </xdr:to>
    <xdr:sp macro="" textlink="">
      <xdr:nvSpPr>
        <xdr:cNvPr id="14554" name="Line 3">
          <a:extLst>
            <a:ext uri="{FF2B5EF4-FFF2-40B4-BE49-F238E27FC236}">
              <a16:creationId xmlns:a16="http://schemas.microsoft.com/office/drawing/2014/main" id="{00000000-0008-0000-0100-0000DA380000}"/>
            </a:ext>
          </a:extLst>
        </xdr:cNvPr>
        <xdr:cNvSpPr>
          <a:spLocks noChangeShapeType="1"/>
        </xdr:cNvSpPr>
      </xdr:nvSpPr>
      <xdr:spPr bwMode="auto">
        <a:xfrm>
          <a:off x="35123128" y="4329"/>
          <a:ext cx="0" cy="391061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109</xdr:col>
      <xdr:colOff>2721</xdr:colOff>
      <xdr:row>0</xdr:row>
      <xdr:rowOff>0</xdr:rowOff>
    </xdr:from>
    <xdr:to>
      <xdr:col>109</xdr:col>
      <xdr:colOff>2721</xdr:colOff>
      <xdr:row>222</xdr:row>
      <xdr:rowOff>28575</xdr:rowOff>
    </xdr:to>
    <xdr:sp macro="" textlink="">
      <xdr:nvSpPr>
        <xdr:cNvPr id="14555" name="Line 34">
          <a:extLst>
            <a:ext uri="{FF2B5EF4-FFF2-40B4-BE49-F238E27FC236}">
              <a16:creationId xmlns:a16="http://schemas.microsoft.com/office/drawing/2014/main" id="{00000000-0008-0000-0100-0000DB380000}"/>
            </a:ext>
          </a:extLst>
        </xdr:cNvPr>
        <xdr:cNvSpPr>
          <a:spLocks noChangeShapeType="1"/>
        </xdr:cNvSpPr>
      </xdr:nvSpPr>
      <xdr:spPr bwMode="auto">
        <a:xfrm>
          <a:off x="48019607" y="0"/>
          <a:ext cx="0" cy="367678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0</xdr:row>
      <xdr:rowOff>19050</xdr:rowOff>
    </xdr:from>
    <xdr:to>
      <xdr:col>13</xdr:col>
      <xdr:colOff>47625</xdr:colOff>
      <xdr:row>57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7534275" y="19050"/>
          <a:ext cx="0" cy="923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70</xdr:row>
      <xdr:rowOff>0</xdr:rowOff>
    </xdr:from>
    <xdr:to>
      <xdr:col>3</xdr:col>
      <xdr:colOff>9525</xdr:colOff>
      <xdr:row>70</xdr:row>
      <xdr:rowOff>95250</xdr:rowOff>
    </xdr:to>
    <xdr:pic>
      <xdr:nvPicPr>
        <xdr:cNvPr id="16655" name="Picture 3" descr="http://www.abstract.asco.org/abst_files/spacer.gif">
          <a:extLst>
            <a:ext uri="{FF2B5EF4-FFF2-40B4-BE49-F238E27FC236}">
              <a16:creationId xmlns:a16="http://schemas.microsoft.com/office/drawing/2014/main" id="{00000000-0008-0000-0B00-00000F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09061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3</xdr:col>
      <xdr:colOff>9525</xdr:colOff>
      <xdr:row>71</xdr:row>
      <xdr:rowOff>9525</xdr:rowOff>
    </xdr:to>
    <xdr:pic>
      <xdr:nvPicPr>
        <xdr:cNvPr id="16656" name="Picture 2" descr="http://www.abstract.asco.org/abst_files/spacer.gif">
          <a:extLst>
            <a:ext uri="{FF2B5EF4-FFF2-40B4-BE49-F238E27FC236}">
              <a16:creationId xmlns:a16="http://schemas.microsoft.com/office/drawing/2014/main" id="{00000000-0008-0000-0B00-000010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068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3</xdr:col>
      <xdr:colOff>9525</xdr:colOff>
      <xdr:row>72</xdr:row>
      <xdr:rowOff>95250</xdr:rowOff>
    </xdr:to>
    <xdr:pic>
      <xdr:nvPicPr>
        <xdr:cNvPr id="16657" name="Picture 1" descr="http://www.abstract.asco.org/abst_files/spacer.gif">
          <a:extLst>
            <a:ext uri="{FF2B5EF4-FFF2-40B4-BE49-F238E27FC236}">
              <a16:creationId xmlns:a16="http://schemas.microsoft.com/office/drawing/2014/main" id="{00000000-0008-0000-0B00-000011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2299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105</xdr:row>
      <xdr:rowOff>95250</xdr:rowOff>
    </xdr:to>
    <xdr:pic>
      <xdr:nvPicPr>
        <xdr:cNvPr id="16658" name="Picture 6" descr="http://www.abstract.asco.org/abst_files/spacer.gif">
          <a:extLst>
            <a:ext uri="{FF2B5EF4-FFF2-40B4-BE49-F238E27FC236}">
              <a16:creationId xmlns:a16="http://schemas.microsoft.com/office/drawing/2014/main" id="{00000000-0008-0000-0B00-000012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31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106</xdr:row>
      <xdr:rowOff>9525</xdr:rowOff>
    </xdr:to>
    <xdr:pic>
      <xdr:nvPicPr>
        <xdr:cNvPr id="16659" name="Picture 5" descr="http://www.abstract.asco.org/abst_files/spacer.gif">
          <a:extLst>
            <a:ext uri="{FF2B5EF4-FFF2-40B4-BE49-F238E27FC236}">
              <a16:creationId xmlns:a16="http://schemas.microsoft.com/office/drawing/2014/main" id="{00000000-0008-0000-0B00-000013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47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107</xdr:row>
      <xdr:rowOff>95250</xdr:rowOff>
    </xdr:to>
    <xdr:pic>
      <xdr:nvPicPr>
        <xdr:cNvPr id="16660" name="Picture 4" descr="http://www.abstract.asco.org/abst_files/spacer.gif">
          <a:extLst>
            <a:ext uri="{FF2B5EF4-FFF2-40B4-BE49-F238E27FC236}">
              <a16:creationId xmlns:a16="http://schemas.microsoft.com/office/drawing/2014/main" id="{00000000-0008-0000-0B00-000014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6408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123825</xdr:rowOff>
    </xdr:from>
    <xdr:to>
      <xdr:col>7</xdr:col>
      <xdr:colOff>333375</xdr:colOff>
      <xdr:row>34</xdr:row>
      <xdr:rowOff>104775</xdr:rowOff>
    </xdr:to>
    <xdr:pic>
      <xdr:nvPicPr>
        <xdr:cNvPr id="2608" name="Picture 3">
          <a:extLst>
            <a:ext uri="{FF2B5EF4-FFF2-40B4-BE49-F238E27FC236}">
              <a16:creationId xmlns:a16="http://schemas.microsoft.com/office/drawing/2014/main" id="{00000000-0008-0000-0C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49" t="35645" r="25626" b="23926"/>
        <a:stretch>
          <a:fillRect/>
        </a:stretch>
      </xdr:blipFill>
      <xdr:spPr bwMode="auto">
        <a:xfrm>
          <a:off x="1190625" y="2895600"/>
          <a:ext cx="448627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A1FA5D9-3072-49DF-842E-402F789C761A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3-02T15:54:40.81" personId="{CA1FA5D9-3072-49DF-842E-402F789C761A}" id="{03AF95B9-068B-48CD-806A-94C6B7B864D9}">
    <text>Diskus approved 8/24/2000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I3" dT="2023-03-02T15:59:13.94" personId="{CA1FA5D9-3072-49DF-842E-402F789C761A}" id="{59B5BB42-C672-46DD-AFA0-9246AD414857}">
    <text>48m USD</text>
  </threadedComment>
  <threadedComment ref="CJ3" dT="2023-03-02T15:59:24.26" personId="{CA1FA5D9-3072-49DF-842E-402F789C761A}" id="{DFAA27FD-EDD0-4577-BD62-4799DE66F44E}">
    <text>208m GBP</text>
  </threadedComment>
  <threadedComment ref="DK6" dT="2022-09-17T16:14:04.30" personId="{CA1FA5D9-3072-49DF-842E-402F789C761A}" id="{8BD7E764-3C44-4855-8A2C-126CD6680518}">
    <text>10/2027 dolutegravir expiry</text>
  </threadedComment>
  <threadedComment ref="DK7" dT="2022-09-17T16:14:04.30" personId="{CA1FA5D9-3072-49DF-842E-402F789C761A}" id="{4AC894B8-18B3-4778-A6DA-97775BA5530D}">
    <text>10/2027 dolutegravir expiry</text>
  </threadedComment>
  <threadedComment ref="DK8" dT="2022-09-17T16:14:04.30" personId="{CA1FA5D9-3072-49DF-842E-402F789C761A}" id="{D5549FF8-C43E-4B47-B3EF-B7BADBC43614}">
    <text>10/2027 dolutegravir expiry</text>
  </threadedComment>
  <threadedComment ref="DK9" dT="2022-09-17T16:14:04.30" personId="{CA1FA5D9-3072-49DF-842E-402F789C761A}" id="{73281FE4-B227-4749-BB72-94DB80C56DF4}">
    <text>10/2027 dolutegravir expiry</text>
  </threadedComment>
  <threadedComment ref="DK22" dT="2022-09-17T16:14:04.30" personId="{CA1FA5D9-3072-49DF-842E-402F789C761A}" id="{1ADD1653-7317-4DB9-811A-2DEA31ADF4E8}">
    <text>10/2027 dolutegravir expiry</text>
  </threadedComment>
  <threadedComment ref="BV101" dT="2022-07-14T12:13:51.97" personId="{CA1FA5D9-3072-49DF-842E-402F789C761A}" id="{CF080184-7B2D-455D-9A74-4E5F85F95A59}">
    <text>9527 reported
7076 continuing</text>
  </threadedComment>
  <threadedComment ref="BW101" dT="2022-07-14T12:04:44.10" personId="{CA1FA5D9-3072-49DF-842E-402F789C761A}" id="{68667B6A-5C22-45CE-AA39-05A35252D800}">
    <text>9780 actual
7190 continuing operations</text>
  </threadedComment>
  <threadedComment ref="BY101" dT="2023-03-02T15:45:18.80" personId="{CA1FA5D9-3072-49DF-842E-402F789C761A}" id="{43B9D496-DDBA-4956-8BB5-AB43B41B3A10}">
    <text>7829 reported revenue</text>
  </threadedComment>
  <threadedComment ref="BZ101" dT="2023-03-02T15:41:31.68" personId="{CA1FA5D9-3072-49DF-842E-402F789C761A}" id="{346FE1A0-CE4A-4919-88BA-BEDB66247B6B}">
    <text>7376 reported revenue</text>
  </threadedComment>
  <threadedComment ref="BT102" dT="2022-09-16T11:36:06.34" personId="{CA1FA5D9-3072-49DF-842E-402F789C761A}" id="{6DEAFE5F-48C2-49A3-BEF5-057ACFA8BBB3}">
    <text>2,554 with consumer</text>
  </threadedComment>
  <threadedComment ref="BT104" dT="2022-09-16T11:36:18.88" personId="{CA1FA5D9-3072-49DF-842E-402F789C761A}" id="{99B8FDF8-7CD1-405C-8684-6DBEB48C3BE9}">
    <text>1,689 with consumer</text>
  </threadedComment>
  <threadedComment ref="BW104" dT="2022-09-16T17:12:22.63" personId="{CA1FA5D9-3072-49DF-842E-402F789C761A}" id="{86362392-D8AB-44B9-A948-02F3B31E9306}">
    <text>2681 discontinued</text>
  </threadedComment>
  <threadedComment ref="BT105" dT="2022-09-16T11:36:31.80" personId="{CA1FA5D9-3072-49DF-842E-402F789C761A}" id="{C3DE93A2-2E99-4015-A687-91DC43E9E8B0}">
    <text>1,222 with consumer</text>
  </threadedComment>
  <threadedComment ref="BW105" dT="2022-09-16T17:13:18.35" personId="{CA1FA5D9-3072-49DF-842E-402F789C761A}" id="{405F6D6F-B0A4-4E22-B7E6-22834B0A5FAE}">
    <text>1154 continuing operations
1103 discontinued operations</text>
  </threadedComment>
  <threadedComment ref="BT112" dT="2022-09-16T11:38:36.84" personId="{CA1FA5D9-3072-49DF-842E-402F789C761A}" id="{3DECF7D8-CDD1-4C00-BC18-5D5572EF88BD}">
    <text>5060 previously</text>
  </threadedComment>
  <threadedComment ref="BX113" dT="2022-09-16T11:30:46.58" personId="{CA1FA5D9-3072-49DF-842E-402F789C761A}" id="{EC400C88-1EDF-4C9C-8565-82AD3964E084}">
    <text>Adj EPS 34.7p, +6% CER</text>
  </threadedComment>
  <threadedComment ref="BX116" dT="2022-09-16T11:32:20.87" personId="{CA1FA5D9-3072-49DF-842E-402F789C761A}" id="{C5D923C6-3DD0-4635-9133-7A2CFE94F440}">
    <text>+10% without COVID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sk.com/media/pressreleases/2007/2007_10_19_GSK1134.htm" TargetMode="External"/><Relationship Id="rId21" Type="http://schemas.openxmlformats.org/officeDocument/2006/relationships/hyperlink" Target="http://www.gsk.com/media/pressreleases/2008/2008_pressrelease_10103.htm" TargetMode="External"/><Relationship Id="rId42" Type="http://schemas.openxmlformats.org/officeDocument/2006/relationships/hyperlink" Target="http://www.gsk.com/media/pressreleases/2008/2008_pressrelease_10047.htm" TargetMode="External"/><Relationship Id="rId63" Type="http://schemas.openxmlformats.org/officeDocument/2006/relationships/hyperlink" Target="http://www.gsk.com/media/pressreleases/2008/2008_pressrelease_0014.htm" TargetMode="External"/><Relationship Id="rId84" Type="http://schemas.openxmlformats.org/officeDocument/2006/relationships/hyperlink" Target="http://www.gsk.com/media/pressreleases/2008/2008_pressrelease_0023.htm" TargetMode="External"/><Relationship Id="rId138" Type="http://schemas.openxmlformats.org/officeDocument/2006/relationships/hyperlink" Target="http://www.gsk.com/media/pressreleases/2007/2007_08_14_GSK1107.htm" TargetMode="External"/><Relationship Id="rId159" Type="http://schemas.openxmlformats.org/officeDocument/2006/relationships/hyperlink" Target="http://www.gsk.com/media/pressreleases/2007/2007_06_18_GSK1086.htm" TargetMode="External"/><Relationship Id="rId170" Type="http://schemas.openxmlformats.org/officeDocument/2006/relationships/hyperlink" Target="http://www.gsk.com/media/pressreleases/2007/2007_06_05_GSK1057.htm" TargetMode="External"/><Relationship Id="rId191" Type="http://schemas.openxmlformats.org/officeDocument/2006/relationships/hyperlink" Target="http://www.gsk.com/media/pressreleases/2007/2007_05_08_GSK1028.htm" TargetMode="External"/><Relationship Id="rId205" Type="http://schemas.openxmlformats.org/officeDocument/2006/relationships/hyperlink" Target="http://www.gsk.com/media/pressreleases/2007/2007_04_09_GSK1012.htm" TargetMode="External"/><Relationship Id="rId226" Type="http://schemas.openxmlformats.org/officeDocument/2006/relationships/hyperlink" Target="http://www.gsk.com/media/pressreleases/2007/2007_02_20_GSK981.htm" TargetMode="External"/><Relationship Id="rId107" Type="http://schemas.openxmlformats.org/officeDocument/2006/relationships/hyperlink" Target="http://www.gsk.com/media/pressreleases/2007/2007_11_21_GSK1147.htm" TargetMode="External"/><Relationship Id="rId11" Type="http://schemas.openxmlformats.org/officeDocument/2006/relationships/hyperlink" Target="http://www.gsk.com/media/pressreleases/2008/2008_pressrelease_10117.htm" TargetMode="External"/><Relationship Id="rId32" Type="http://schemas.openxmlformats.org/officeDocument/2006/relationships/hyperlink" Target="http://www.gsk.com/media/pressreleases/2008/2008_pressrelease_10065.htm" TargetMode="External"/><Relationship Id="rId53" Type="http://schemas.openxmlformats.org/officeDocument/2006/relationships/hyperlink" Target="http://www.gsk.com/media/pressreleases/2008/2008_us_pressrelease_10038.htm" TargetMode="External"/><Relationship Id="rId74" Type="http://schemas.openxmlformats.org/officeDocument/2006/relationships/hyperlink" Target="http://www.gsk.com/media/pressreleases/2008/2008_pressrelease_0098.htm" TargetMode="External"/><Relationship Id="rId128" Type="http://schemas.openxmlformats.org/officeDocument/2006/relationships/hyperlink" Target="http://www.gsk.com/media/pressreleases/2007/2007_09_27_GSK1120.htm" TargetMode="External"/><Relationship Id="rId149" Type="http://schemas.openxmlformats.org/officeDocument/2006/relationships/hyperlink" Target="http://www.gsk.com/media/pressreleases/2007/2007_07_27_GSK1098.htm" TargetMode="External"/><Relationship Id="rId5" Type="http://schemas.openxmlformats.org/officeDocument/2006/relationships/hyperlink" Target="http://www.gsk.com/media/pressreleases/2008/2008_pressrelease_10149.htm" TargetMode="External"/><Relationship Id="rId95" Type="http://schemas.openxmlformats.org/officeDocument/2006/relationships/hyperlink" Target="http://www.gsk.com/media/pressreleases/2007/2007_12_11_GSK1159.htm" TargetMode="External"/><Relationship Id="rId160" Type="http://schemas.openxmlformats.org/officeDocument/2006/relationships/hyperlink" Target="http://www.gsk.com/media/pressreleases/2007/2007_06_15_GSK1085.htm" TargetMode="External"/><Relationship Id="rId181" Type="http://schemas.openxmlformats.org/officeDocument/2006/relationships/hyperlink" Target="http://www.gsk.com/media/pressreleases/2007/2007_05_24_GSK1043.htm" TargetMode="External"/><Relationship Id="rId216" Type="http://schemas.openxmlformats.org/officeDocument/2006/relationships/hyperlink" Target="http://www.gsk.com/media/pressreleases/2007/2007_03_22_GSK996.htm" TargetMode="External"/><Relationship Id="rId237" Type="http://schemas.openxmlformats.org/officeDocument/2006/relationships/hyperlink" Target="http://www.gsk.com/media/pressreleases/2007/2007_02_07_GSK965.htm" TargetMode="External"/><Relationship Id="rId22" Type="http://schemas.openxmlformats.org/officeDocument/2006/relationships/hyperlink" Target="http://www.gsk.com/media/pressreleases/2008/2008_pressrelease_10102.htm" TargetMode="External"/><Relationship Id="rId43" Type="http://schemas.openxmlformats.org/officeDocument/2006/relationships/hyperlink" Target="http://www.gsk.com/media/pressreleases/2008/2008_pressrelease_10050.htm" TargetMode="External"/><Relationship Id="rId64" Type="http://schemas.openxmlformats.org/officeDocument/2006/relationships/hyperlink" Target="http://www.gsk.com/media/pressreleases/2008/2008_pressrelease_0012.htm" TargetMode="External"/><Relationship Id="rId118" Type="http://schemas.openxmlformats.org/officeDocument/2006/relationships/hyperlink" Target="http://www.gsk.com/media/pressreleases/2007/2007_10_18_GSK1133.htm" TargetMode="External"/><Relationship Id="rId139" Type="http://schemas.openxmlformats.org/officeDocument/2006/relationships/hyperlink" Target="http://www.gsk.com/media/pressreleases/2007/2007_08_14_GSK1108.htm" TargetMode="External"/><Relationship Id="rId85" Type="http://schemas.openxmlformats.org/officeDocument/2006/relationships/hyperlink" Target="http://www.gsk.com/media/pressreleases/2008/2008_pressrelease_0024.htm" TargetMode="External"/><Relationship Id="rId150" Type="http://schemas.openxmlformats.org/officeDocument/2006/relationships/hyperlink" Target="http://www.gsk.com/media/pressreleases/2007/2007_07_25_GSK1095.htm" TargetMode="External"/><Relationship Id="rId171" Type="http://schemas.openxmlformats.org/officeDocument/2006/relationships/hyperlink" Target="http://www.gsk.com/media/pressreleases/2007/2007_06_05_GSK1058.htm" TargetMode="External"/><Relationship Id="rId192" Type="http://schemas.openxmlformats.org/officeDocument/2006/relationships/hyperlink" Target="http://www.gsk.com/media/pressreleases/2007/2007_05_07_GSK1027.htm" TargetMode="External"/><Relationship Id="rId206" Type="http://schemas.openxmlformats.org/officeDocument/2006/relationships/hyperlink" Target="http://www.gsk.com/media/pressreleases/2007/2007_04_03_GSK1010.htm" TargetMode="External"/><Relationship Id="rId227" Type="http://schemas.openxmlformats.org/officeDocument/2006/relationships/hyperlink" Target="http://www.gsk.com/media/pressreleases/2007/2007_02_16_GSK978.htm" TargetMode="External"/><Relationship Id="rId12" Type="http://schemas.openxmlformats.org/officeDocument/2006/relationships/hyperlink" Target="http://www.gsk.com/media/pressreleases/2008/2008_pressrelease_10116.htm" TargetMode="External"/><Relationship Id="rId33" Type="http://schemas.openxmlformats.org/officeDocument/2006/relationships/hyperlink" Target="http://www.gsk.com/media/pressreleases/2008/2008_pressrelease_10063.htm" TargetMode="External"/><Relationship Id="rId108" Type="http://schemas.openxmlformats.org/officeDocument/2006/relationships/hyperlink" Target="http://www.gsk.com/media/pressreleases/2007/2007_11_20_GSK1146.htm" TargetMode="External"/><Relationship Id="rId129" Type="http://schemas.openxmlformats.org/officeDocument/2006/relationships/hyperlink" Target="http://www.gsk.com/media/pressreleases/2007/2007_09_24_GSK1117.htm" TargetMode="External"/><Relationship Id="rId54" Type="http://schemas.openxmlformats.org/officeDocument/2006/relationships/hyperlink" Target="http://www.gsk.com/media/pressreleases/2008/2008_pressrelease_10030.htm" TargetMode="External"/><Relationship Id="rId75" Type="http://schemas.openxmlformats.org/officeDocument/2006/relationships/hyperlink" Target="http://www.gsk.com/media/pressreleases/2008/2008_pressrelease_0056.htm" TargetMode="External"/><Relationship Id="rId96" Type="http://schemas.openxmlformats.org/officeDocument/2006/relationships/hyperlink" Target="http://www.gsk.com/media/pressreleases/2007/2007_12_10_GSK1156.htm" TargetMode="External"/><Relationship Id="rId140" Type="http://schemas.openxmlformats.org/officeDocument/2006/relationships/hyperlink" Target="http://www.gsk.com/media/pressreleases/2007/2007_08_08_GSK1105.htm" TargetMode="External"/><Relationship Id="rId161" Type="http://schemas.openxmlformats.org/officeDocument/2006/relationships/hyperlink" Target="http://www.gsk.com/media/pressreleases/2007/2007_06_13_GSK1080.htm" TargetMode="External"/><Relationship Id="rId182" Type="http://schemas.openxmlformats.org/officeDocument/2006/relationships/hyperlink" Target="http://www.gsk.com/media/pressreleases/2007/2007_05_23_GSK1041.htm" TargetMode="External"/><Relationship Id="rId217" Type="http://schemas.openxmlformats.org/officeDocument/2006/relationships/hyperlink" Target="http://www.gsk.com/media/pressreleases/2007/2007_03_20_GSK994.htm" TargetMode="External"/><Relationship Id="rId6" Type="http://schemas.openxmlformats.org/officeDocument/2006/relationships/hyperlink" Target="http://www.gsk.com/media/pressreleases/2008/2008_pressrelease_10148.htm" TargetMode="External"/><Relationship Id="rId238" Type="http://schemas.openxmlformats.org/officeDocument/2006/relationships/hyperlink" Target="http://www.gsk.com/media/pressreleases/2007/2007_02_07_GSK966.htm" TargetMode="External"/><Relationship Id="rId23" Type="http://schemas.openxmlformats.org/officeDocument/2006/relationships/hyperlink" Target="http://www.gsk.com/media/pressreleases/2008/2008_pressrelease_10098.htm" TargetMode="External"/><Relationship Id="rId119" Type="http://schemas.openxmlformats.org/officeDocument/2006/relationships/hyperlink" Target="http://www.gsk.com/media/pressreleases/2007/2007_10_17_GSK1132.htm" TargetMode="External"/><Relationship Id="rId44" Type="http://schemas.openxmlformats.org/officeDocument/2006/relationships/hyperlink" Target="http://www.gsk.com/media/pressreleases/2008/2008_pressrelease_10044.htm" TargetMode="External"/><Relationship Id="rId65" Type="http://schemas.openxmlformats.org/officeDocument/2006/relationships/hyperlink" Target="http://www.gsk.com/media/pressreleases/2008/2008_pressrelease_0011.htm" TargetMode="External"/><Relationship Id="rId86" Type="http://schemas.openxmlformats.org/officeDocument/2006/relationships/hyperlink" Target="http://www.gsk.com/media/pressreleases/2008/2008_pressrelease_0022.htm" TargetMode="External"/><Relationship Id="rId130" Type="http://schemas.openxmlformats.org/officeDocument/2006/relationships/hyperlink" Target="http://www.gsk.com/media/pressreleases/2007/2007_09_21_GSK1118.htm" TargetMode="External"/><Relationship Id="rId151" Type="http://schemas.openxmlformats.org/officeDocument/2006/relationships/hyperlink" Target="http://www.gsk.com/media/pressreleases/2007/2007_07_25_GSK1096.htm" TargetMode="External"/><Relationship Id="rId172" Type="http://schemas.openxmlformats.org/officeDocument/2006/relationships/hyperlink" Target="http://www.gsk.com/media/pressreleases/2007/2007_06_05_GSK1062.htm" TargetMode="External"/><Relationship Id="rId193" Type="http://schemas.openxmlformats.org/officeDocument/2006/relationships/hyperlink" Target="http://www.gsk.com/media/pressreleases/2007/2007_05_02_GSK1024.htm" TargetMode="External"/><Relationship Id="rId207" Type="http://schemas.openxmlformats.org/officeDocument/2006/relationships/hyperlink" Target="http://www.gsk.com/media/pressreleases/2007/2007_04_03_GSK1011.htm" TargetMode="External"/><Relationship Id="rId228" Type="http://schemas.openxmlformats.org/officeDocument/2006/relationships/hyperlink" Target="http://www.gsk.com/media/pressreleases/2007/2007_02_16_GSK979.htm" TargetMode="External"/><Relationship Id="rId13" Type="http://schemas.openxmlformats.org/officeDocument/2006/relationships/hyperlink" Target="http://www.gsk.com/media/pressreleases/2008/2008_pressrelease_10115.htm" TargetMode="External"/><Relationship Id="rId109" Type="http://schemas.openxmlformats.org/officeDocument/2006/relationships/hyperlink" Target="http://www.gsk.com/media/pressreleases/2007/2007_11_15_GSK1145.htm" TargetMode="External"/><Relationship Id="rId34" Type="http://schemas.openxmlformats.org/officeDocument/2006/relationships/hyperlink" Target="http://www.gsk.com/media/pressreleases/2008/2008_pressrelease_10060.htm" TargetMode="External"/><Relationship Id="rId55" Type="http://schemas.openxmlformats.org/officeDocument/2006/relationships/hyperlink" Target="http://www.gsk.com/media/pressreleases/2008/2008_pressrelease_10029.htm" TargetMode="External"/><Relationship Id="rId76" Type="http://schemas.openxmlformats.org/officeDocument/2006/relationships/hyperlink" Target="http://www.gsk.com/media/pressreleases/2008/2008_pressrelease_0036.htm" TargetMode="External"/><Relationship Id="rId97" Type="http://schemas.openxmlformats.org/officeDocument/2006/relationships/hyperlink" Target="http://www.gsk.com/media/pressreleases/2007/2007_12_10_GSK1157.htm" TargetMode="External"/><Relationship Id="rId120" Type="http://schemas.openxmlformats.org/officeDocument/2006/relationships/hyperlink" Target="http://www.gsk.com/media/pressreleases/2007/2007_10_15_GSK1131.htm" TargetMode="External"/><Relationship Id="rId141" Type="http://schemas.openxmlformats.org/officeDocument/2006/relationships/hyperlink" Target="http://www.gsk.com/media/pressreleases/2007/2007_08_08_GSK1106.htm" TargetMode="External"/><Relationship Id="rId7" Type="http://schemas.openxmlformats.org/officeDocument/2006/relationships/hyperlink" Target="http://www.gsk.com/media/pressreleases/2008/2008_pressrelease_10137.htm" TargetMode="External"/><Relationship Id="rId162" Type="http://schemas.openxmlformats.org/officeDocument/2006/relationships/hyperlink" Target="http://www.gsk.com/media/pressreleases/2007/2007_06_13_GSK1082.htm" TargetMode="External"/><Relationship Id="rId183" Type="http://schemas.openxmlformats.org/officeDocument/2006/relationships/hyperlink" Target="http://www.gsk.com/media/pressreleases/2007/2007_05_23_GSK1042.htm" TargetMode="External"/><Relationship Id="rId218" Type="http://schemas.openxmlformats.org/officeDocument/2006/relationships/hyperlink" Target="http://www.gsk.com/media/pressreleases/2007/2007_03_13_GSK993.htm" TargetMode="External"/><Relationship Id="rId239" Type="http://schemas.openxmlformats.org/officeDocument/2006/relationships/hyperlink" Target="http://www.gsk.com/media/pressreleases/2007/2007_02_02_GSK963.htm" TargetMode="External"/><Relationship Id="rId24" Type="http://schemas.openxmlformats.org/officeDocument/2006/relationships/hyperlink" Target="http://www.gsk.com/media/pressreleases/2008/2008_pressrelease_10089.htm" TargetMode="External"/><Relationship Id="rId45" Type="http://schemas.openxmlformats.org/officeDocument/2006/relationships/hyperlink" Target="http://www.gsk.com/media/pressreleases/2008/2008_pressrelease_10043.htm" TargetMode="External"/><Relationship Id="rId66" Type="http://schemas.openxmlformats.org/officeDocument/2006/relationships/hyperlink" Target="http://www.gsk.com/media/pressreleases/2008/2008_pressrelease_0010.htm" TargetMode="External"/><Relationship Id="rId87" Type="http://schemas.openxmlformats.org/officeDocument/2006/relationships/hyperlink" Target="http://www.gsk.com/media/pressreleases/2007/2007_12_28_GSK1170.htm" TargetMode="External"/><Relationship Id="rId110" Type="http://schemas.openxmlformats.org/officeDocument/2006/relationships/hyperlink" Target="http://www.gsk.com/media/pressreleases/2007/2007_11_14_GSK1143.htm" TargetMode="External"/><Relationship Id="rId131" Type="http://schemas.openxmlformats.org/officeDocument/2006/relationships/hyperlink" Target="http://www.gsk.com/media/pressreleases/2007/2007_09_11_GSK1114.htm" TargetMode="External"/><Relationship Id="rId152" Type="http://schemas.openxmlformats.org/officeDocument/2006/relationships/hyperlink" Target="http://www.gsk.com/media/pressreleases/2007/2007_07_18_GSK1094.htm" TargetMode="External"/><Relationship Id="rId173" Type="http://schemas.openxmlformats.org/officeDocument/2006/relationships/hyperlink" Target="http://www.gsk.com/media/pressreleases/2007/2007_06_05_GSK1063.htm" TargetMode="External"/><Relationship Id="rId194" Type="http://schemas.openxmlformats.org/officeDocument/2006/relationships/hyperlink" Target="http://www.gsk.com/media/pressreleases/2007/2007_05_02_GSK1025.htm" TargetMode="External"/><Relationship Id="rId208" Type="http://schemas.openxmlformats.org/officeDocument/2006/relationships/hyperlink" Target="http://www.gsk.com/media/pressreleases/2007/2007_04_02_GSK1008.htm" TargetMode="External"/><Relationship Id="rId229" Type="http://schemas.openxmlformats.org/officeDocument/2006/relationships/hyperlink" Target="http://www.gsk.com/media/pressreleases/2007/2007_02_13_GSK975.htm" TargetMode="External"/><Relationship Id="rId240" Type="http://schemas.openxmlformats.org/officeDocument/2006/relationships/hyperlink" Target="http://www.gsk.com/media/pressreleases/2007/2007_02_02_GSK964.htm" TargetMode="External"/><Relationship Id="rId14" Type="http://schemas.openxmlformats.org/officeDocument/2006/relationships/hyperlink" Target="http://www.gsk.com/media/pressreleases/2008/2008_pressrelease_10113.htm" TargetMode="External"/><Relationship Id="rId35" Type="http://schemas.openxmlformats.org/officeDocument/2006/relationships/hyperlink" Target="http://www.gsk.com/media/pressreleases/2008/2008_pressrelease_10059.htm" TargetMode="External"/><Relationship Id="rId56" Type="http://schemas.openxmlformats.org/officeDocument/2006/relationships/hyperlink" Target="http://www.gsk.com/media/pressreleases/2008/2008_pressrelease_10027.htm" TargetMode="External"/><Relationship Id="rId77" Type="http://schemas.openxmlformats.org/officeDocument/2006/relationships/hyperlink" Target="http://www.gsk.com/media/pressreleases/2008/2008_pressrelease_0039.htm" TargetMode="External"/><Relationship Id="rId100" Type="http://schemas.openxmlformats.org/officeDocument/2006/relationships/hyperlink" Target="http://www.gsk.com/media/pressreleases/2007/2007_12_07_GSK1155.htm" TargetMode="External"/><Relationship Id="rId8" Type="http://schemas.openxmlformats.org/officeDocument/2006/relationships/hyperlink" Target="http://www.gsk.com/media/pressreleases/2008/2008_us_pressrelease_10168.htm" TargetMode="External"/><Relationship Id="rId98" Type="http://schemas.openxmlformats.org/officeDocument/2006/relationships/hyperlink" Target="http://www.gsk.com/media/pressreleases/2007/2007_12_10_GSK1158.htm" TargetMode="External"/><Relationship Id="rId121" Type="http://schemas.openxmlformats.org/officeDocument/2006/relationships/hyperlink" Target="http://www.gsk.com/media/pressreleases/2007/2007_10_10_GSK1130.htm" TargetMode="External"/><Relationship Id="rId142" Type="http://schemas.openxmlformats.org/officeDocument/2006/relationships/hyperlink" Target="http://www.gsk.com/media/pressreleases/2007/2007_08_03_GSK1104.htm" TargetMode="External"/><Relationship Id="rId163" Type="http://schemas.openxmlformats.org/officeDocument/2006/relationships/hyperlink" Target="http://www.gsk.com/media/pressreleases/2007/2007_06_13_GSK1084.htm" TargetMode="External"/><Relationship Id="rId184" Type="http://schemas.openxmlformats.org/officeDocument/2006/relationships/hyperlink" Target="http://www.gsk.com/media/pressreleases/2007/2007_05_22_GSK1040.htm" TargetMode="External"/><Relationship Id="rId219" Type="http://schemas.openxmlformats.org/officeDocument/2006/relationships/hyperlink" Target="http://www.gsk.com/media/pressreleases/2007/2007_03_09_GSK992.htm" TargetMode="External"/><Relationship Id="rId230" Type="http://schemas.openxmlformats.org/officeDocument/2006/relationships/hyperlink" Target="http://www.gsk.com/media/pressreleases/2007/2007_02_13_GSK976.htm" TargetMode="External"/><Relationship Id="rId25" Type="http://schemas.openxmlformats.org/officeDocument/2006/relationships/hyperlink" Target="http://www.gsk.com/media/pressreleases/2008/2008_pressrelease_10087.htm" TargetMode="External"/><Relationship Id="rId46" Type="http://schemas.openxmlformats.org/officeDocument/2006/relationships/hyperlink" Target="http://www.gsk.com/media/pressreleases/2008/2008_pressrelease_10040.htm" TargetMode="External"/><Relationship Id="rId67" Type="http://schemas.openxmlformats.org/officeDocument/2006/relationships/hyperlink" Target="http://www.gsk.com/media/pressreleases/2008/2008_pressrelease_0008.htm" TargetMode="External"/><Relationship Id="rId88" Type="http://schemas.openxmlformats.org/officeDocument/2006/relationships/hyperlink" Target="http://www.gsk.com/media/pressreleases/2007/2007_12_20_GSK1169.htm" TargetMode="External"/><Relationship Id="rId111" Type="http://schemas.openxmlformats.org/officeDocument/2006/relationships/hyperlink" Target="http://www.gsk.com/media/pressreleases/2007/2007_11_07_GSK1141.htm" TargetMode="External"/><Relationship Id="rId132" Type="http://schemas.openxmlformats.org/officeDocument/2006/relationships/hyperlink" Target="http://www.gsk.com/media/pressreleases/2007/2007_09_11_GSK1116.htm" TargetMode="External"/><Relationship Id="rId153" Type="http://schemas.openxmlformats.org/officeDocument/2006/relationships/hyperlink" Target="http://www.gsk.com/media/pressreleases/2007/2007_07_17_GSK1093.htm" TargetMode="External"/><Relationship Id="rId174" Type="http://schemas.openxmlformats.org/officeDocument/2006/relationships/hyperlink" Target="http://www.gsk.com/media/pressreleases/2007/2007_06_04_GSK1055.htm" TargetMode="External"/><Relationship Id="rId195" Type="http://schemas.openxmlformats.org/officeDocument/2006/relationships/hyperlink" Target="http://www.gsk.com/media/pressreleases/2007/2007_05_01_GSK1022.htm" TargetMode="External"/><Relationship Id="rId209" Type="http://schemas.openxmlformats.org/officeDocument/2006/relationships/hyperlink" Target="http://www.gsk.com/media/pressreleases/2007/2007_04_02_GSK1009.htm" TargetMode="External"/><Relationship Id="rId220" Type="http://schemas.openxmlformats.org/officeDocument/2006/relationships/hyperlink" Target="http://www.gsk.com/media/pressreleases/2007/2007_03_05_GSK989.htm" TargetMode="External"/><Relationship Id="rId241" Type="http://schemas.openxmlformats.org/officeDocument/2006/relationships/hyperlink" Target="http://www.gsk.com/media/pressreleases/2007/2007_01_29_GSK960.htm" TargetMode="External"/><Relationship Id="rId15" Type="http://schemas.openxmlformats.org/officeDocument/2006/relationships/hyperlink" Target="http://www.gsk.com/media/pressreleases/2008/2008_pressrelease_10112.htm" TargetMode="External"/><Relationship Id="rId36" Type="http://schemas.openxmlformats.org/officeDocument/2006/relationships/hyperlink" Target="http://www.gsk.com/media/pressreleases/2008/2008_pressrelease_10056.htm" TargetMode="External"/><Relationship Id="rId57" Type="http://schemas.openxmlformats.org/officeDocument/2006/relationships/hyperlink" Target="http://www.gsk.com/media/pressreleases/2008/2008_us_pressrelease_10034.htm" TargetMode="External"/><Relationship Id="rId10" Type="http://schemas.openxmlformats.org/officeDocument/2006/relationships/hyperlink" Target="http://www.gsk.com/media/pressreleases/2008/2008_pressrelease_10123.htm" TargetMode="External"/><Relationship Id="rId31" Type="http://schemas.openxmlformats.org/officeDocument/2006/relationships/hyperlink" Target="http://www.gsk.com/media/pressreleases/2008/2008_pressrelease_10066.htm" TargetMode="External"/><Relationship Id="rId52" Type="http://schemas.openxmlformats.org/officeDocument/2006/relationships/hyperlink" Target="http://www.gsk.com/media/pressreleases/2008/2008_pressrelease_10031.htm" TargetMode="External"/><Relationship Id="rId73" Type="http://schemas.openxmlformats.org/officeDocument/2006/relationships/hyperlink" Target="http://www.gsk.com/media/pressreleases/2008/2008_pressrelease_0095.htm" TargetMode="External"/><Relationship Id="rId78" Type="http://schemas.openxmlformats.org/officeDocument/2006/relationships/hyperlink" Target="http://www.gsk.com/media/pressreleases/2008/2008_pressrelease_0026.htm" TargetMode="External"/><Relationship Id="rId94" Type="http://schemas.openxmlformats.org/officeDocument/2006/relationships/hyperlink" Target="http://www.gsk.com/media/pressreleases/2007/2007_12_13_GSK1161.htm" TargetMode="External"/><Relationship Id="rId99" Type="http://schemas.openxmlformats.org/officeDocument/2006/relationships/hyperlink" Target="http://www.gsk.com/media/pressreleases/2007/2007_12_10_GSK1160.htm" TargetMode="External"/><Relationship Id="rId101" Type="http://schemas.openxmlformats.org/officeDocument/2006/relationships/hyperlink" Target="http://www.gsk.com/media/pressreleases/2007/2007_12_06_GSK1154.htm" TargetMode="External"/><Relationship Id="rId122" Type="http://schemas.openxmlformats.org/officeDocument/2006/relationships/hyperlink" Target="http://www.gsk.com/media/pressreleases/2007/2007_10_08_GSK1128.htm" TargetMode="External"/><Relationship Id="rId143" Type="http://schemas.openxmlformats.org/officeDocument/2006/relationships/hyperlink" Target="http://www.gsk.com/media/pressreleases/2007/2007_08_02_GSK1102.htm" TargetMode="External"/><Relationship Id="rId148" Type="http://schemas.openxmlformats.org/officeDocument/2006/relationships/hyperlink" Target="http://www.gsk.com/media/pressreleases/2007/2007_07_27_GSK1097.htm" TargetMode="External"/><Relationship Id="rId164" Type="http://schemas.openxmlformats.org/officeDocument/2006/relationships/hyperlink" Target="http://www.gsk.com/media/pressreleases/2007/2007_06_12_GSK1079.htm" TargetMode="External"/><Relationship Id="rId169" Type="http://schemas.openxmlformats.org/officeDocument/2006/relationships/hyperlink" Target="http://www.gsk.com/media/pressreleases/2007/2007_06_06_GSK1067.htm" TargetMode="External"/><Relationship Id="rId185" Type="http://schemas.openxmlformats.org/officeDocument/2006/relationships/hyperlink" Target="http://www.gsk.com/media/pressreleases/2007/2007_05_21_GSK1037.htm" TargetMode="External"/><Relationship Id="rId4" Type="http://schemas.openxmlformats.org/officeDocument/2006/relationships/hyperlink" Target="http://www.gsk.com/media/pressreleases/2009/2009_pressrelease_10007.htm" TargetMode="External"/><Relationship Id="rId9" Type="http://schemas.openxmlformats.org/officeDocument/2006/relationships/hyperlink" Target="http://www.gsk.com/media/pressreleases/2008/2008_pressrelease_10133.htm" TargetMode="External"/><Relationship Id="rId180" Type="http://schemas.openxmlformats.org/officeDocument/2006/relationships/hyperlink" Target="http://www.gsk.com/media/pressreleases/2007/2007_05_25_GSK1045.htm" TargetMode="External"/><Relationship Id="rId210" Type="http://schemas.openxmlformats.org/officeDocument/2006/relationships/hyperlink" Target="http://www.gsk.com/media/pressreleases/2007/2007_03_30_GSK1006.htm" TargetMode="External"/><Relationship Id="rId215" Type="http://schemas.openxmlformats.org/officeDocument/2006/relationships/hyperlink" Target="http://www.gsk.com/media/pressreleases/2007/2007_03_22_GSK995.htm" TargetMode="External"/><Relationship Id="rId236" Type="http://schemas.openxmlformats.org/officeDocument/2006/relationships/hyperlink" Target="http://www.gsk.com/media/pressreleases/2007/2007_02_08_GSK970.htm" TargetMode="External"/><Relationship Id="rId26" Type="http://schemas.openxmlformats.org/officeDocument/2006/relationships/hyperlink" Target="http://www.gsk.com/media/pressreleases/2008/2008_pressrelease_10086.htm" TargetMode="External"/><Relationship Id="rId231" Type="http://schemas.openxmlformats.org/officeDocument/2006/relationships/hyperlink" Target="http://www.gsk.com/media/pressreleases/2007/2007_02_13_GSK977.htm" TargetMode="External"/><Relationship Id="rId47" Type="http://schemas.openxmlformats.org/officeDocument/2006/relationships/hyperlink" Target="http://www.gsk.com/media/pressreleases/2008/2008_pressrelease_10038.htm" TargetMode="External"/><Relationship Id="rId68" Type="http://schemas.openxmlformats.org/officeDocument/2006/relationships/hyperlink" Target="http://www.gsk.com/media/pressreleases/2008/2008_pressrelease_0218.htm" TargetMode="External"/><Relationship Id="rId89" Type="http://schemas.openxmlformats.org/officeDocument/2006/relationships/hyperlink" Target="http://www.gsk.com/media/pressreleases/2007/2007_12_19_GSK1167.htm" TargetMode="External"/><Relationship Id="rId112" Type="http://schemas.openxmlformats.org/officeDocument/2006/relationships/hyperlink" Target="http://www.gsk.com/media/pressreleases/2007/2007_11_05_GSK1140.htm" TargetMode="External"/><Relationship Id="rId133" Type="http://schemas.openxmlformats.org/officeDocument/2006/relationships/hyperlink" Target="http://www.gsk.com/media/pressreleases/2007/2007_09_04_GSK1113.htm" TargetMode="External"/><Relationship Id="rId154" Type="http://schemas.openxmlformats.org/officeDocument/2006/relationships/hyperlink" Target="http://www.gsk.com/media/pressreleases/2007/2007_07_09_GSK1092.htm" TargetMode="External"/><Relationship Id="rId175" Type="http://schemas.openxmlformats.org/officeDocument/2006/relationships/hyperlink" Target="http://www.gsk.com/media/pressreleases/2007/2007_06_04_GSK1056.htm" TargetMode="External"/><Relationship Id="rId196" Type="http://schemas.openxmlformats.org/officeDocument/2006/relationships/hyperlink" Target="http://www.gsk.com/media/pressreleases/2007/2007_05_01_GSK1023.htm" TargetMode="External"/><Relationship Id="rId200" Type="http://schemas.openxmlformats.org/officeDocument/2006/relationships/hyperlink" Target="http://www.gsk.com/media/pressreleases/2007/2007_04_18_GSK1016.htm" TargetMode="External"/><Relationship Id="rId16" Type="http://schemas.openxmlformats.org/officeDocument/2006/relationships/hyperlink" Target="http://www.gsk.com/media/pressreleases/2008/2008_pressrelease_10111.htm" TargetMode="External"/><Relationship Id="rId221" Type="http://schemas.openxmlformats.org/officeDocument/2006/relationships/hyperlink" Target="http://www.gsk.com/media/pressreleases/2007/2007_03_01_GSK987.htm" TargetMode="External"/><Relationship Id="rId242" Type="http://schemas.openxmlformats.org/officeDocument/2006/relationships/hyperlink" Target="http://www.gsk.com/media/pressreleases/2007/2007_01_29_GSK961.htm" TargetMode="External"/><Relationship Id="rId37" Type="http://schemas.openxmlformats.org/officeDocument/2006/relationships/hyperlink" Target="http://www.gsk.com/media/pressreleases/2008/2008_pressrelease_10057.htm" TargetMode="External"/><Relationship Id="rId58" Type="http://schemas.openxmlformats.org/officeDocument/2006/relationships/hyperlink" Target="http://www.gsk.com/media/pressreleases/2008/2008_pressrelease_10025.htm" TargetMode="External"/><Relationship Id="rId79" Type="http://schemas.openxmlformats.org/officeDocument/2006/relationships/hyperlink" Target="http://www.gsk.com/media/pressreleases/2008/2008_pressrelease_0029.htm" TargetMode="External"/><Relationship Id="rId102" Type="http://schemas.openxmlformats.org/officeDocument/2006/relationships/hyperlink" Target="http://www.gsk.com/media/pressreleases/2007/2007_12_04_GSK1153.htm" TargetMode="External"/><Relationship Id="rId123" Type="http://schemas.openxmlformats.org/officeDocument/2006/relationships/hyperlink" Target="http://www.gsk.com/media/pressreleases/2007/2007_10_08_GSK1129.htm" TargetMode="External"/><Relationship Id="rId144" Type="http://schemas.openxmlformats.org/officeDocument/2006/relationships/hyperlink" Target="http://www.gsk.com/media/pressreleases/2007/2007_08_02_GSK1103.htm" TargetMode="External"/><Relationship Id="rId90" Type="http://schemas.openxmlformats.org/officeDocument/2006/relationships/hyperlink" Target="http://www.gsk.com/media/pressreleases/2007/2007_12_19_GSK1168.htm" TargetMode="External"/><Relationship Id="rId165" Type="http://schemas.openxmlformats.org/officeDocument/2006/relationships/hyperlink" Target="http://www.gsk.com/media/pressreleases/2007/2007_06_12_GSK1081.htm" TargetMode="External"/><Relationship Id="rId186" Type="http://schemas.openxmlformats.org/officeDocument/2006/relationships/hyperlink" Target="http://www.gsk.com/media/pressreleases/2007/2007_05_21_GSK1038.htm" TargetMode="External"/><Relationship Id="rId211" Type="http://schemas.openxmlformats.org/officeDocument/2006/relationships/hyperlink" Target="http://www.gsk.com/media/pressreleases/2007/2007_03_29_GSK1000.htm" TargetMode="External"/><Relationship Id="rId232" Type="http://schemas.openxmlformats.org/officeDocument/2006/relationships/hyperlink" Target="http://www.gsk.com/media/pressreleases/2007/2007_02_12_GSK974.htm" TargetMode="External"/><Relationship Id="rId27" Type="http://schemas.openxmlformats.org/officeDocument/2006/relationships/hyperlink" Target="http://www.gsk.com/media/pressreleases/2008/2008_pressrelease_10079.htm" TargetMode="External"/><Relationship Id="rId48" Type="http://schemas.openxmlformats.org/officeDocument/2006/relationships/hyperlink" Target="http://www.gsk.com/media/pressreleases/2008/2008_pressrelease_10037.htm" TargetMode="External"/><Relationship Id="rId69" Type="http://schemas.openxmlformats.org/officeDocument/2006/relationships/hyperlink" Target="http://www.gsk.com/media/pressreleases/2008/2008_pressrelease_0118.htm" TargetMode="External"/><Relationship Id="rId113" Type="http://schemas.openxmlformats.org/officeDocument/2006/relationships/hyperlink" Target="http://www.gsk.com/media/pressreleases/2007/2007_11_05_GSK1142.htm" TargetMode="External"/><Relationship Id="rId134" Type="http://schemas.openxmlformats.org/officeDocument/2006/relationships/hyperlink" Target="http://www.gsk.com/media/pressreleases/2007/2007_09_03_GSK1112.htm" TargetMode="External"/><Relationship Id="rId80" Type="http://schemas.openxmlformats.org/officeDocument/2006/relationships/hyperlink" Target="http://www.gsk.com/media/pressreleases/2008/2008_pressrelease_0030.htm" TargetMode="External"/><Relationship Id="rId155" Type="http://schemas.openxmlformats.org/officeDocument/2006/relationships/hyperlink" Target="http://www.gsk.com/media/pressreleases/2007/2007_06_27_GSK1089.htm" TargetMode="External"/><Relationship Id="rId176" Type="http://schemas.openxmlformats.org/officeDocument/2006/relationships/hyperlink" Target="http://www.gsk.com/media/pressreleases/2007/2007_06_03_GSK1054.htm" TargetMode="External"/><Relationship Id="rId197" Type="http://schemas.openxmlformats.org/officeDocument/2006/relationships/hyperlink" Target="http://www.gsk.com/media/pressreleases/2007/2007_04_30_GSK1021.htm" TargetMode="External"/><Relationship Id="rId201" Type="http://schemas.openxmlformats.org/officeDocument/2006/relationships/hyperlink" Target="http://www.gsk.com/media/pressreleases/2007/2007_04_18_GSK1017.htm" TargetMode="External"/><Relationship Id="rId222" Type="http://schemas.openxmlformats.org/officeDocument/2006/relationships/hyperlink" Target="http://www.gsk.com/media/pressreleases/2007/2007_02_27_GSK986.htm" TargetMode="External"/><Relationship Id="rId243" Type="http://schemas.openxmlformats.org/officeDocument/2006/relationships/hyperlink" Target="http://www.gsk.com/media/pressreleases/2007/2007_01_18_GSK959.htm" TargetMode="External"/><Relationship Id="rId17" Type="http://schemas.openxmlformats.org/officeDocument/2006/relationships/hyperlink" Target="http://www.gsk.com/media/pressreleases/2008/2008_pressrelease_10110.htm" TargetMode="External"/><Relationship Id="rId38" Type="http://schemas.openxmlformats.org/officeDocument/2006/relationships/hyperlink" Target="http://www.gsk.com/media/pressreleases/2008/2008_pressrelease_10055.htm" TargetMode="External"/><Relationship Id="rId59" Type="http://schemas.openxmlformats.org/officeDocument/2006/relationships/hyperlink" Target="http://www.gsk.com/media/pressreleases/2008/2008_pressrelease_10024.htm" TargetMode="External"/><Relationship Id="rId103" Type="http://schemas.openxmlformats.org/officeDocument/2006/relationships/hyperlink" Target="http://www.gsk.com/media/pressreleases/2007/2007_12_03_GSK1152.htm" TargetMode="External"/><Relationship Id="rId124" Type="http://schemas.openxmlformats.org/officeDocument/2006/relationships/hyperlink" Target="http://www.gsk.com/media/pressreleases/2007/2007_10_04_GSK1127.htm" TargetMode="External"/><Relationship Id="rId70" Type="http://schemas.openxmlformats.org/officeDocument/2006/relationships/hyperlink" Target="http://www.gsk.com/media/pressreleases/2008/2008_us_pressrelease_0051.htm" TargetMode="External"/><Relationship Id="rId91" Type="http://schemas.openxmlformats.org/officeDocument/2006/relationships/hyperlink" Target="http://www.gsk.com/media/pressreleases/2007/2007_12_17_GSK1165.htm" TargetMode="External"/><Relationship Id="rId145" Type="http://schemas.openxmlformats.org/officeDocument/2006/relationships/hyperlink" Target="http://www.gsk.com/media/pressreleases/2007/2007_07_30_GSK1099.htm" TargetMode="External"/><Relationship Id="rId166" Type="http://schemas.openxmlformats.org/officeDocument/2006/relationships/hyperlink" Target="http://www.gsk.com/media/pressreleases/2007/2007_06_11_GSK1076.htm" TargetMode="External"/><Relationship Id="rId187" Type="http://schemas.openxmlformats.org/officeDocument/2006/relationships/hyperlink" Target="http://www.gsk.com/media/pressreleases/2007/2007_05_21_GSK1039.htm" TargetMode="External"/><Relationship Id="rId1" Type="http://schemas.openxmlformats.org/officeDocument/2006/relationships/hyperlink" Target="http://www.gsk.com/media/pressreleases/2009/2009_pressrelease_10022.htm" TargetMode="External"/><Relationship Id="rId212" Type="http://schemas.openxmlformats.org/officeDocument/2006/relationships/hyperlink" Target="http://www.gsk.com/media/pressreleases/2007/2007_03_29_GSK999.htm" TargetMode="External"/><Relationship Id="rId233" Type="http://schemas.openxmlformats.org/officeDocument/2006/relationships/hyperlink" Target="http://www.gsk.com/media/pressreleases/2007/2007_02_09_GSK973.htm" TargetMode="External"/><Relationship Id="rId28" Type="http://schemas.openxmlformats.org/officeDocument/2006/relationships/hyperlink" Target="http://www.gsk.com/media/pressreleases/2008/2008_pressrelease_10073.htm" TargetMode="External"/><Relationship Id="rId49" Type="http://schemas.openxmlformats.org/officeDocument/2006/relationships/hyperlink" Target="http://www.gsk.com/media/pressreleases/2008/2008_pressrelease_10036.htm" TargetMode="External"/><Relationship Id="rId114" Type="http://schemas.openxmlformats.org/officeDocument/2006/relationships/hyperlink" Target="http://www.gsk.com/media/pressreleases/2007/2007_11_02_GSK1139.htm" TargetMode="External"/><Relationship Id="rId60" Type="http://schemas.openxmlformats.org/officeDocument/2006/relationships/hyperlink" Target="http://www.gsk.com/media/pressreleases/2008/2008_pressrelease_10019.htm" TargetMode="External"/><Relationship Id="rId81" Type="http://schemas.openxmlformats.org/officeDocument/2006/relationships/hyperlink" Target="http://www.gsk.com/media/pressreleases/2008/2008_pressrelease_0031.htm" TargetMode="External"/><Relationship Id="rId135" Type="http://schemas.openxmlformats.org/officeDocument/2006/relationships/hyperlink" Target="http://www.gsk.com/media/pressreleases/2007/2007_08_28_GSK1110.htm" TargetMode="External"/><Relationship Id="rId156" Type="http://schemas.openxmlformats.org/officeDocument/2006/relationships/hyperlink" Target="http://www.gsk.com/media/pressreleases/2007/2007_06_25_GSK1088.htm" TargetMode="External"/><Relationship Id="rId177" Type="http://schemas.openxmlformats.org/officeDocument/2006/relationships/hyperlink" Target="http://www.gsk.com/media/pressreleases/2007/2007_06_01_GSK1053.htm" TargetMode="External"/><Relationship Id="rId198" Type="http://schemas.openxmlformats.org/officeDocument/2006/relationships/hyperlink" Target="http://www.gsk.com/media/pressreleases/2007/2007_04_27_GSK1020.htm" TargetMode="External"/><Relationship Id="rId202" Type="http://schemas.openxmlformats.org/officeDocument/2006/relationships/hyperlink" Target="http://www.gsk.com/media/pressreleases/2007/2007_04_17_GSK1015.htm" TargetMode="External"/><Relationship Id="rId223" Type="http://schemas.openxmlformats.org/officeDocument/2006/relationships/hyperlink" Target="http://www.gsk.com/media/pressreleases/2007/2007_02_26_GSK985.htm" TargetMode="External"/><Relationship Id="rId244" Type="http://schemas.openxmlformats.org/officeDocument/2006/relationships/hyperlink" Target="http://www.gsk.com/media/pressreleases/2007/2007_01_17_GSK957.htm" TargetMode="External"/><Relationship Id="rId18" Type="http://schemas.openxmlformats.org/officeDocument/2006/relationships/hyperlink" Target="http://www.gsk.com/media/pressreleases/2008/2008_pressrelease_10106.htm" TargetMode="External"/><Relationship Id="rId39" Type="http://schemas.openxmlformats.org/officeDocument/2006/relationships/hyperlink" Target="http://www.gsk.com/media/pressreleases/2008/2008_pressrelease_10053.htm" TargetMode="External"/><Relationship Id="rId50" Type="http://schemas.openxmlformats.org/officeDocument/2006/relationships/hyperlink" Target="http://www.gsk.com/media/pressreleases/2008/2008_pressrelease_10033.htm" TargetMode="External"/><Relationship Id="rId104" Type="http://schemas.openxmlformats.org/officeDocument/2006/relationships/hyperlink" Target="http://www.gsk.com/media/pressreleases/2007/2007_11_28_GSK1151.htm" TargetMode="External"/><Relationship Id="rId125" Type="http://schemas.openxmlformats.org/officeDocument/2006/relationships/hyperlink" Target="http://www.gsk.com/media/pressreleases/2007/2007_10_02_GSK1123.htm" TargetMode="External"/><Relationship Id="rId146" Type="http://schemas.openxmlformats.org/officeDocument/2006/relationships/hyperlink" Target="http://www.gsk.com/media/pressreleases/2007/2007_07_30_GSK1100.htm" TargetMode="External"/><Relationship Id="rId167" Type="http://schemas.openxmlformats.org/officeDocument/2006/relationships/hyperlink" Target="http://www.gsk.com/media/pressreleases/2007/2007_06_09_GSK1075.htm" TargetMode="External"/><Relationship Id="rId188" Type="http://schemas.openxmlformats.org/officeDocument/2006/relationships/hyperlink" Target="http://www.gsk.com/media/pressreleases/2007/2007_05_17_GSK1036.htm" TargetMode="External"/><Relationship Id="rId71" Type="http://schemas.openxmlformats.org/officeDocument/2006/relationships/hyperlink" Target="http://www.gsk.com/media/pressreleases/2008/2008_pressrelease_0116.htm" TargetMode="External"/><Relationship Id="rId92" Type="http://schemas.openxmlformats.org/officeDocument/2006/relationships/hyperlink" Target="http://www.gsk.com/media/pressreleases/2007/2007_12_16_GSK1166.htm" TargetMode="External"/><Relationship Id="rId213" Type="http://schemas.openxmlformats.org/officeDocument/2006/relationships/hyperlink" Target="http://www.gsk.com/media/pressreleases/2007/2007_03_26_GSK998.htm" TargetMode="External"/><Relationship Id="rId234" Type="http://schemas.openxmlformats.org/officeDocument/2006/relationships/hyperlink" Target="http://www.gsk.com/media/pressreleases/2007/2007_02_08_GSK968.htm" TargetMode="External"/><Relationship Id="rId2" Type="http://schemas.openxmlformats.org/officeDocument/2006/relationships/hyperlink" Target="http://www.gsk.com/media/pressreleases/2009/2009_pressrelease_10012.htm" TargetMode="External"/><Relationship Id="rId29" Type="http://schemas.openxmlformats.org/officeDocument/2006/relationships/hyperlink" Target="http://www.gsk.com/media/pressreleases/2008/2008_pressrelease_10071.htm" TargetMode="External"/><Relationship Id="rId40" Type="http://schemas.openxmlformats.org/officeDocument/2006/relationships/hyperlink" Target="http://www.gsk.com/media/pressreleases/2008/2008_pressrelease_10051.htm" TargetMode="External"/><Relationship Id="rId115" Type="http://schemas.openxmlformats.org/officeDocument/2006/relationships/hyperlink" Target="http://www.gsk.com/media/pressreleases/2007/2007_10_24_GSK1138.htm" TargetMode="External"/><Relationship Id="rId136" Type="http://schemas.openxmlformats.org/officeDocument/2006/relationships/hyperlink" Target="http://www.gsk.com/media/pressreleases/2007/2007_08_28_GSK1111.htm" TargetMode="External"/><Relationship Id="rId157" Type="http://schemas.openxmlformats.org/officeDocument/2006/relationships/hyperlink" Target="http://www.gsk.com/media/pressreleases/2007/2007_06_24_GSK1091.htm" TargetMode="External"/><Relationship Id="rId178" Type="http://schemas.openxmlformats.org/officeDocument/2006/relationships/hyperlink" Target="http://www.gsk.com/media/pressreleases/2007/2007_06_01_GSK1061.htm" TargetMode="External"/><Relationship Id="rId61" Type="http://schemas.openxmlformats.org/officeDocument/2006/relationships/hyperlink" Target="http://www.gsk.com/media/pressreleases/2008/2008_pressrelease_10020.htm" TargetMode="External"/><Relationship Id="rId82" Type="http://schemas.openxmlformats.org/officeDocument/2006/relationships/hyperlink" Target="http://www.gsk.com/media/pressreleases/2008/2008_pressrelease_0033.htm" TargetMode="External"/><Relationship Id="rId199" Type="http://schemas.openxmlformats.org/officeDocument/2006/relationships/hyperlink" Target="http://www.gsk.com/media/pressreleases/2007/2007_04_25_GSK1018.htm" TargetMode="External"/><Relationship Id="rId203" Type="http://schemas.openxmlformats.org/officeDocument/2006/relationships/hyperlink" Target="http://www.gsk.com/media/pressreleases/2007/2007_04_12_GSK1013.htm" TargetMode="External"/><Relationship Id="rId19" Type="http://schemas.openxmlformats.org/officeDocument/2006/relationships/hyperlink" Target="http://www.gsk.com/media/pressreleases/2008/2008_pressrelease_10107.htm" TargetMode="External"/><Relationship Id="rId224" Type="http://schemas.openxmlformats.org/officeDocument/2006/relationships/hyperlink" Target="http://www.gsk.com/media/pressreleases/2007/2007_02_21_GSK984.htm" TargetMode="External"/><Relationship Id="rId245" Type="http://schemas.openxmlformats.org/officeDocument/2006/relationships/hyperlink" Target="http://www.gsk.com/media/pressreleases/2007/2007_01_16_GSK956.htm" TargetMode="External"/><Relationship Id="rId30" Type="http://schemas.openxmlformats.org/officeDocument/2006/relationships/hyperlink" Target="http://www.gsk.com/media/pressreleases/2008/2008_pressrelease_10069.htm" TargetMode="External"/><Relationship Id="rId105" Type="http://schemas.openxmlformats.org/officeDocument/2006/relationships/hyperlink" Target="http://www.gsk.com/media/pressreleases/2007/2007_11_26_GSK1149.htm" TargetMode="External"/><Relationship Id="rId126" Type="http://schemas.openxmlformats.org/officeDocument/2006/relationships/hyperlink" Target="http://www.gsk.com/media/pressreleases/2007/2007_09_28_GSK1121.htm" TargetMode="External"/><Relationship Id="rId147" Type="http://schemas.openxmlformats.org/officeDocument/2006/relationships/hyperlink" Target="http://www.gsk.com/media/pressreleases/2007/2007_07_30_GSK1101.htm" TargetMode="External"/><Relationship Id="rId168" Type="http://schemas.openxmlformats.org/officeDocument/2006/relationships/hyperlink" Target="http://www.gsk.com/media/pressreleases/2007/2007_06_06_GSK1066.htm" TargetMode="External"/><Relationship Id="rId51" Type="http://schemas.openxmlformats.org/officeDocument/2006/relationships/hyperlink" Target="http://www.gsk.com/media/pressreleases/2008/2008_pressrelease_10034.htm" TargetMode="External"/><Relationship Id="rId72" Type="http://schemas.openxmlformats.org/officeDocument/2006/relationships/hyperlink" Target="http://www.gsk.com/media/pressreleases/2008/2008_pressrelease_0110.htm" TargetMode="External"/><Relationship Id="rId93" Type="http://schemas.openxmlformats.org/officeDocument/2006/relationships/hyperlink" Target="http://www.gsk.com/media/pressreleases/2007/2007_12_14_GSK1164.htm" TargetMode="External"/><Relationship Id="rId189" Type="http://schemas.openxmlformats.org/officeDocument/2006/relationships/hyperlink" Target="http://www.gsk.com/media/pressreleases/2007/2007_05_11_GSK1031.htm" TargetMode="External"/><Relationship Id="rId3" Type="http://schemas.openxmlformats.org/officeDocument/2006/relationships/hyperlink" Target="http://www.gsk.com/media/pressreleases/2009/2009_pressrelease_10011.htm" TargetMode="External"/><Relationship Id="rId214" Type="http://schemas.openxmlformats.org/officeDocument/2006/relationships/hyperlink" Target="http://www.gsk.com/media/pressreleases/2007/2007_03_23_GSK997.htm" TargetMode="External"/><Relationship Id="rId235" Type="http://schemas.openxmlformats.org/officeDocument/2006/relationships/hyperlink" Target="http://www.gsk.com/media/pressreleases/2007/2007_02_08_GSK969.htm" TargetMode="External"/><Relationship Id="rId116" Type="http://schemas.openxmlformats.org/officeDocument/2006/relationships/hyperlink" Target="http://www.gsk.com/media/pressreleases/2007/2007_10_23_GSK1135.htm" TargetMode="External"/><Relationship Id="rId137" Type="http://schemas.openxmlformats.org/officeDocument/2006/relationships/hyperlink" Target="http://www.gsk.com/media/pressreleases/2007/2007_08_16_GSK1109.htm" TargetMode="External"/><Relationship Id="rId158" Type="http://schemas.openxmlformats.org/officeDocument/2006/relationships/hyperlink" Target="http://www.gsk.com/media/pressreleases/2007/2007_06_22_GSK1087.htm" TargetMode="External"/><Relationship Id="rId20" Type="http://schemas.openxmlformats.org/officeDocument/2006/relationships/hyperlink" Target="http://www.gsk.com/media/pressreleases/2008/2008_pressrelease_10104.htm" TargetMode="External"/><Relationship Id="rId41" Type="http://schemas.openxmlformats.org/officeDocument/2006/relationships/hyperlink" Target="http://www.gsk.com/media/pressreleases/2008/2008_pressrelease_10048.htm" TargetMode="External"/><Relationship Id="rId62" Type="http://schemas.openxmlformats.org/officeDocument/2006/relationships/hyperlink" Target="http://www.gsk.com/media/pressreleases/2008/2008_pressrelease_0016.htm" TargetMode="External"/><Relationship Id="rId83" Type="http://schemas.openxmlformats.org/officeDocument/2006/relationships/hyperlink" Target="http://www.gsk.com/media/pressreleases/2008/2008_pressrelease_0025.htm" TargetMode="External"/><Relationship Id="rId179" Type="http://schemas.openxmlformats.org/officeDocument/2006/relationships/hyperlink" Target="http://www.gsk.com/media/pressreleases/2007/2007_05_30_GSK1052.htm" TargetMode="External"/><Relationship Id="rId190" Type="http://schemas.openxmlformats.org/officeDocument/2006/relationships/hyperlink" Target="http://www.gsk.com/media/pressreleases/2007/2007_05_10_GSK1029.htm" TargetMode="External"/><Relationship Id="rId204" Type="http://schemas.openxmlformats.org/officeDocument/2006/relationships/hyperlink" Target="http://www.gsk.com/media/pressreleases/2007/2007_04_12_GSK1014.htm" TargetMode="External"/><Relationship Id="rId225" Type="http://schemas.openxmlformats.org/officeDocument/2006/relationships/hyperlink" Target="http://www.gsk.com/media/pressreleases/2007/2007_02_20_GSK980.htm" TargetMode="External"/><Relationship Id="rId246" Type="http://schemas.openxmlformats.org/officeDocument/2006/relationships/hyperlink" Target="http://www.gsk.com/media/pressreleases/2007/2007_01_09_GSK955.htm" TargetMode="External"/><Relationship Id="rId106" Type="http://schemas.openxmlformats.org/officeDocument/2006/relationships/hyperlink" Target="http://www.gsk.com/media/pressreleases/2007/2007_11_23_GSK1148.htm" TargetMode="External"/><Relationship Id="rId127" Type="http://schemas.openxmlformats.org/officeDocument/2006/relationships/hyperlink" Target="http://www.gsk.com/media/pressreleases/2007/2007_09_28_GSK1122.ht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tract.asco.org/CatAbstView_55_3_AA.html" TargetMode="External"/><Relationship Id="rId2" Type="http://schemas.openxmlformats.org/officeDocument/2006/relationships/hyperlink" Target="http://www.abstract.asco.org/ConfCatView_55.html" TargetMode="External"/><Relationship Id="rId1" Type="http://schemas.openxmlformats.org/officeDocument/2006/relationships/hyperlink" Target="http://www.abstract.asco.org/CatAbstView_55_3_AA.html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://www.abstract.asco.org/ConfCatView_55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us.gsk.com/products/assets/us_imitrex_nasal_spray.pdf" TargetMode="Externa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2D0F-60F8-4418-9469-B9AA3E6C0ED6}">
  <dimension ref="B2:L393"/>
  <sheetViews>
    <sheetView workbookViewId="0"/>
  </sheetViews>
  <sheetFormatPr defaultRowHeight="12.75" x14ac:dyDescent="0.2"/>
  <cols>
    <col min="1" max="1" width="4" customWidth="1"/>
    <col min="3" max="3" width="27.7109375" bestFit="1" customWidth="1"/>
    <col min="4" max="4" width="17.85546875" bestFit="1" customWidth="1"/>
    <col min="5" max="5" width="17.5703125" customWidth="1"/>
    <col min="6" max="6" width="11.28515625" bestFit="1" customWidth="1"/>
    <col min="7" max="7" width="10.140625" bestFit="1" customWidth="1"/>
  </cols>
  <sheetData>
    <row r="2" spans="2:12" x14ac:dyDescent="0.2">
      <c r="B2" s="112" t="s">
        <v>1399</v>
      </c>
      <c r="C2" s="112" t="s">
        <v>580</v>
      </c>
      <c r="D2" s="112" t="s">
        <v>0</v>
      </c>
      <c r="E2" s="143" t="s">
        <v>1401</v>
      </c>
      <c r="F2" s="112" t="s">
        <v>223</v>
      </c>
      <c r="G2" s="112" t="s">
        <v>213</v>
      </c>
      <c r="H2" s="112" t="s">
        <v>3</v>
      </c>
    </row>
    <row r="3" spans="2:12" x14ac:dyDescent="0.2">
      <c r="B3" s="130" t="s">
        <v>68</v>
      </c>
      <c r="C3" s="112" t="s">
        <v>1400</v>
      </c>
      <c r="D3" s="131" t="s">
        <v>66</v>
      </c>
      <c r="E3" s="132" t="s">
        <v>1402</v>
      </c>
      <c r="F3" s="133">
        <v>1</v>
      </c>
      <c r="G3" s="131">
        <v>2000</v>
      </c>
      <c r="H3" s="134" t="s">
        <v>595</v>
      </c>
    </row>
    <row r="4" spans="2:12" x14ac:dyDescent="0.2">
      <c r="B4" s="130" t="s">
        <v>221</v>
      </c>
      <c r="C4" s="112" t="s">
        <v>1403</v>
      </c>
      <c r="D4" s="131" t="s">
        <v>66</v>
      </c>
      <c r="E4" s="133" t="s">
        <v>227</v>
      </c>
      <c r="F4" s="135" t="s">
        <v>588</v>
      </c>
      <c r="G4" s="131">
        <v>2003</v>
      </c>
      <c r="H4" s="65" t="s">
        <v>596</v>
      </c>
    </row>
    <row r="5" spans="2:12" x14ac:dyDescent="0.2">
      <c r="B5" t="s">
        <v>76</v>
      </c>
      <c r="D5" s="131" t="s">
        <v>336</v>
      </c>
      <c r="E5" s="133" t="s">
        <v>337</v>
      </c>
      <c r="F5" s="133" t="s">
        <v>400</v>
      </c>
      <c r="G5" s="131">
        <v>2005</v>
      </c>
      <c r="H5" s="131">
        <v>2012</v>
      </c>
    </row>
    <row r="6" spans="2:12" x14ac:dyDescent="0.2">
      <c r="B6" s="112" t="s">
        <v>1404</v>
      </c>
      <c r="C6" t="s">
        <v>1405</v>
      </c>
      <c r="D6" s="131" t="s">
        <v>15</v>
      </c>
      <c r="E6" s="133" t="s">
        <v>187</v>
      </c>
      <c r="F6" s="133">
        <v>1</v>
      </c>
      <c r="G6" s="131">
        <v>2005</v>
      </c>
      <c r="H6" s="131" t="s">
        <v>188</v>
      </c>
      <c r="L6" s="93" t="s">
        <v>700</v>
      </c>
    </row>
    <row r="7" spans="2:12" x14ac:dyDescent="0.2">
      <c r="B7" s="130" t="s">
        <v>14</v>
      </c>
      <c r="C7" t="s">
        <v>1406</v>
      </c>
      <c r="D7" s="131" t="s">
        <v>15</v>
      </c>
      <c r="E7" s="133" t="s">
        <v>322</v>
      </c>
      <c r="F7" s="133">
        <v>1</v>
      </c>
      <c r="G7" s="131">
        <v>1999</v>
      </c>
      <c r="H7" s="131" t="s">
        <v>319</v>
      </c>
      <c r="L7" s="76" t="s">
        <v>701</v>
      </c>
    </row>
    <row r="8" spans="2:12" x14ac:dyDescent="0.2">
      <c r="B8" t="s">
        <v>20</v>
      </c>
      <c r="D8" s="131" t="s">
        <v>21</v>
      </c>
      <c r="E8" s="131"/>
      <c r="F8" s="131" t="s">
        <v>22</v>
      </c>
      <c r="G8" s="131">
        <v>2008</v>
      </c>
      <c r="H8" s="141" t="s">
        <v>654</v>
      </c>
      <c r="L8" s="110" t="s">
        <v>1322</v>
      </c>
    </row>
    <row r="9" spans="2:12" x14ac:dyDescent="0.2">
      <c r="B9" s="112" t="s">
        <v>1407</v>
      </c>
      <c r="C9" t="s">
        <v>1408</v>
      </c>
      <c r="D9" s="131" t="s">
        <v>204</v>
      </c>
      <c r="E9" s="133" t="s">
        <v>397</v>
      </c>
      <c r="F9" s="133" t="s">
        <v>203</v>
      </c>
      <c r="G9" s="131">
        <v>2007</v>
      </c>
      <c r="H9" s="141" t="s">
        <v>653</v>
      </c>
      <c r="L9" s="110" t="s">
        <v>1262</v>
      </c>
    </row>
    <row r="10" spans="2:12" x14ac:dyDescent="0.2">
      <c r="B10" s="130" t="s">
        <v>82</v>
      </c>
      <c r="C10" s="112" t="s">
        <v>1152</v>
      </c>
      <c r="D10" s="131" t="s">
        <v>327</v>
      </c>
      <c r="E10" s="133" t="s">
        <v>698</v>
      </c>
      <c r="F10" s="133">
        <v>1</v>
      </c>
      <c r="G10" s="131">
        <v>2001</v>
      </c>
      <c r="H10" s="131" t="s">
        <v>699</v>
      </c>
      <c r="L10" s="77" t="s">
        <v>726</v>
      </c>
    </row>
    <row r="11" spans="2:12" x14ac:dyDescent="0.2">
      <c r="B11" s="112" t="s">
        <v>1411</v>
      </c>
      <c r="C11" s="112" t="s">
        <v>1412</v>
      </c>
      <c r="D11" s="131" t="s">
        <v>19</v>
      </c>
      <c r="E11" s="133" t="s">
        <v>325</v>
      </c>
      <c r="F11" s="133" t="s">
        <v>559</v>
      </c>
      <c r="G11" s="131">
        <v>2003</v>
      </c>
      <c r="H11" s="140"/>
      <c r="I11" s="131"/>
      <c r="L11" s="77" t="s">
        <v>760</v>
      </c>
    </row>
    <row r="12" spans="2:12" x14ac:dyDescent="0.2">
      <c r="B12" s="130" t="s">
        <v>1413</v>
      </c>
      <c r="C12" s="112" t="s">
        <v>237</v>
      </c>
      <c r="D12" s="141" t="s">
        <v>810</v>
      </c>
      <c r="E12" s="141" t="s">
        <v>650</v>
      </c>
      <c r="F12" s="132" t="s">
        <v>1414</v>
      </c>
      <c r="G12" s="142">
        <v>40105</v>
      </c>
      <c r="H12" s="141" t="s">
        <v>811</v>
      </c>
      <c r="L12" s="77" t="s">
        <v>761</v>
      </c>
    </row>
    <row r="13" spans="2:12" x14ac:dyDescent="0.2">
      <c r="B13" s="112" t="s">
        <v>1415</v>
      </c>
      <c r="C13" s="112" t="s">
        <v>1416</v>
      </c>
      <c r="D13" s="131" t="s">
        <v>198</v>
      </c>
      <c r="E13" s="131"/>
      <c r="F13" s="132" t="s">
        <v>1414</v>
      </c>
      <c r="G13" s="131">
        <v>2005</v>
      </c>
      <c r="H13" s="141" t="s">
        <v>653</v>
      </c>
      <c r="L13" s="77" t="s">
        <v>762</v>
      </c>
    </row>
    <row r="14" spans="2:12" x14ac:dyDescent="0.2">
      <c r="B14" s="84" t="s">
        <v>155</v>
      </c>
      <c r="C14" s="112" t="s">
        <v>1417</v>
      </c>
      <c r="D14" s="79" t="s">
        <v>137</v>
      </c>
      <c r="E14" s="85" t="s">
        <v>410</v>
      </c>
      <c r="F14" s="85">
        <v>1</v>
      </c>
      <c r="G14" s="95">
        <v>39142</v>
      </c>
      <c r="H14" s="89">
        <v>2020</v>
      </c>
      <c r="L14" s="110" t="s">
        <v>1109</v>
      </c>
    </row>
    <row r="15" spans="2:12" x14ac:dyDescent="0.2">
      <c r="B15" s="84" t="s">
        <v>603</v>
      </c>
      <c r="C15" s="112" t="s">
        <v>427</v>
      </c>
      <c r="D15" s="115" t="s">
        <v>1163</v>
      </c>
      <c r="E15" s="79" t="s">
        <v>404</v>
      </c>
      <c r="F15" s="85" t="s">
        <v>239</v>
      </c>
      <c r="G15" s="79">
        <v>2009</v>
      </c>
      <c r="H15" s="86" t="s">
        <v>602</v>
      </c>
      <c r="L15" s="76" t="s">
        <v>832</v>
      </c>
    </row>
    <row r="16" spans="2:12" x14ac:dyDescent="0.2">
      <c r="B16" s="84" t="s">
        <v>1418</v>
      </c>
      <c r="C16" s="112" t="s">
        <v>199</v>
      </c>
      <c r="D16" s="79" t="s">
        <v>144</v>
      </c>
      <c r="E16" s="79" t="s">
        <v>403</v>
      </c>
      <c r="F16" s="85" t="s">
        <v>313</v>
      </c>
      <c r="G16" s="95">
        <v>39753</v>
      </c>
      <c r="H16" s="86" t="s">
        <v>651</v>
      </c>
      <c r="L16" s="110" t="s">
        <v>1151</v>
      </c>
    </row>
    <row r="17" spans="2:12" x14ac:dyDescent="0.2">
      <c r="B17" s="84" t="s">
        <v>64</v>
      </c>
      <c r="C17" s="112" t="s">
        <v>1419</v>
      </c>
      <c r="D17" s="79" t="s">
        <v>328</v>
      </c>
      <c r="E17" s="85" t="s">
        <v>766</v>
      </c>
      <c r="F17" s="85">
        <v>1</v>
      </c>
      <c r="G17" s="79">
        <v>1997</v>
      </c>
      <c r="H17" s="89" t="s">
        <v>344</v>
      </c>
      <c r="L17" s="110" t="s">
        <v>1191</v>
      </c>
    </row>
    <row r="18" spans="2:12" x14ac:dyDescent="0.2">
      <c r="B18" s="94" t="s">
        <v>355</v>
      </c>
      <c r="D18" s="79" t="s">
        <v>357</v>
      </c>
      <c r="E18" s="85" t="s">
        <v>767</v>
      </c>
      <c r="F18" s="85">
        <v>1</v>
      </c>
      <c r="G18" s="79">
        <v>2004</v>
      </c>
      <c r="H18" s="86" t="s">
        <v>655</v>
      </c>
      <c r="L18" s="110" t="s">
        <v>1236</v>
      </c>
    </row>
    <row r="19" spans="2:12" x14ac:dyDescent="0.2">
      <c r="B19" s="84" t="s">
        <v>67</v>
      </c>
      <c r="C19" s="112" t="s">
        <v>1420</v>
      </c>
      <c r="D19" s="79" t="s">
        <v>66</v>
      </c>
      <c r="E19" s="85" t="s">
        <v>217</v>
      </c>
      <c r="F19" s="85">
        <v>1</v>
      </c>
      <c r="G19" s="79">
        <v>1997</v>
      </c>
      <c r="H19" s="86" t="s">
        <v>589</v>
      </c>
    </row>
    <row r="20" spans="2:12" x14ac:dyDescent="0.2">
      <c r="B20" s="114" t="s">
        <v>1421</v>
      </c>
      <c r="C20" s="112" t="s">
        <v>1422</v>
      </c>
      <c r="D20" s="79" t="s">
        <v>19</v>
      </c>
      <c r="E20" s="85" t="s">
        <v>325</v>
      </c>
      <c r="F20" s="85">
        <v>1</v>
      </c>
      <c r="G20" s="79" t="s">
        <v>764</v>
      </c>
      <c r="H20" s="89" t="s">
        <v>765</v>
      </c>
    </row>
    <row r="21" spans="2:12" x14ac:dyDescent="0.2">
      <c r="B21" s="94" t="s">
        <v>438</v>
      </c>
      <c r="C21" s="79" t="s">
        <v>328</v>
      </c>
      <c r="D21" s="79" t="s">
        <v>766</v>
      </c>
      <c r="E21" s="85">
        <v>1</v>
      </c>
      <c r="F21" s="95">
        <v>39630</v>
      </c>
      <c r="G21" s="127"/>
      <c r="H21" s="89" t="s">
        <v>439</v>
      </c>
      <c r="L21" s="92" t="s">
        <v>369</v>
      </c>
    </row>
    <row r="22" spans="2:12" x14ac:dyDescent="0.2">
      <c r="B22" s="84" t="s">
        <v>62</v>
      </c>
      <c r="C22" s="79" t="s">
        <v>94</v>
      </c>
      <c r="D22" s="79" t="s">
        <v>433</v>
      </c>
      <c r="E22" s="79" t="s">
        <v>95</v>
      </c>
      <c r="F22" s="79">
        <v>2008</v>
      </c>
      <c r="G22" s="127" t="s">
        <v>434</v>
      </c>
      <c r="H22" s="86" t="s">
        <v>652</v>
      </c>
      <c r="L22" s="76" t="s">
        <v>649</v>
      </c>
    </row>
    <row r="23" spans="2:12" x14ac:dyDescent="0.2">
      <c r="B23" s="84" t="s">
        <v>1225</v>
      </c>
      <c r="C23" s="79" t="s">
        <v>328</v>
      </c>
      <c r="D23" s="79" t="s">
        <v>342</v>
      </c>
      <c r="E23" s="79" t="s">
        <v>341</v>
      </c>
      <c r="F23" s="97">
        <v>40639</v>
      </c>
      <c r="G23" s="125" t="s">
        <v>771</v>
      </c>
      <c r="H23" s="86" t="s">
        <v>772</v>
      </c>
      <c r="L23" s="76"/>
    </row>
    <row r="24" spans="2:12" x14ac:dyDescent="0.2">
      <c r="B24" s="114" t="s">
        <v>1142</v>
      </c>
      <c r="C24" s="115" t="s">
        <v>92</v>
      </c>
      <c r="D24" s="88"/>
      <c r="E24" s="116" t="s">
        <v>1143</v>
      </c>
      <c r="F24" s="88"/>
      <c r="G24" s="125"/>
      <c r="H24" s="86"/>
      <c r="L24" s="76"/>
    </row>
    <row r="25" spans="2:12" x14ac:dyDescent="0.2">
      <c r="B25" s="84" t="s">
        <v>1122</v>
      </c>
      <c r="C25" s="115" t="s">
        <v>1123</v>
      </c>
      <c r="D25" s="85"/>
      <c r="E25" s="116" t="s">
        <v>1124</v>
      </c>
      <c r="F25" s="79">
        <v>1999</v>
      </c>
      <c r="G25" s="127"/>
      <c r="H25" s="86"/>
      <c r="L25" s="76"/>
    </row>
    <row r="26" spans="2:12" x14ac:dyDescent="0.2">
      <c r="B26" s="94" t="s">
        <v>381</v>
      </c>
      <c r="C26" s="79" t="s">
        <v>382</v>
      </c>
      <c r="D26" s="85" t="s">
        <v>380</v>
      </c>
      <c r="E26" s="85">
        <v>1</v>
      </c>
      <c r="F26" s="79"/>
      <c r="G26" s="127"/>
      <c r="H26" s="86" t="s">
        <v>380</v>
      </c>
      <c r="L26" s="111" t="s">
        <v>1110</v>
      </c>
    </row>
    <row r="27" spans="2:12" x14ac:dyDescent="0.2">
      <c r="B27" s="114" t="s">
        <v>503</v>
      </c>
      <c r="C27" s="79" t="s">
        <v>509</v>
      </c>
      <c r="D27" s="85" t="s">
        <v>380</v>
      </c>
      <c r="E27" s="85">
        <v>1</v>
      </c>
      <c r="F27" s="79"/>
      <c r="G27" s="86" t="s">
        <v>380</v>
      </c>
      <c r="H27" s="88"/>
      <c r="L27" s="110" t="s">
        <v>1118</v>
      </c>
    </row>
    <row r="28" spans="2:12" x14ac:dyDescent="0.2">
      <c r="B28" s="84" t="s">
        <v>1237</v>
      </c>
      <c r="C28" s="115" t="s">
        <v>1156</v>
      </c>
      <c r="D28" s="116" t="s">
        <v>380</v>
      </c>
      <c r="E28" s="85">
        <v>1</v>
      </c>
      <c r="F28" s="79">
        <v>2010</v>
      </c>
      <c r="G28" s="86"/>
      <c r="H28" s="88"/>
      <c r="L28" s="110" t="s">
        <v>1111</v>
      </c>
    </row>
    <row r="29" spans="2:12" x14ac:dyDescent="0.2">
      <c r="B29" s="94" t="s">
        <v>383</v>
      </c>
      <c r="C29" s="79" t="s">
        <v>384</v>
      </c>
      <c r="D29" s="85" t="s">
        <v>380</v>
      </c>
      <c r="E29" s="85">
        <v>1</v>
      </c>
      <c r="F29" s="79"/>
      <c r="G29" s="86" t="s">
        <v>380</v>
      </c>
      <c r="H29" s="88"/>
      <c r="L29" s="110" t="s">
        <v>1181</v>
      </c>
    </row>
    <row r="30" spans="2:12" x14ac:dyDescent="0.2">
      <c r="B30" s="84" t="s">
        <v>324</v>
      </c>
      <c r="C30" s="79" t="s">
        <v>326</v>
      </c>
      <c r="D30" s="85" t="s">
        <v>103</v>
      </c>
      <c r="E30" s="85">
        <v>1</v>
      </c>
      <c r="F30" s="79">
        <v>1994</v>
      </c>
      <c r="G30" s="86" t="s">
        <v>587</v>
      </c>
      <c r="H30" s="88"/>
      <c r="L30" s="110" t="s">
        <v>1309</v>
      </c>
    </row>
    <row r="31" spans="2:12" x14ac:dyDescent="0.2">
      <c r="B31" s="91" t="s">
        <v>578</v>
      </c>
      <c r="C31" s="79" t="s">
        <v>94</v>
      </c>
      <c r="D31" s="85" t="s">
        <v>195</v>
      </c>
      <c r="E31" s="85">
        <v>1</v>
      </c>
      <c r="F31" s="79">
        <v>1995</v>
      </c>
      <c r="G31" s="86" t="s">
        <v>580</v>
      </c>
      <c r="H31" s="88"/>
    </row>
    <row r="32" spans="2:12" x14ac:dyDescent="0.2">
      <c r="B32" s="84" t="s">
        <v>72</v>
      </c>
      <c r="C32" s="79" t="s">
        <v>71</v>
      </c>
      <c r="D32" s="90" t="s">
        <v>574</v>
      </c>
      <c r="E32" s="85">
        <v>1</v>
      </c>
      <c r="F32" s="79">
        <v>1995</v>
      </c>
      <c r="G32" s="89" t="s">
        <v>254</v>
      </c>
      <c r="H32" s="88"/>
      <c r="L32" s="112" t="s">
        <v>1311</v>
      </c>
    </row>
    <row r="33" spans="2:12" x14ac:dyDescent="0.2">
      <c r="B33" s="84" t="s">
        <v>576</v>
      </c>
      <c r="C33" s="79" t="s">
        <v>374</v>
      </c>
      <c r="D33" s="85" t="s">
        <v>375</v>
      </c>
      <c r="E33" s="85">
        <v>1</v>
      </c>
      <c r="F33" s="79">
        <v>1994</v>
      </c>
      <c r="G33" s="89" t="s">
        <v>580</v>
      </c>
      <c r="H33" s="88"/>
      <c r="L33" s="112"/>
    </row>
    <row r="34" spans="2:12" x14ac:dyDescent="0.2">
      <c r="B34" s="84" t="s">
        <v>320</v>
      </c>
      <c r="C34" s="79" t="s">
        <v>321</v>
      </c>
      <c r="D34" s="79" t="s">
        <v>375</v>
      </c>
      <c r="E34" s="85">
        <v>1</v>
      </c>
      <c r="F34" s="183">
        <v>39962</v>
      </c>
      <c r="G34" s="89" t="s">
        <v>561</v>
      </c>
      <c r="H34" s="88"/>
      <c r="L34" s="112"/>
    </row>
    <row r="35" spans="2:12" x14ac:dyDescent="0.2">
      <c r="B35" s="84" t="s">
        <v>398</v>
      </c>
      <c r="C35" s="79" t="s">
        <v>335</v>
      </c>
      <c r="D35" s="85" t="s">
        <v>399</v>
      </c>
      <c r="E35" s="85">
        <v>1</v>
      </c>
      <c r="F35" s="79">
        <v>2001</v>
      </c>
      <c r="G35" s="86" t="s">
        <v>824</v>
      </c>
      <c r="H35" s="88"/>
      <c r="L35" s="112"/>
    </row>
    <row r="36" spans="2:12" x14ac:dyDescent="0.2">
      <c r="B36" s="84" t="s">
        <v>1203</v>
      </c>
      <c r="C36" s="88" t="s">
        <v>335</v>
      </c>
      <c r="D36" s="90" t="s">
        <v>217</v>
      </c>
      <c r="E36" s="85">
        <v>1</v>
      </c>
      <c r="F36" s="79">
        <v>2010</v>
      </c>
      <c r="G36" s="86" t="s">
        <v>824</v>
      </c>
      <c r="H36" s="88"/>
      <c r="L36" s="112"/>
    </row>
    <row r="37" spans="2:12" x14ac:dyDescent="0.2">
      <c r="B37" s="84" t="s">
        <v>314</v>
      </c>
      <c r="C37" s="79" t="s">
        <v>92</v>
      </c>
      <c r="D37" s="85" t="s">
        <v>105</v>
      </c>
      <c r="E37" s="85">
        <v>1</v>
      </c>
      <c r="F37" s="95">
        <v>39203</v>
      </c>
      <c r="G37" s="89">
        <v>2021</v>
      </c>
      <c r="H37" s="88"/>
      <c r="L37" s="112"/>
    </row>
    <row r="38" spans="2:12" x14ac:dyDescent="0.2">
      <c r="B38" s="207"/>
      <c r="C38" s="79"/>
      <c r="D38" s="90"/>
      <c r="E38" s="85"/>
      <c r="F38" s="79"/>
      <c r="G38" s="208"/>
      <c r="H38" s="88"/>
      <c r="L38" s="112"/>
    </row>
    <row r="39" spans="2:12" x14ac:dyDescent="0.2">
      <c r="B39" s="207"/>
      <c r="C39" s="79"/>
      <c r="D39" s="90"/>
      <c r="E39" s="85"/>
      <c r="F39" s="79"/>
      <c r="G39" s="208"/>
      <c r="H39" s="88"/>
      <c r="L39" s="112"/>
    </row>
    <row r="40" spans="2:12" x14ac:dyDescent="0.2">
      <c r="B40" s="207"/>
      <c r="C40" s="79"/>
      <c r="D40" s="90"/>
      <c r="E40" s="85"/>
      <c r="F40" s="79"/>
      <c r="G40" s="208"/>
      <c r="H40" s="88"/>
      <c r="L40" s="112"/>
    </row>
    <row r="41" spans="2:12" x14ac:dyDescent="0.2">
      <c r="B41" t="s">
        <v>402</v>
      </c>
      <c r="D41" s="131" t="s">
        <v>256</v>
      </c>
      <c r="E41" s="131" t="s">
        <v>401</v>
      </c>
      <c r="F41" s="133" t="s">
        <v>244</v>
      </c>
      <c r="G41" s="141" t="s">
        <v>330</v>
      </c>
      <c r="L41" s="65" t="s">
        <v>782</v>
      </c>
    </row>
    <row r="42" spans="2:12" x14ac:dyDescent="0.2">
      <c r="B42" s="84" t="s">
        <v>1314</v>
      </c>
      <c r="C42" s="79" t="s">
        <v>206</v>
      </c>
      <c r="D42" s="115" t="s">
        <v>1302</v>
      </c>
      <c r="E42" s="85" t="s">
        <v>244</v>
      </c>
      <c r="F42" s="88" t="s">
        <v>330</v>
      </c>
      <c r="G42" s="126" t="s">
        <v>1303</v>
      </c>
      <c r="H42" s="89"/>
      <c r="L42" s="112" t="s">
        <v>1182</v>
      </c>
    </row>
    <row r="43" spans="2:12" x14ac:dyDescent="0.2">
      <c r="B43" s="84" t="s">
        <v>1315</v>
      </c>
      <c r="C43" s="88" t="s">
        <v>739</v>
      </c>
      <c r="D43" s="88" t="s">
        <v>829</v>
      </c>
      <c r="E43" s="90">
        <v>1</v>
      </c>
      <c r="F43" s="115" t="s">
        <v>1333</v>
      </c>
      <c r="G43" s="125" t="s">
        <v>400</v>
      </c>
      <c r="H43" s="86"/>
      <c r="L43" s="112" t="s">
        <v>1198</v>
      </c>
    </row>
    <row r="44" spans="2:12" x14ac:dyDescent="0.2">
      <c r="B44" s="114" t="s">
        <v>1305</v>
      </c>
      <c r="C44" s="115" t="s">
        <v>66</v>
      </c>
      <c r="D44" s="115" t="s">
        <v>1306</v>
      </c>
      <c r="E44" s="116" t="s">
        <v>1307</v>
      </c>
      <c r="F44" s="115" t="s">
        <v>170</v>
      </c>
      <c r="G44" s="127"/>
      <c r="H44" s="89"/>
      <c r="L44" s="112" t="s">
        <v>1168</v>
      </c>
    </row>
    <row r="45" spans="2:12" x14ac:dyDescent="0.2">
      <c r="B45" s="114" t="s">
        <v>338</v>
      </c>
      <c r="C45" s="88" t="s">
        <v>6</v>
      </c>
      <c r="D45" s="88" t="s">
        <v>347</v>
      </c>
      <c r="E45" s="90" t="s">
        <v>339</v>
      </c>
      <c r="F45" s="88" t="s">
        <v>170</v>
      </c>
      <c r="G45" s="125" t="s">
        <v>430</v>
      </c>
      <c r="H45" s="101"/>
      <c r="L45" s="112" t="s">
        <v>1214</v>
      </c>
    </row>
    <row r="46" spans="2:12" x14ac:dyDescent="0.2">
      <c r="B46" s="94" t="s">
        <v>750</v>
      </c>
      <c r="C46" s="79" t="s">
        <v>751</v>
      </c>
      <c r="D46" s="79" t="s">
        <v>405</v>
      </c>
      <c r="E46" s="85">
        <v>1</v>
      </c>
      <c r="F46" s="79" t="s">
        <v>170</v>
      </c>
      <c r="G46" s="127"/>
      <c r="H46" s="89"/>
      <c r="L46" s="112" t="s">
        <v>1312</v>
      </c>
    </row>
    <row r="47" spans="2:12" x14ac:dyDescent="0.2">
      <c r="B47" s="102" t="s">
        <v>122</v>
      </c>
      <c r="C47" s="79" t="s">
        <v>19</v>
      </c>
      <c r="D47" s="79"/>
      <c r="E47" s="85">
        <v>1</v>
      </c>
      <c r="F47" s="79" t="s">
        <v>170</v>
      </c>
      <c r="G47" s="127"/>
      <c r="H47" s="89"/>
    </row>
    <row r="48" spans="2:12" x14ac:dyDescent="0.2">
      <c r="B48" s="119" t="s">
        <v>1264</v>
      </c>
      <c r="C48" s="88" t="s">
        <v>66</v>
      </c>
      <c r="D48" s="88" t="s">
        <v>592</v>
      </c>
      <c r="E48" s="90" t="s">
        <v>593</v>
      </c>
      <c r="F48" s="115" t="s">
        <v>330</v>
      </c>
      <c r="G48" s="125" t="s">
        <v>594</v>
      </c>
      <c r="H48" s="89"/>
    </row>
    <row r="49" spans="2:8" x14ac:dyDescent="0.2">
      <c r="B49" s="114" t="s">
        <v>1169</v>
      </c>
      <c r="C49" s="115" t="s">
        <v>1170</v>
      </c>
      <c r="D49" s="115" t="s">
        <v>380</v>
      </c>
      <c r="E49" s="90">
        <v>1</v>
      </c>
      <c r="F49" s="115" t="s">
        <v>330</v>
      </c>
      <c r="G49" s="125"/>
      <c r="H49" s="86"/>
    </row>
    <row r="50" spans="2:8" x14ac:dyDescent="0.2">
      <c r="B50" s="114" t="s">
        <v>1241</v>
      </c>
      <c r="C50" s="115" t="s">
        <v>1242</v>
      </c>
      <c r="D50" s="115" t="s">
        <v>380</v>
      </c>
      <c r="E50" s="116" t="s">
        <v>1243</v>
      </c>
      <c r="F50" s="115" t="s">
        <v>330</v>
      </c>
      <c r="G50" s="125"/>
      <c r="H50" s="86"/>
    </row>
    <row r="51" spans="2:8" x14ac:dyDescent="0.2">
      <c r="B51" s="99" t="s">
        <v>746</v>
      </c>
      <c r="C51" s="88" t="s">
        <v>256</v>
      </c>
      <c r="D51" s="88" t="s">
        <v>401</v>
      </c>
      <c r="E51" s="90" t="s">
        <v>244</v>
      </c>
      <c r="F51" s="88" t="s">
        <v>170</v>
      </c>
    </row>
    <row r="52" spans="2:8" x14ac:dyDescent="0.2">
      <c r="B52" s="103" t="s">
        <v>768</v>
      </c>
      <c r="C52" s="88" t="s">
        <v>769</v>
      </c>
      <c r="D52" s="88" t="s">
        <v>770</v>
      </c>
      <c r="E52" s="90" t="s">
        <v>734</v>
      </c>
      <c r="F52" s="88" t="s">
        <v>170</v>
      </c>
      <c r="G52" s="89"/>
    </row>
    <row r="53" spans="2:8" x14ac:dyDescent="0.2">
      <c r="B53" s="91" t="s">
        <v>565</v>
      </c>
      <c r="C53" s="88" t="s">
        <v>563</v>
      </c>
      <c r="D53" s="88" t="s">
        <v>564</v>
      </c>
      <c r="E53" s="90" t="s">
        <v>548</v>
      </c>
      <c r="F53" s="88" t="s">
        <v>170</v>
      </c>
      <c r="G53" s="89"/>
    </row>
    <row r="54" spans="2:8" x14ac:dyDescent="0.2">
      <c r="B54" s="84" t="s">
        <v>836</v>
      </c>
      <c r="C54" s="88" t="s">
        <v>818</v>
      </c>
      <c r="D54" s="88" t="s">
        <v>837</v>
      </c>
      <c r="E54" s="90" t="s">
        <v>819</v>
      </c>
      <c r="F54" s="88" t="s">
        <v>330</v>
      </c>
      <c r="G54" s="86"/>
    </row>
    <row r="55" spans="2:8" x14ac:dyDescent="0.2">
      <c r="B55" s="103" t="s">
        <v>755</v>
      </c>
      <c r="C55" s="88" t="s">
        <v>206</v>
      </c>
      <c r="D55" s="88" t="s">
        <v>756</v>
      </c>
      <c r="E55" s="90">
        <v>1</v>
      </c>
      <c r="F55" s="88" t="s">
        <v>170</v>
      </c>
      <c r="G55" s="89"/>
    </row>
    <row r="56" spans="2:8" x14ac:dyDescent="0.2">
      <c r="B56" s="103">
        <v>1292263</v>
      </c>
      <c r="C56" s="88" t="s">
        <v>206</v>
      </c>
      <c r="D56" s="88" t="s">
        <v>757</v>
      </c>
      <c r="E56" s="90">
        <v>1</v>
      </c>
      <c r="F56" s="88" t="s">
        <v>170</v>
      </c>
      <c r="G56" s="89"/>
    </row>
    <row r="57" spans="2:8" x14ac:dyDescent="0.2">
      <c r="B57" s="103" t="s">
        <v>758</v>
      </c>
      <c r="C57" s="88" t="s">
        <v>759</v>
      </c>
      <c r="D57" s="88" t="s">
        <v>749</v>
      </c>
      <c r="E57" s="90">
        <v>1</v>
      </c>
      <c r="F57" s="88" t="s">
        <v>170</v>
      </c>
      <c r="G57" s="89"/>
    </row>
    <row r="58" spans="2:8" x14ac:dyDescent="0.2">
      <c r="B58" s="99" t="s">
        <v>747</v>
      </c>
      <c r="C58" s="88" t="s">
        <v>748</v>
      </c>
      <c r="D58" s="88" t="s">
        <v>749</v>
      </c>
      <c r="E58" s="90">
        <v>1</v>
      </c>
      <c r="F58" s="88" t="s">
        <v>170</v>
      </c>
      <c r="G58" s="89"/>
    </row>
    <row r="62" spans="2:8" x14ac:dyDescent="0.2">
      <c r="C62" s="110" t="s">
        <v>1138</v>
      </c>
    </row>
    <row r="63" spans="2:8" x14ac:dyDescent="0.2">
      <c r="C63" s="110" t="s">
        <v>1318</v>
      </c>
    </row>
    <row r="64" spans="2:8" x14ac:dyDescent="0.2">
      <c r="C64" s="110" t="s">
        <v>1324</v>
      </c>
    </row>
    <row r="66" spans="3:3" x14ac:dyDescent="0.2">
      <c r="C66" s="109" t="s">
        <v>214</v>
      </c>
    </row>
    <row r="67" spans="3:3" x14ac:dyDescent="0.2">
      <c r="C67" s="109" t="s">
        <v>312</v>
      </c>
    </row>
    <row r="68" spans="3:3" x14ac:dyDescent="0.2">
      <c r="C68" s="109" t="s">
        <v>437</v>
      </c>
    </row>
    <row r="69" spans="3:3" x14ac:dyDescent="0.2">
      <c r="C69" s="109" t="s">
        <v>512</v>
      </c>
    </row>
    <row r="70" spans="3:3" x14ac:dyDescent="0.2">
      <c r="C70" s="109" t="s">
        <v>452</v>
      </c>
    </row>
    <row r="71" spans="3:3" x14ac:dyDescent="0.2">
      <c r="C71" s="109" t="s">
        <v>613</v>
      </c>
    </row>
    <row r="72" spans="3:3" x14ac:dyDescent="0.2">
      <c r="C72" s="109" t="s">
        <v>1310</v>
      </c>
    </row>
    <row r="73" spans="3:3" x14ac:dyDescent="0.2">
      <c r="C73" s="109" t="s">
        <v>586</v>
      </c>
    </row>
    <row r="74" spans="3:3" x14ac:dyDescent="0.2">
      <c r="C74" s="109" t="s">
        <v>1291</v>
      </c>
    </row>
    <row r="75" spans="3:3" x14ac:dyDescent="0.2">
      <c r="C75" s="109" t="s">
        <v>1290</v>
      </c>
    </row>
    <row r="76" spans="3:3" x14ac:dyDescent="0.2">
      <c r="C76" s="109" t="s">
        <v>1288</v>
      </c>
    </row>
    <row r="77" spans="3:3" x14ac:dyDescent="0.2">
      <c r="C77" s="109" t="s">
        <v>1279</v>
      </c>
    </row>
    <row r="78" spans="3:3" x14ac:dyDescent="0.2">
      <c r="C78" s="109" t="s">
        <v>1257</v>
      </c>
    </row>
    <row r="79" spans="3:3" x14ac:dyDescent="0.2">
      <c r="C79" s="109" t="s">
        <v>1239</v>
      </c>
    </row>
    <row r="80" spans="3:3" x14ac:dyDescent="0.2">
      <c r="C80" s="109" t="s">
        <v>610</v>
      </c>
    </row>
    <row r="81" spans="3:3" x14ac:dyDescent="0.2">
      <c r="C81" s="109" t="s">
        <v>611</v>
      </c>
    </row>
    <row r="82" spans="3:3" x14ac:dyDescent="0.2">
      <c r="C82" s="109" t="s">
        <v>612</v>
      </c>
    </row>
    <row r="83" spans="3:3" x14ac:dyDescent="0.2">
      <c r="C83" s="109" t="s">
        <v>1197</v>
      </c>
    </row>
    <row r="84" spans="3:3" x14ac:dyDescent="0.2">
      <c r="C84" s="109" t="s">
        <v>781</v>
      </c>
    </row>
    <row r="85" spans="3:3" x14ac:dyDescent="0.2">
      <c r="C85" s="109" t="s">
        <v>855</v>
      </c>
    </row>
    <row r="86" spans="3:3" x14ac:dyDescent="0.2">
      <c r="C86" s="109" t="s">
        <v>854</v>
      </c>
    </row>
    <row r="87" spans="3:3" x14ac:dyDescent="0.2">
      <c r="C87" s="109" t="s">
        <v>853</v>
      </c>
    </row>
    <row r="88" spans="3:3" x14ac:dyDescent="0.2">
      <c r="C88" s="109" t="s">
        <v>838</v>
      </c>
    </row>
    <row r="148" spans="3:3" x14ac:dyDescent="0.2">
      <c r="C148" s="96" t="s">
        <v>865</v>
      </c>
    </row>
    <row r="149" spans="3:3" x14ac:dyDescent="0.2">
      <c r="C149" s="96" t="s">
        <v>866</v>
      </c>
    </row>
    <row r="150" spans="3:3" x14ac:dyDescent="0.2">
      <c r="C150" s="96" t="s">
        <v>867</v>
      </c>
    </row>
    <row r="151" spans="3:3" x14ac:dyDescent="0.2">
      <c r="C151" s="96" t="s">
        <v>868</v>
      </c>
    </row>
    <row r="152" spans="3:3" x14ac:dyDescent="0.2">
      <c r="C152" s="96" t="s">
        <v>869</v>
      </c>
    </row>
    <row r="153" spans="3:3" x14ac:dyDescent="0.2">
      <c r="C153" s="96" t="s">
        <v>870</v>
      </c>
    </row>
    <row r="154" spans="3:3" x14ac:dyDescent="0.2">
      <c r="C154" s="96" t="s">
        <v>871</v>
      </c>
    </row>
    <row r="155" spans="3:3" x14ac:dyDescent="0.2">
      <c r="C155" s="96" t="s">
        <v>872</v>
      </c>
    </row>
    <row r="156" spans="3:3" x14ac:dyDescent="0.2">
      <c r="C156" s="96" t="s">
        <v>873</v>
      </c>
    </row>
    <row r="157" spans="3:3" x14ac:dyDescent="0.2">
      <c r="C157" s="96" t="s">
        <v>874</v>
      </c>
    </row>
    <row r="158" spans="3:3" x14ac:dyDescent="0.2">
      <c r="C158" s="96" t="s">
        <v>875</v>
      </c>
    </row>
    <row r="159" spans="3:3" x14ac:dyDescent="0.2">
      <c r="C159" s="96" t="s">
        <v>876</v>
      </c>
    </row>
    <row r="160" spans="3:3" x14ac:dyDescent="0.2">
      <c r="C160" s="96" t="s">
        <v>877</v>
      </c>
    </row>
    <row r="161" spans="3:3" x14ac:dyDescent="0.2">
      <c r="C161" s="96" t="s">
        <v>878</v>
      </c>
    </row>
    <row r="162" spans="3:3" x14ac:dyDescent="0.2">
      <c r="C162" s="96" t="s">
        <v>879</v>
      </c>
    </row>
    <row r="163" spans="3:3" x14ac:dyDescent="0.2">
      <c r="C163" s="96" t="s">
        <v>880</v>
      </c>
    </row>
    <row r="164" spans="3:3" x14ac:dyDescent="0.2">
      <c r="C164" s="96" t="s">
        <v>881</v>
      </c>
    </row>
    <row r="165" spans="3:3" x14ac:dyDescent="0.2">
      <c r="C165" s="96" t="s">
        <v>882</v>
      </c>
    </row>
    <row r="166" spans="3:3" x14ac:dyDescent="0.2">
      <c r="C166" s="96" t="s">
        <v>883</v>
      </c>
    </row>
    <row r="167" spans="3:3" x14ac:dyDescent="0.2">
      <c r="C167" s="96" t="s">
        <v>884</v>
      </c>
    </row>
    <row r="168" spans="3:3" x14ac:dyDescent="0.2">
      <c r="C168" s="96" t="s">
        <v>885</v>
      </c>
    </row>
    <row r="169" spans="3:3" x14ac:dyDescent="0.2">
      <c r="C169" s="96" t="s">
        <v>886</v>
      </c>
    </row>
    <row r="170" spans="3:3" x14ac:dyDescent="0.2">
      <c r="C170" s="96" t="s">
        <v>887</v>
      </c>
    </row>
    <row r="171" spans="3:3" x14ac:dyDescent="0.2">
      <c r="C171" s="96" t="s">
        <v>888</v>
      </c>
    </row>
    <row r="172" spans="3:3" x14ac:dyDescent="0.2">
      <c r="C172" s="96" t="s">
        <v>889</v>
      </c>
    </row>
    <row r="173" spans="3:3" x14ac:dyDescent="0.2">
      <c r="C173" s="96" t="s">
        <v>890</v>
      </c>
    </row>
    <row r="174" spans="3:3" x14ac:dyDescent="0.2">
      <c r="C174" s="96" t="s">
        <v>891</v>
      </c>
    </row>
    <row r="175" spans="3:3" x14ac:dyDescent="0.2">
      <c r="C175" s="96" t="s">
        <v>892</v>
      </c>
    </row>
    <row r="176" spans="3:3" x14ac:dyDescent="0.2">
      <c r="C176" s="96" t="s">
        <v>893</v>
      </c>
    </row>
    <row r="177" spans="3:3" x14ac:dyDescent="0.2">
      <c r="C177" s="96" t="s">
        <v>894</v>
      </c>
    </row>
    <row r="178" spans="3:3" x14ac:dyDescent="0.2">
      <c r="C178" s="96" t="s">
        <v>895</v>
      </c>
    </row>
    <row r="179" spans="3:3" x14ac:dyDescent="0.2">
      <c r="C179" s="96" t="s">
        <v>896</v>
      </c>
    </row>
    <row r="180" spans="3:3" x14ac:dyDescent="0.2">
      <c r="C180" s="96" t="s">
        <v>897</v>
      </c>
    </row>
    <row r="181" spans="3:3" x14ac:dyDescent="0.2">
      <c r="C181" s="96" t="s">
        <v>898</v>
      </c>
    </row>
    <row r="182" spans="3:3" x14ac:dyDescent="0.2">
      <c r="C182" s="96" t="s">
        <v>899</v>
      </c>
    </row>
    <row r="183" spans="3:3" x14ac:dyDescent="0.2">
      <c r="C183" s="96" t="s">
        <v>900</v>
      </c>
    </row>
    <row r="184" spans="3:3" x14ac:dyDescent="0.2">
      <c r="C184" s="96" t="s">
        <v>901</v>
      </c>
    </row>
    <row r="185" spans="3:3" x14ac:dyDescent="0.2">
      <c r="C185" s="96" t="s">
        <v>902</v>
      </c>
    </row>
    <row r="186" spans="3:3" x14ac:dyDescent="0.2">
      <c r="C186" s="96" t="s">
        <v>903</v>
      </c>
    </row>
    <row r="187" spans="3:3" x14ac:dyDescent="0.2">
      <c r="C187" s="96" t="s">
        <v>904</v>
      </c>
    </row>
    <row r="188" spans="3:3" x14ac:dyDescent="0.2">
      <c r="C188" s="96" t="s">
        <v>905</v>
      </c>
    </row>
    <row r="189" spans="3:3" x14ac:dyDescent="0.2">
      <c r="C189" s="96" t="s">
        <v>906</v>
      </c>
    </row>
    <row r="190" spans="3:3" x14ac:dyDescent="0.2">
      <c r="C190" s="96" t="s">
        <v>907</v>
      </c>
    </row>
    <row r="191" spans="3:3" x14ac:dyDescent="0.2">
      <c r="C191" s="96" t="s">
        <v>908</v>
      </c>
    </row>
    <row r="192" spans="3:3" x14ac:dyDescent="0.2">
      <c r="C192" s="96" t="s">
        <v>909</v>
      </c>
    </row>
    <row r="193" spans="3:3" x14ac:dyDescent="0.2">
      <c r="C193" s="96" t="s">
        <v>910</v>
      </c>
    </row>
    <row r="194" spans="3:3" x14ac:dyDescent="0.2">
      <c r="C194" s="96" t="s">
        <v>911</v>
      </c>
    </row>
    <row r="195" spans="3:3" x14ac:dyDescent="0.2">
      <c r="C195" s="96" t="s">
        <v>912</v>
      </c>
    </row>
    <row r="196" spans="3:3" x14ac:dyDescent="0.2">
      <c r="C196" s="96" t="s">
        <v>913</v>
      </c>
    </row>
    <row r="197" spans="3:3" x14ac:dyDescent="0.2">
      <c r="C197" s="96" t="s">
        <v>914</v>
      </c>
    </row>
    <row r="198" spans="3:3" x14ac:dyDescent="0.2">
      <c r="C198" s="96" t="s">
        <v>915</v>
      </c>
    </row>
    <row r="199" spans="3:3" x14ac:dyDescent="0.2">
      <c r="C199" s="96" t="s">
        <v>916</v>
      </c>
    </row>
    <row r="200" spans="3:3" x14ac:dyDescent="0.2">
      <c r="C200" s="96" t="s">
        <v>917</v>
      </c>
    </row>
    <row r="201" spans="3:3" x14ac:dyDescent="0.2">
      <c r="C201" s="96" t="s">
        <v>918</v>
      </c>
    </row>
    <row r="202" spans="3:3" x14ac:dyDescent="0.2">
      <c r="C202" s="96" t="s">
        <v>919</v>
      </c>
    </row>
    <row r="203" spans="3:3" x14ac:dyDescent="0.2">
      <c r="C203" s="96" t="s">
        <v>920</v>
      </c>
    </row>
    <row r="204" spans="3:3" x14ac:dyDescent="0.2">
      <c r="C204" s="96" t="s">
        <v>921</v>
      </c>
    </row>
    <row r="205" spans="3:3" x14ac:dyDescent="0.2">
      <c r="C205" s="96" t="s">
        <v>922</v>
      </c>
    </row>
    <row r="206" spans="3:3" x14ac:dyDescent="0.2">
      <c r="C206" s="96" t="s">
        <v>923</v>
      </c>
    </row>
    <row r="207" spans="3:3" x14ac:dyDescent="0.2">
      <c r="C207" s="96" t="s">
        <v>924</v>
      </c>
    </row>
    <row r="208" spans="3:3" x14ac:dyDescent="0.2">
      <c r="C208" s="96" t="s">
        <v>925</v>
      </c>
    </row>
    <row r="209" spans="3:3" x14ac:dyDescent="0.2">
      <c r="C209" s="96" t="s">
        <v>926</v>
      </c>
    </row>
    <row r="210" spans="3:3" x14ac:dyDescent="0.2">
      <c r="C210" s="96" t="s">
        <v>927</v>
      </c>
    </row>
    <row r="211" spans="3:3" x14ac:dyDescent="0.2">
      <c r="C211" s="96" t="s">
        <v>928</v>
      </c>
    </row>
    <row r="212" spans="3:3" x14ac:dyDescent="0.2">
      <c r="C212" s="96" t="s">
        <v>929</v>
      </c>
    </row>
    <row r="213" spans="3:3" x14ac:dyDescent="0.2">
      <c r="C213" s="96" t="s">
        <v>930</v>
      </c>
    </row>
    <row r="214" spans="3:3" x14ac:dyDescent="0.2">
      <c r="C214" s="96" t="s">
        <v>931</v>
      </c>
    </row>
    <row r="215" spans="3:3" x14ac:dyDescent="0.2">
      <c r="C215" s="96" t="s">
        <v>932</v>
      </c>
    </row>
    <row r="216" spans="3:3" x14ac:dyDescent="0.2">
      <c r="C216" s="96" t="s">
        <v>933</v>
      </c>
    </row>
    <row r="217" spans="3:3" x14ac:dyDescent="0.2">
      <c r="C217" s="96" t="s">
        <v>934</v>
      </c>
    </row>
    <row r="218" spans="3:3" x14ac:dyDescent="0.2">
      <c r="C218" s="96" t="s">
        <v>935</v>
      </c>
    </row>
    <row r="219" spans="3:3" x14ac:dyDescent="0.2">
      <c r="C219" s="96" t="s">
        <v>936</v>
      </c>
    </row>
    <row r="220" spans="3:3" x14ac:dyDescent="0.2">
      <c r="C220" s="96" t="s">
        <v>937</v>
      </c>
    </row>
    <row r="221" spans="3:3" x14ac:dyDescent="0.2">
      <c r="C221" s="96" t="s">
        <v>938</v>
      </c>
    </row>
    <row r="222" spans="3:3" x14ac:dyDescent="0.2">
      <c r="C222" s="96" t="s">
        <v>939</v>
      </c>
    </row>
    <row r="223" spans="3:3" x14ac:dyDescent="0.2">
      <c r="C223" s="96" t="s">
        <v>940</v>
      </c>
    </row>
    <row r="224" spans="3:3" x14ac:dyDescent="0.2">
      <c r="C224" s="96" t="s">
        <v>941</v>
      </c>
    </row>
    <row r="225" spans="3:3" x14ac:dyDescent="0.2">
      <c r="C225" s="96" t="s">
        <v>942</v>
      </c>
    </row>
    <row r="226" spans="3:3" x14ac:dyDescent="0.2">
      <c r="C226" s="96" t="s">
        <v>943</v>
      </c>
    </row>
    <row r="227" spans="3:3" x14ac:dyDescent="0.2">
      <c r="C227" s="96" t="s">
        <v>944</v>
      </c>
    </row>
    <row r="228" spans="3:3" x14ac:dyDescent="0.2">
      <c r="C228" s="96" t="s">
        <v>945</v>
      </c>
    </row>
    <row r="229" spans="3:3" x14ac:dyDescent="0.2">
      <c r="C229" s="96" t="s">
        <v>946</v>
      </c>
    </row>
    <row r="230" spans="3:3" x14ac:dyDescent="0.2">
      <c r="C230" s="96" t="s">
        <v>947</v>
      </c>
    </row>
    <row r="231" spans="3:3" x14ac:dyDescent="0.2">
      <c r="C231" s="96" t="s">
        <v>948</v>
      </c>
    </row>
    <row r="232" spans="3:3" x14ac:dyDescent="0.2">
      <c r="C232" s="96" t="s">
        <v>949</v>
      </c>
    </row>
    <row r="233" spans="3:3" x14ac:dyDescent="0.2">
      <c r="C233" s="96" t="s">
        <v>950</v>
      </c>
    </row>
    <row r="234" spans="3:3" x14ac:dyDescent="0.2">
      <c r="C234" s="96" t="s">
        <v>951</v>
      </c>
    </row>
    <row r="235" spans="3:3" x14ac:dyDescent="0.2">
      <c r="C235" s="96" t="s">
        <v>952</v>
      </c>
    </row>
    <row r="236" spans="3:3" x14ac:dyDescent="0.2">
      <c r="C236" s="96" t="s">
        <v>953</v>
      </c>
    </row>
    <row r="237" spans="3:3" x14ac:dyDescent="0.2">
      <c r="C237" s="96" t="s">
        <v>954</v>
      </c>
    </row>
    <row r="238" spans="3:3" x14ac:dyDescent="0.2">
      <c r="C238" s="96" t="s">
        <v>955</v>
      </c>
    </row>
    <row r="239" spans="3:3" x14ac:dyDescent="0.2">
      <c r="C239" s="96" t="s">
        <v>956</v>
      </c>
    </row>
    <row r="240" spans="3:3" x14ac:dyDescent="0.2">
      <c r="C240" s="96" t="s">
        <v>957</v>
      </c>
    </row>
    <row r="241" spans="3:3" x14ac:dyDescent="0.2">
      <c r="C241" s="96" t="s">
        <v>958</v>
      </c>
    </row>
    <row r="242" spans="3:3" x14ac:dyDescent="0.2">
      <c r="C242" s="96" t="s">
        <v>959</v>
      </c>
    </row>
    <row r="243" spans="3:3" x14ac:dyDescent="0.2">
      <c r="C243" s="96" t="s">
        <v>960</v>
      </c>
    </row>
    <row r="244" spans="3:3" x14ac:dyDescent="0.2">
      <c r="C244" s="96" t="s">
        <v>961</v>
      </c>
    </row>
    <row r="245" spans="3:3" x14ac:dyDescent="0.2">
      <c r="C245" s="96" t="s">
        <v>962</v>
      </c>
    </row>
    <row r="246" spans="3:3" x14ac:dyDescent="0.2">
      <c r="C246" s="96" t="s">
        <v>963</v>
      </c>
    </row>
    <row r="247" spans="3:3" x14ac:dyDescent="0.2">
      <c r="C247" s="96" t="s">
        <v>964</v>
      </c>
    </row>
    <row r="248" spans="3:3" x14ac:dyDescent="0.2">
      <c r="C248" s="96" t="s">
        <v>965</v>
      </c>
    </row>
    <row r="249" spans="3:3" x14ac:dyDescent="0.2">
      <c r="C249" s="96" t="s">
        <v>966</v>
      </c>
    </row>
    <row r="250" spans="3:3" x14ac:dyDescent="0.2">
      <c r="C250" s="96" t="s">
        <v>967</v>
      </c>
    </row>
    <row r="251" spans="3:3" x14ac:dyDescent="0.2">
      <c r="C251" s="96" t="s">
        <v>968</v>
      </c>
    </row>
    <row r="252" spans="3:3" x14ac:dyDescent="0.2">
      <c r="C252" s="96" t="s">
        <v>969</v>
      </c>
    </row>
    <row r="253" spans="3:3" x14ac:dyDescent="0.2">
      <c r="C253" s="96" t="s">
        <v>970</v>
      </c>
    </row>
    <row r="254" spans="3:3" x14ac:dyDescent="0.2">
      <c r="C254" s="96" t="s">
        <v>971</v>
      </c>
    </row>
    <row r="255" spans="3:3" x14ac:dyDescent="0.2">
      <c r="C255" s="96" t="s">
        <v>972</v>
      </c>
    </row>
    <row r="256" spans="3:3" x14ac:dyDescent="0.2">
      <c r="C256" s="96" t="s">
        <v>973</v>
      </c>
    </row>
    <row r="257" spans="3:3" x14ac:dyDescent="0.2">
      <c r="C257" s="96" t="s">
        <v>974</v>
      </c>
    </row>
    <row r="258" spans="3:3" x14ac:dyDescent="0.2">
      <c r="C258" s="96" t="s">
        <v>975</v>
      </c>
    </row>
    <row r="259" spans="3:3" x14ac:dyDescent="0.2">
      <c r="C259" s="96" t="s">
        <v>976</v>
      </c>
    </row>
    <row r="260" spans="3:3" x14ac:dyDescent="0.2">
      <c r="C260" s="96" t="s">
        <v>977</v>
      </c>
    </row>
    <row r="261" spans="3:3" x14ac:dyDescent="0.2">
      <c r="C261" s="96" t="s">
        <v>978</v>
      </c>
    </row>
    <row r="262" spans="3:3" x14ac:dyDescent="0.2">
      <c r="C262" s="96" t="s">
        <v>979</v>
      </c>
    </row>
    <row r="263" spans="3:3" x14ac:dyDescent="0.2">
      <c r="C263" s="96" t="s">
        <v>980</v>
      </c>
    </row>
    <row r="264" spans="3:3" x14ac:dyDescent="0.2">
      <c r="C264" s="96" t="s">
        <v>981</v>
      </c>
    </row>
    <row r="265" spans="3:3" x14ac:dyDescent="0.2">
      <c r="C265" s="96" t="s">
        <v>982</v>
      </c>
    </row>
    <row r="266" spans="3:3" x14ac:dyDescent="0.2">
      <c r="C266" s="96" t="s">
        <v>983</v>
      </c>
    </row>
    <row r="267" spans="3:3" x14ac:dyDescent="0.2">
      <c r="C267" s="96" t="s">
        <v>984</v>
      </c>
    </row>
    <row r="268" spans="3:3" x14ac:dyDescent="0.2">
      <c r="C268" s="96" t="s">
        <v>985</v>
      </c>
    </row>
    <row r="269" spans="3:3" x14ac:dyDescent="0.2">
      <c r="C269" s="96" t="s">
        <v>986</v>
      </c>
    </row>
    <row r="270" spans="3:3" x14ac:dyDescent="0.2">
      <c r="C270" s="96" t="s">
        <v>987</v>
      </c>
    </row>
    <row r="271" spans="3:3" x14ac:dyDescent="0.2">
      <c r="C271" s="96" t="s">
        <v>988</v>
      </c>
    </row>
    <row r="272" spans="3:3" x14ac:dyDescent="0.2">
      <c r="C272" s="96" t="s">
        <v>989</v>
      </c>
    </row>
    <row r="273" spans="3:3" x14ac:dyDescent="0.2">
      <c r="C273" s="96" t="s">
        <v>990</v>
      </c>
    </row>
    <row r="274" spans="3:3" x14ac:dyDescent="0.2">
      <c r="C274" s="96" t="s">
        <v>991</v>
      </c>
    </row>
    <row r="275" spans="3:3" x14ac:dyDescent="0.2">
      <c r="C275" s="96" t="s">
        <v>992</v>
      </c>
    </row>
    <row r="276" spans="3:3" x14ac:dyDescent="0.2">
      <c r="C276" s="96" t="s">
        <v>993</v>
      </c>
    </row>
    <row r="277" spans="3:3" x14ac:dyDescent="0.2">
      <c r="C277" s="96" t="s">
        <v>994</v>
      </c>
    </row>
    <row r="278" spans="3:3" x14ac:dyDescent="0.2">
      <c r="C278" s="96" t="s">
        <v>995</v>
      </c>
    </row>
    <row r="279" spans="3:3" x14ac:dyDescent="0.2">
      <c r="C279" s="96" t="s">
        <v>996</v>
      </c>
    </row>
    <row r="280" spans="3:3" x14ac:dyDescent="0.2">
      <c r="C280" s="96" t="s">
        <v>997</v>
      </c>
    </row>
    <row r="281" spans="3:3" x14ac:dyDescent="0.2">
      <c r="C281" s="96" t="s">
        <v>998</v>
      </c>
    </row>
    <row r="282" spans="3:3" x14ac:dyDescent="0.2">
      <c r="C282" s="96" t="s">
        <v>999</v>
      </c>
    </row>
    <row r="283" spans="3:3" x14ac:dyDescent="0.2">
      <c r="C283" s="96" t="s">
        <v>1000</v>
      </c>
    </row>
    <row r="284" spans="3:3" x14ac:dyDescent="0.2">
      <c r="C284" s="96" t="s">
        <v>1001</v>
      </c>
    </row>
    <row r="285" spans="3:3" x14ac:dyDescent="0.2">
      <c r="C285" s="96" t="s">
        <v>1002</v>
      </c>
    </row>
    <row r="286" spans="3:3" x14ac:dyDescent="0.2">
      <c r="C286" s="96" t="s">
        <v>1003</v>
      </c>
    </row>
    <row r="287" spans="3:3" x14ac:dyDescent="0.2">
      <c r="C287" s="96" t="s">
        <v>1004</v>
      </c>
    </row>
    <row r="288" spans="3:3" x14ac:dyDescent="0.2">
      <c r="C288" s="96" t="s">
        <v>1005</v>
      </c>
    </row>
    <row r="289" spans="3:3" x14ac:dyDescent="0.2">
      <c r="C289" s="96" t="s">
        <v>1006</v>
      </c>
    </row>
    <row r="290" spans="3:3" x14ac:dyDescent="0.2">
      <c r="C290" s="96" t="s">
        <v>1007</v>
      </c>
    </row>
    <row r="291" spans="3:3" x14ac:dyDescent="0.2">
      <c r="C291" s="96" t="s">
        <v>1008</v>
      </c>
    </row>
    <row r="292" spans="3:3" x14ac:dyDescent="0.2">
      <c r="C292" s="96" t="s">
        <v>1009</v>
      </c>
    </row>
    <row r="293" spans="3:3" x14ac:dyDescent="0.2">
      <c r="C293" s="96" t="s">
        <v>1010</v>
      </c>
    </row>
    <row r="294" spans="3:3" x14ac:dyDescent="0.2">
      <c r="C294" s="96" t="s">
        <v>1011</v>
      </c>
    </row>
    <row r="295" spans="3:3" x14ac:dyDescent="0.2">
      <c r="C295" s="96" t="s">
        <v>1012</v>
      </c>
    </row>
    <row r="296" spans="3:3" x14ac:dyDescent="0.2">
      <c r="C296" s="96" t="s">
        <v>1013</v>
      </c>
    </row>
    <row r="297" spans="3:3" x14ac:dyDescent="0.2">
      <c r="C297" s="96" t="s">
        <v>1014</v>
      </c>
    </row>
    <row r="298" spans="3:3" x14ac:dyDescent="0.2">
      <c r="C298" s="96" t="s">
        <v>1015</v>
      </c>
    </row>
    <row r="299" spans="3:3" x14ac:dyDescent="0.2">
      <c r="C299" s="96" t="s">
        <v>1016</v>
      </c>
    </row>
    <row r="300" spans="3:3" x14ac:dyDescent="0.2">
      <c r="C300" s="96" t="s">
        <v>1017</v>
      </c>
    </row>
    <row r="301" spans="3:3" x14ac:dyDescent="0.2">
      <c r="C301" s="96" t="s">
        <v>1018</v>
      </c>
    </row>
    <row r="302" spans="3:3" x14ac:dyDescent="0.2">
      <c r="C302" s="96" t="s">
        <v>1019</v>
      </c>
    </row>
    <row r="303" spans="3:3" x14ac:dyDescent="0.2">
      <c r="C303" s="96" t="s">
        <v>1020</v>
      </c>
    </row>
    <row r="304" spans="3:3" x14ac:dyDescent="0.2">
      <c r="C304" s="96" t="s">
        <v>1021</v>
      </c>
    </row>
    <row r="305" spans="3:3" x14ac:dyDescent="0.2">
      <c r="C305" s="96" t="s">
        <v>1022</v>
      </c>
    </row>
    <row r="306" spans="3:3" x14ac:dyDescent="0.2">
      <c r="C306" s="96" t="s">
        <v>1023</v>
      </c>
    </row>
    <row r="307" spans="3:3" x14ac:dyDescent="0.2">
      <c r="C307" s="96" t="s">
        <v>1024</v>
      </c>
    </row>
    <row r="308" spans="3:3" x14ac:dyDescent="0.2">
      <c r="C308" s="96" t="s">
        <v>1025</v>
      </c>
    </row>
    <row r="309" spans="3:3" x14ac:dyDescent="0.2">
      <c r="C309" s="96" t="s">
        <v>1026</v>
      </c>
    </row>
    <row r="310" spans="3:3" x14ac:dyDescent="0.2">
      <c r="C310" s="96" t="s">
        <v>1027</v>
      </c>
    </row>
    <row r="311" spans="3:3" x14ac:dyDescent="0.2">
      <c r="C311" s="96" t="s">
        <v>1028</v>
      </c>
    </row>
    <row r="312" spans="3:3" x14ac:dyDescent="0.2">
      <c r="C312" s="96" t="s">
        <v>1029</v>
      </c>
    </row>
    <row r="313" spans="3:3" x14ac:dyDescent="0.2">
      <c r="C313" s="96" t="s">
        <v>1030</v>
      </c>
    </row>
    <row r="314" spans="3:3" x14ac:dyDescent="0.2">
      <c r="C314" s="96" t="s">
        <v>1031</v>
      </c>
    </row>
    <row r="315" spans="3:3" x14ac:dyDescent="0.2">
      <c r="C315" s="96" t="s">
        <v>1032</v>
      </c>
    </row>
    <row r="316" spans="3:3" x14ac:dyDescent="0.2">
      <c r="C316" s="96" t="s">
        <v>1033</v>
      </c>
    </row>
    <row r="317" spans="3:3" x14ac:dyDescent="0.2">
      <c r="C317" s="96" t="s">
        <v>1034</v>
      </c>
    </row>
    <row r="318" spans="3:3" x14ac:dyDescent="0.2">
      <c r="C318" s="96" t="s">
        <v>1035</v>
      </c>
    </row>
    <row r="319" spans="3:3" x14ac:dyDescent="0.2">
      <c r="C319" s="96" t="s">
        <v>1036</v>
      </c>
    </row>
    <row r="320" spans="3:3" x14ac:dyDescent="0.2">
      <c r="C320" s="96" t="s">
        <v>1037</v>
      </c>
    </row>
    <row r="321" spans="3:3" x14ac:dyDescent="0.2">
      <c r="C321" s="96" t="s">
        <v>1038</v>
      </c>
    </row>
    <row r="322" spans="3:3" x14ac:dyDescent="0.2">
      <c r="C322" s="96" t="s">
        <v>1039</v>
      </c>
    </row>
    <row r="323" spans="3:3" x14ac:dyDescent="0.2">
      <c r="C323" s="96" t="s">
        <v>1040</v>
      </c>
    </row>
    <row r="324" spans="3:3" x14ac:dyDescent="0.2">
      <c r="C324" s="96" t="s">
        <v>1041</v>
      </c>
    </row>
    <row r="325" spans="3:3" x14ac:dyDescent="0.2">
      <c r="C325" s="96" t="s">
        <v>1042</v>
      </c>
    </row>
    <row r="326" spans="3:3" x14ac:dyDescent="0.2">
      <c r="C326" s="96" t="s">
        <v>1043</v>
      </c>
    </row>
    <row r="327" spans="3:3" x14ac:dyDescent="0.2">
      <c r="C327" s="96" t="s">
        <v>1044</v>
      </c>
    </row>
    <row r="328" spans="3:3" x14ac:dyDescent="0.2">
      <c r="C328" s="96" t="s">
        <v>1045</v>
      </c>
    </row>
    <row r="329" spans="3:3" x14ac:dyDescent="0.2">
      <c r="C329" s="96" t="s">
        <v>1046</v>
      </c>
    </row>
    <row r="330" spans="3:3" x14ac:dyDescent="0.2">
      <c r="C330" s="96" t="s">
        <v>904</v>
      </c>
    </row>
    <row r="331" spans="3:3" x14ac:dyDescent="0.2">
      <c r="C331" s="96" t="s">
        <v>1047</v>
      </c>
    </row>
    <row r="332" spans="3:3" x14ac:dyDescent="0.2">
      <c r="C332" s="96" t="s">
        <v>1048</v>
      </c>
    </row>
    <row r="333" spans="3:3" x14ac:dyDescent="0.2">
      <c r="C333" s="96" t="s">
        <v>1049</v>
      </c>
    </row>
    <row r="334" spans="3:3" x14ac:dyDescent="0.2">
      <c r="C334" s="96" t="s">
        <v>1050</v>
      </c>
    </row>
    <row r="335" spans="3:3" x14ac:dyDescent="0.2">
      <c r="C335" s="96" t="s">
        <v>1051</v>
      </c>
    </row>
    <row r="336" spans="3:3" x14ac:dyDescent="0.2">
      <c r="C336" s="96" t="s">
        <v>1052</v>
      </c>
    </row>
    <row r="337" spans="3:3" x14ac:dyDescent="0.2">
      <c r="C337" s="96" t="s">
        <v>1053</v>
      </c>
    </row>
    <row r="338" spans="3:3" x14ac:dyDescent="0.2">
      <c r="C338" s="96" t="s">
        <v>1054</v>
      </c>
    </row>
    <row r="339" spans="3:3" x14ac:dyDescent="0.2">
      <c r="C339" s="96" t="s">
        <v>1055</v>
      </c>
    </row>
    <row r="340" spans="3:3" x14ac:dyDescent="0.2">
      <c r="C340" s="96" t="s">
        <v>1056</v>
      </c>
    </row>
    <row r="341" spans="3:3" x14ac:dyDescent="0.2">
      <c r="C341" s="96" t="s">
        <v>1057</v>
      </c>
    </row>
    <row r="342" spans="3:3" x14ac:dyDescent="0.2">
      <c r="C342" s="96" t="s">
        <v>1058</v>
      </c>
    </row>
    <row r="343" spans="3:3" x14ac:dyDescent="0.2">
      <c r="C343" s="96" t="s">
        <v>1059</v>
      </c>
    </row>
    <row r="344" spans="3:3" x14ac:dyDescent="0.2">
      <c r="C344" s="96" t="s">
        <v>1060</v>
      </c>
    </row>
    <row r="345" spans="3:3" x14ac:dyDescent="0.2">
      <c r="C345" s="96" t="s">
        <v>1061</v>
      </c>
    </row>
    <row r="346" spans="3:3" x14ac:dyDescent="0.2">
      <c r="C346" s="96" t="s">
        <v>1062</v>
      </c>
    </row>
    <row r="347" spans="3:3" x14ac:dyDescent="0.2">
      <c r="C347" s="96" t="s">
        <v>1063</v>
      </c>
    </row>
    <row r="348" spans="3:3" x14ac:dyDescent="0.2">
      <c r="C348" s="96" t="s">
        <v>1064</v>
      </c>
    </row>
    <row r="349" spans="3:3" x14ac:dyDescent="0.2">
      <c r="C349" s="96" t="s">
        <v>1065</v>
      </c>
    </row>
    <row r="350" spans="3:3" x14ac:dyDescent="0.2">
      <c r="C350" s="96" t="s">
        <v>1066</v>
      </c>
    </row>
    <row r="351" spans="3:3" x14ac:dyDescent="0.2">
      <c r="C351" s="96" t="s">
        <v>1067</v>
      </c>
    </row>
    <row r="352" spans="3:3" x14ac:dyDescent="0.2">
      <c r="C352" s="96" t="s">
        <v>1068</v>
      </c>
    </row>
    <row r="353" spans="3:3" x14ac:dyDescent="0.2">
      <c r="C353" s="96" t="s">
        <v>1069</v>
      </c>
    </row>
    <row r="354" spans="3:3" x14ac:dyDescent="0.2">
      <c r="C354" s="96" t="s">
        <v>1070</v>
      </c>
    </row>
    <row r="355" spans="3:3" x14ac:dyDescent="0.2">
      <c r="C355" s="96" t="s">
        <v>1071</v>
      </c>
    </row>
    <row r="356" spans="3:3" x14ac:dyDescent="0.2">
      <c r="C356" s="96" t="s">
        <v>1072</v>
      </c>
    </row>
    <row r="357" spans="3:3" x14ac:dyDescent="0.2">
      <c r="C357" s="96" t="s">
        <v>1073</v>
      </c>
    </row>
    <row r="358" spans="3:3" x14ac:dyDescent="0.2">
      <c r="C358" s="96" t="s">
        <v>1074</v>
      </c>
    </row>
    <row r="359" spans="3:3" x14ac:dyDescent="0.2">
      <c r="C359" s="96" t="s">
        <v>1075</v>
      </c>
    </row>
    <row r="360" spans="3:3" x14ac:dyDescent="0.2">
      <c r="C360" s="96" t="s">
        <v>1076</v>
      </c>
    </row>
    <row r="361" spans="3:3" x14ac:dyDescent="0.2">
      <c r="C361" s="96" t="s">
        <v>1077</v>
      </c>
    </row>
    <row r="362" spans="3:3" x14ac:dyDescent="0.2">
      <c r="C362" s="96" t="s">
        <v>1078</v>
      </c>
    </row>
    <row r="363" spans="3:3" x14ac:dyDescent="0.2">
      <c r="C363" s="96" t="s">
        <v>1079</v>
      </c>
    </row>
    <row r="364" spans="3:3" x14ac:dyDescent="0.2">
      <c r="C364" s="96" t="s">
        <v>1080</v>
      </c>
    </row>
    <row r="365" spans="3:3" x14ac:dyDescent="0.2">
      <c r="C365" s="96" t="s">
        <v>1081</v>
      </c>
    </row>
    <row r="366" spans="3:3" x14ac:dyDescent="0.2">
      <c r="C366" s="96" t="s">
        <v>1082</v>
      </c>
    </row>
    <row r="367" spans="3:3" x14ac:dyDescent="0.2">
      <c r="C367" s="96" t="s">
        <v>1083</v>
      </c>
    </row>
    <row r="368" spans="3:3" x14ac:dyDescent="0.2">
      <c r="C368" s="96" t="s">
        <v>1084</v>
      </c>
    </row>
    <row r="369" spans="3:3" x14ac:dyDescent="0.2">
      <c r="C369" s="96" t="s">
        <v>1085</v>
      </c>
    </row>
    <row r="370" spans="3:3" x14ac:dyDescent="0.2">
      <c r="C370" s="96" t="s">
        <v>1086</v>
      </c>
    </row>
    <row r="371" spans="3:3" x14ac:dyDescent="0.2">
      <c r="C371" s="96" t="s">
        <v>1087</v>
      </c>
    </row>
    <row r="372" spans="3:3" x14ac:dyDescent="0.2">
      <c r="C372" s="96" t="s">
        <v>1088</v>
      </c>
    </row>
    <row r="373" spans="3:3" x14ac:dyDescent="0.2">
      <c r="C373" s="96" t="s">
        <v>1089</v>
      </c>
    </row>
    <row r="374" spans="3:3" x14ac:dyDescent="0.2">
      <c r="C374" s="96" t="s">
        <v>1090</v>
      </c>
    </row>
    <row r="375" spans="3:3" x14ac:dyDescent="0.2">
      <c r="C375" s="96" t="s">
        <v>1091</v>
      </c>
    </row>
    <row r="376" spans="3:3" x14ac:dyDescent="0.2">
      <c r="C376" s="96" t="s">
        <v>1092</v>
      </c>
    </row>
    <row r="377" spans="3:3" x14ac:dyDescent="0.2">
      <c r="C377" s="96" t="s">
        <v>1093</v>
      </c>
    </row>
    <row r="378" spans="3:3" x14ac:dyDescent="0.2">
      <c r="C378" s="96" t="s">
        <v>1094</v>
      </c>
    </row>
    <row r="379" spans="3:3" x14ac:dyDescent="0.2">
      <c r="C379" s="96" t="s">
        <v>991</v>
      </c>
    </row>
    <row r="380" spans="3:3" x14ac:dyDescent="0.2">
      <c r="C380" s="96" t="s">
        <v>1095</v>
      </c>
    </row>
    <row r="381" spans="3:3" x14ac:dyDescent="0.2">
      <c r="C381" s="96" t="s">
        <v>1096</v>
      </c>
    </row>
    <row r="382" spans="3:3" x14ac:dyDescent="0.2">
      <c r="C382" s="96" t="s">
        <v>1097</v>
      </c>
    </row>
    <row r="383" spans="3:3" x14ac:dyDescent="0.2">
      <c r="C383" s="96" t="s">
        <v>1098</v>
      </c>
    </row>
    <row r="384" spans="3:3" x14ac:dyDescent="0.2">
      <c r="C384" s="96" t="s">
        <v>1099</v>
      </c>
    </row>
    <row r="385" spans="3:3" x14ac:dyDescent="0.2">
      <c r="C385" s="96" t="s">
        <v>1100</v>
      </c>
    </row>
    <row r="386" spans="3:3" x14ac:dyDescent="0.2">
      <c r="C386" s="96" t="s">
        <v>1101</v>
      </c>
    </row>
    <row r="387" spans="3:3" x14ac:dyDescent="0.2">
      <c r="C387" s="96" t="s">
        <v>1102</v>
      </c>
    </row>
    <row r="388" spans="3:3" x14ac:dyDescent="0.2">
      <c r="C388" s="96" t="s">
        <v>1103</v>
      </c>
    </row>
    <row r="389" spans="3:3" x14ac:dyDescent="0.2">
      <c r="C389" s="96" t="s">
        <v>1104</v>
      </c>
    </row>
    <row r="390" spans="3:3" x14ac:dyDescent="0.2">
      <c r="C390" s="96" t="s">
        <v>1105</v>
      </c>
    </row>
    <row r="391" spans="3:3" x14ac:dyDescent="0.2">
      <c r="C391" s="96" t="s">
        <v>1106</v>
      </c>
    </row>
    <row r="392" spans="3:3" x14ac:dyDescent="0.2">
      <c r="C392" s="96" t="s">
        <v>1107</v>
      </c>
    </row>
    <row r="393" spans="3:3" x14ac:dyDescent="0.2">
      <c r="C393" s="96" t="s">
        <v>1108</v>
      </c>
    </row>
  </sheetData>
  <hyperlinks>
    <hyperlink ref="B3" location="Trizivir!A1" display="Trizivir" xr:uid="{00000000-0004-0000-0000-000009000000}"/>
    <hyperlink ref="B4" location="Lexiva!A1" display="Lexiva" xr:uid="{00000000-0004-0000-0000-00000A000000}"/>
    <hyperlink ref="B7" location="Avandia!A1" display="Avandia" xr:uid="{00000000-0004-0000-0000-000008000000}"/>
    <hyperlink ref="B10" location="Arixtra!A1" display="Arixtra (fondaparinux)" xr:uid="{00000000-0004-0000-0000-000016010000}"/>
    <hyperlink ref="B12" location="Votrient!A1" display="Votrient (pazopanib)" xr:uid="{00000000-0004-0000-0000-000004000000}"/>
    <hyperlink ref="B14" location="Tykerb!A1" display="Tykerb (lapatinib)" xr:uid="{00000000-0004-0000-0000-000001000000}"/>
    <hyperlink ref="B15" location="Arzerra!A1" display="Arzerra (ofatumumab)" xr:uid="{00000000-0004-0000-0000-00000C000000}"/>
    <hyperlink ref="B16" location="eltrombopag!A1" display="Eltrombopag" xr:uid="{00000000-0004-0000-0000-000003000000}"/>
    <hyperlink ref="B17" location="Requip!A1" display="Requip" xr:uid="{00000000-0004-0000-0000-00000B000000}"/>
    <hyperlink ref="B19" location="Combivir!A1" display="Combivir" xr:uid="{00000000-0004-0000-0000-00000E000000}"/>
    <hyperlink ref="L21" location="Consumer!A1" display="Consumer" xr:uid="{00000000-0004-0000-0000-000015000000}"/>
    <hyperlink ref="B22" location="Trexima!A1" display="Trexima" xr:uid="{00000000-0004-0000-0000-00000D000000}"/>
    <hyperlink ref="B23" location="Horizant!A1" display="Solzira (XP13512)" xr:uid="{00000000-0004-0000-0000-000011000000}"/>
    <hyperlink ref="B25" location="Relenza!A1" display="Relenza (zanamivir)" xr:uid="{00000000-0004-0000-0000-000012010000}"/>
    <hyperlink ref="B42" location="Syncria!A1" display="Syncria" xr:uid="{00000000-0004-0000-0000-00001F010000}"/>
    <hyperlink ref="B43" location="'GSK436'!A1" display="GSK2118436" xr:uid="{00000000-0004-0000-0000-00000F010000}"/>
    <hyperlink ref="B48" location="'GSK572'!A1" display="1349572" xr:uid="{00000000-0004-0000-0000-00001C010000}"/>
    <hyperlink ref="B54" location="'GSK968'!A1" display="GSK2402968" xr:uid="{00000000-0004-0000-0000-000011010000}"/>
    <hyperlink ref="B28" location="Pandemrix!A1" display="Pandemrix" xr:uid="{00000000-0004-0000-0000-000017010000}"/>
    <hyperlink ref="B30" location="Serevent!A1" display="Serevent (salmeterol)" xr:uid="{00000000-0004-0000-0000-000014000000}"/>
    <hyperlink ref="B32" location="Valtrex!A1" display="Valtrex" xr:uid="{00000000-0004-0000-0000-000012000000}"/>
    <hyperlink ref="C148" r:id="rId1" display="http://www.gsk.com/media/pressreleases/2009/2009_pressrelease_10022.htm" xr:uid="{00000000-0004-0000-0000-000019000000}"/>
    <hyperlink ref="C149" r:id="rId2" display="http://www.gsk.com/media/pressreleases/2009/2009_pressrelease_10012.htm" xr:uid="{00000000-0004-0000-0000-00001A000000}"/>
    <hyperlink ref="C150" r:id="rId3" display="http://www.gsk.com/media/pressreleases/2009/2009_pressrelease_10011.htm" xr:uid="{00000000-0004-0000-0000-00001B000000}"/>
    <hyperlink ref="C151" r:id="rId4" display="http://www.gsk.com/media/pressreleases/2009/2009_pressrelease_10007.htm" xr:uid="{00000000-0004-0000-0000-00001C000000}"/>
    <hyperlink ref="C152" r:id="rId5" display="http://www.gsk.com/media/pressreleases/2008/2008_pressrelease_10149.htm" xr:uid="{00000000-0004-0000-0000-00001D000000}"/>
    <hyperlink ref="C153" r:id="rId6" display="http://www.gsk.com/media/pressreleases/2008/2008_pressrelease_10148.htm" xr:uid="{00000000-0004-0000-0000-00001E000000}"/>
    <hyperlink ref="C154" r:id="rId7" display="http://www.gsk.com/media/pressreleases/2008/2008_pressrelease_10137.htm" xr:uid="{00000000-0004-0000-0000-00001F000000}"/>
    <hyperlink ref="C155" r:id="rId8" display="http://www.gsk.com/media/pressreleases/2008/2008_us_pressrelease_10168.htm" xr:uid="{00000000-0004-0000-0000-000020000000}"/>
    <hyperlink ref="C156" r:id="rId9" display="http://www.gsk.com/media/pressreleases/2008/2008_pressrelease_10133.htm" xr:uid="{00000000-0004-0000-0000-000021000000}"/>
    <hyperlink ref="C157" r:id="rId10" display="http://www.gsk.com/media/pressreleases/2008/2008_pressrelease_10123.htm" xr:uid="{00000000-0004-0000-0000-000022000000}"/>
    <hyperlink ref="C158" r:id="rId11" display="http://www.gsk.com/media/pressreleases/2008/2008_pressrelease_10117.htm" xr:uid="{00000000-0004-0000-0000-000023000000}"/>
    <hyperlink ref="C159" r:id="rId12" display="http://www.gsk.com/media/pressreleases/2008/2008_pressrelease_10116.htm" xr:uid="{00000000-0004-0000-0000-000024000000}"/>
    <hyperlink ref="C160" r:id="rId13" display="http://www.gsk.com/media/pressreleases/2008/2008_pressrelease_10115.htm" xr:uid="{00000000-0004-0000-0000-000025000000}"/>
    <hyperlink ref="C161" r:id="rId14" display="http://www.gsk.com/media/pressreleases/2008/2008_pressrelease_10113.htm" xr:uid="{00000000-0004-0000-0000-000026000000}"/>
    <hyperlink ref="C162" r:id="rId15" display="http://www.gsk.com/media/pressreleases/2008/2008_pressrelease_10112.htm" xr:uid="{00000000-0004-0000-0000-000027000000}"/>
    <hyperlink ref="C163" r:id="rId16" display="http://www.gsk.com/media/pressreleases/2008/2008_pressrelease_10111.htm" xr:uid="{00000000-0004-0000-0000-000028000000}"/>
    <hyperlink ref="C164" r:id="rId17" display="http://www.gsk.com/media/pressreleases/2008/2008_pressrelease_10110.htm" xr:uid="{00000000-0004-0000-0000-000029000000}"/>
    <hyperlink ref="C165" r:id="rId18" display="http://www.gsk.com/media/pressreleases/2008/2008_pressrelease_10106.htm" xr:uid="{00000000-0004-0000-0000-00002A000000}"/>
    <hyperlink ref="C166" r:id="rId19" display="http://www.gsk.com/media/pressreleases/2008/2008_pressrelease_10107.htm" xr:uid="{00000000-0004-0000-0000-00002B000000}"/>
    <hyperlink ref="C167" r:id="rId20" display="http://www.gsk.com/media/pressreleases/2008/2008_pressrelease_10104.htm" xr:uid="{00000000-0004-0000-0000-00002C000000}"/>
    <hyperlink ref="C168" r:id="rId21" display="http://www.gsk.com/media/pressreleases/2008/2008_pressrelease_10103.htm" xr:uid="{00000000-0004-0000-0000-00002D000000}"/>
    <hyperlink ref="C169" r:id="rId22" display="http://www.gsk.com/media/pressreleases/2008/2008_pressrelease_10102.htm" xr:uid="{00000000-0004-0000-0000-00002E000000}"/>
    <hyperlink ref="C170" r:id="rId23" display="http://www.gsk.com/media/pressreleases/2008/2008_pressrelease_10098.htm" xr:uid="{00000000-0004-0000-0000-00002F000000}"/>
    <hyperlink ref="C171" r:id="rId24" display="http://www.gsk.com/media/pressreleases/2008/2008_pressrelease_10089.htm" xr:uid="{00000000-0004-0000-0000-000030000000}"/>
    <hyperlink ref="C172" r:id="rId25" display="http://www.gsk.com/media/pressreleases/2008/2008_pressrelease_10087.htm" xr:uid="{00000000-0004-0000-0000-000031000000}"/>
    <hyperlink ref="C173" r:id="rId26" display="http://www.gsk.com/media/pressreleases/2008/2008_pressrelease_10086.htm" xr:uid="{00000000-0004-0000-0000-000032000000}"/>
    <hyperlink ref="C174" r:id="rId27" display="http://www.gsk.com/media/pressreleases/2008/2008_pressrelease_10079.htm" xr:uid="{00000000-0004-0000-0000-000033000000}"/>
    <hyperlink ref="C175" r:id="rId28" display="http://www.gsk.com/media/pressreleases/2008/2008_pressrelease_10073.htm" xr:uid="{00000000-0004-0000-0000-000034000000}"/>
    <hyperlink ref="C176" r:id="rId29" display="http://www.gsk.com/media/pressreleases/2008/2008_pressrelease_10071.htm" xr:uid="{00000000-0004-0000-0000-000035000000}"/>
    <hyperlink ref="C177" r:id="rId30" display="http://www.gsk.com/media/pressreleases/2008/2008_pressrelease_10069.htm" xr:uid="{00000000-0004-0000-0000-000036000000}"/>
    <hyperlink ref="C178" r:id="rId31" display="http://www.gsk.com/media/pressreleases/2008/2008_pressrelease_10066.htm" xr:uid="{00000000-0004-0000-0000-000037000000}"/>
    <hyperlink ref="C179" r:id="rId32" display="http://www.gsk.com/media/pressreleases/2008/2008_pressrelease_10065.htm" xr:uid="{00000000-0004-0000-0000-000038000000}"/>
    <hyperlink ref="C180" r:id="rId33" display="http://www.gsk.com/media/pressreleases/2008/2008_pressrelease_10063.htm" xr:uid="{00000000-0004-0000-0000-000039000000}"/>
    <hyperlink ref="C181" r:id="rId34" display="http://www.gsk.com/media/pressreleases/2008/2008_pressrelease_10060.htm" xr:uid="{00000000-0004-0000-0000-00003A000000}"/>
    <hyperlink ref="C182" r:id="rId35" display="http://www.gsk.com/media/pressreleases/2008/2008_pressrelease_10059.htm" xr:uid="{00000000-0004-0000-0000-00003B000000}"/>
    <hyperlink ref="C183" r:id="rId36" display="http://www.gsk.com/media/pressreleases/2008/2008_pressrelease_10056.htm" xr:uid="{00000000-0004-0000-0000-00003C000000}"/>
    <hyperlink ref="C184" r:id="rId37" display="http://www.gsk.com/media/pressreleases/2008/2008_pressrelease_10057.htm" xr:uid="{00000000-0004-0000-0000-00003D000000}"/>
    <hyperlink ref="C185" r:id="rId38" display="http://www.gsk.com/media/pressreleases/2008/2008_pressrelease_10055.htm" xr:uid="{00000000-0004-0000-0000-00003E000000}"/>
    <hyperlink ref="C186" r:id="rId39" display="http://www.gsk.com/media/pressreleases/2008/2008_pressrelease_10053.htm" xr:uid="{00000000-0004-0000-0000-00003F000000}"/>
    <hyperlink ref="C187" r:id="rId40" display="http://www.gsk.com/media/pressreleases/2008/2008_pressrelease_10051.htm" xr:uid="{00000000-0004-0000-0000-000040000000}"/>
    <hyperlink ref="C188" r:id="rId41" display="http://www.gsk.com/media/pressreleases/2008/2008_pressrelease_10048.htm" xr:uid="{00000000-0004-0000-0000-000041000000}"/>
    <hyperlink ref="C189" r:id="rId42" display="http://www.gsk.com/media/pressreleases/2008/2008_pressrelease_10047.htm" xr:uid="{00000000-0004-0000-0000-000042000000}"/>
    <hyperlink ref="C190" r:id="rId43" display="http://www.gsk.com/media/pressreleases/2008/2008_pressrelease_10050.htm" xr:uid="{00000000-0004-0000-0000-000043000000}"/>
    <hyperlink ref="C191" r:id="rId44" display="http://www.gsk.com/media/pressreleases/2008/2008_pressrelease_10044.htm" xr:uid="{00000000-0004-0000-0000-000044000000}"/>
    <hyperlink ref="C192" r:id="rId45" display="http://www.gsk.com/media/pressreleases/2008/2008_pressrelease_10043.htm" xr:uid="{00000000-0004-0000-0000-000045000000}"/>
    <hyperlink ref="C193" r:id="rId46" display="http://www.gsk.com/media/pressreleases/2008/2008_pressrelease_10040.htm" xr:uid="{00000000-0004-0000-0000-000046000000}"/>
    <hyperlink ref="C194" r:id="rId47" display="http://www.gsk.com/media/pressreleases/2008/2008_pressrelease_10038.htm" xr:uid="{00000000-0004-0000-0000-000047000000}"/>
    <hyperlink ref="C195" r:id="rId48" display="http://www.gsk.com/media/pressreleases/2008/2008_pressrelease_10037.htm" xr:uid="{00000000-0004-0000-0000-000048000000}"/>
    <hyperlink ref="C196" r:id="rId49" display="http://www.gsk.com/media/pressreleases/2008/2008_pressrelease_10036.htm" xr:uid="{00000000-0004-0000-0000-000049000000}"/>
    <hyperlink ref="C197" r:id="rId50" display="http://www.gsk.com/media/pressreleases/2008/2008_pressrelease_10033.htm" xr:uid="{00000000-0004-0000-0000-00004A000000}"/>
    <hyperlink ref="C198" r:id="rId51" display="http://www.gsk.com/media/pressreleases/2008/2008_pressrelease_10034.htm" xr:uid="{00000000-0004-0000-0000-00004B000000}"/>
    <hyperlink ref="C199" r:id="rId52" display="http://www.gsk.com/media/pressreleases/2008/2008_pressrelease_10031.htm" xr:uid="{00000000-0004-0000-0000-00004C000000}"/>
    <hyperlink ref="C200" r:id="rId53" display="http://www.gsk.com/media/pressreleases/2008/2008_us_pressrelease_10038.htm" xr:uid="{00000000-0004-0000-0000-00004D000000}"/>
    <hyperlink ref="C201" r:id="rId54" display="http://www.gsk.com/media/pressreleases/2008/2008_pressrelease_10030.htm" xr:uid="{00000000-0004-0000-0000-00004E000000}"/>
    <hyperlink ref="C202" r:id="rId55" display="http://www.gsk.com/media/pressreleases/2008/2008_pressrelease_10029.htm" xr:uid="{00000000-0004-0000-0000-00004F000000}"/>
    <hyperlink ref="C203" r:id="rId56" display="http://www.gsk.com/media/pressreleases/2008/2008_pressrelease_10027.htm" xr:uid="{00000000-0004-0000-0000-000050000000}"/>
    <hyperlink ref="C204" r:id="rId57" display="http://www.gsk.com/media/pressreleases/2008/2008_us_pressrelease_10034.htm" xr:uid="{00000000-0004-0000-0000-000051000000}"/>
    <hyperlink ref="C205" r:id="rId58" display="http://www.gsk.com/media/pressreleases/2008/2008_pressrelease_10025.htm" xr:uid="{00000000-0004-0000-0000-000052000000}"/>
    <hyperlink ref="C206" r:id="rId59" display="http://www.gsk.com/media/pressreleases/2008/2008_pressrelease_10024.htm" xr:uid="{00000000-0004-0000-0000-000053000000}"/>
    <hyperlink ref="C207" r:id="rId60" display="http://www.gsk.com/media/pressreleases/2008/2008_pressrelease_10019.htm" xr:uid="{00000000-0004-0000-0000-000054000000}"/>
    <hyperlink ref="C208" r:id="rId61" display="http://www.gsk.com/media/pressreleases/2008/2008_pressrelease_10020.htm" xr:uid="{00000000-0004-0000-0000-000055000000}"/>
    <hyperlink ref="C209" r:id="rId62" display="http://www.gsk.com/media/pressreleases/2008/2008_pressrelease_0016.htm" xr:uid="{00000000-0004-0000-0000-000056000000}"/>
    <hyperlink ref="C210" r:id="rId63" display="http://www.gsk.com/media/pressreleases/2008/2008_pressrelease_0014.htm" xr:uid="{00000000-0004-0000-0000-000057000000}"/>
    <hyperlink ref="C211" r:id="rId64" display="http://www.gsk.com/media/pressreleases/2008/2008_pressrelease_0012.htm" xr:uid="{00000000-0004-0000-0000-000058000000}"/>
    <hyperlink ref="C212" r:id="rId65" display="http://www.gsk.com/media/pressreleases/2008/2008_pressrelease_0011.htm" xr:uid="{00000000-0004-0000-0000-000059000000}"/>
    <hyperlink ref="C213" r:id="rId66" display="http://www.gsk.com/media/pressreleases/2008/2008_pressrelease_0010.htm" xr:uid="{00000000-0004-0000-0000-00005A000000}"/>
    <hyperlink ref="C214" r:id="rId67" display="http://www.gsk.com/media/pressreleases/2008/2008_pressrelease_0008.htm" xr:uid="{00000000-0004-0000-0000-00005B000000}"/>
    <hyperlink ref="C215" r:id="rId68" display="http://www.gsk.com/media/pressreleases/2008/2008_pressrelease_0218.htm" xr:uid="{00000000-0004-0000-0000-00005C000000}"/>
    <hyperlink ref="C216" r:id="rId69" display="http://www.gsk.com/media/pressreleases/2008/2008_pressrelease_0118.htm" xr:uid="{00000000-0004-0000-0000-00005D000000}"/>
    <hyperlink ref="C217" r:id="rId70" display="http://www.gsk.com/media/pressreleases/2008/2008_us_pressrelease_0051.htm" xr:uid="{00000000-0004-0000-0000-00005E000000}"/>
    <hyperlink ref="C218" r:id="rId71" display="http://www.gsk.com/media/pressreleases/2008/2008_pressrelease_0116.htm" xr:uid="{00000000-0004-0000-0000-00005F000000}"/>
    <hyperlink ref="C219" r:id="rId72" display="http://www.gsk.com/media/pressreleases/2008/2008_pressrelease_0110.htm" xr:uid="{00000000-0004-0000-0000-000060000000}"/>
    <hyperlink ref="C220" r:id="rId73" display="http://www.gsk.com/media/pressreleases/2008/2008_pressrelease_0095.htm" xr:uid="{00000000-0004-0000-0000-000061000000}"/>
    <hyperlink ref="C221" r:id="rId74" display="http://www.gsk.com/media/pressreleases/2008/2008_pressrelease_0098.htm" xr:uid="{00000000-0004-0000-0000-000062000000}"/>
    <hyperlink ref="C222" r:id="rId75" display="http://www.gsk.com/media/pressreleases/2008/2008_pressrelease_0056.htm" xr:uid="{00000000-0004-0000-0000-000063000000}"/>
    <hyperlink ref="C223" r:id="rId76" display="http://www.gsk.com/media/pressreleases/2008/2008_pressrelease_0036.htm" xr:uid="{00000000-0004-0000-0000-000064000000}"/>
    <hyperlink ref="C224" r:id="rId77" display="http://www.gsk.com/media/pressreleases/2008/2008_pressrelease_0039.htm" xr:uid="{00000000-0004-0000-0000-000065000000}"/>
    <hyperlink ref="C225" r:id="rId78" display="http://www.gsk.com/media/pressreleases/2008/2008_pressrelease_0026.htm" xr:uid="{00000000-0004-0000-0000-000066000000}"/>
    <hyperlink ref="C226" r:id="rId79" display="http://www.gsk.com/media/pressreleases/2008/2008_pressrelease_0029.htm" xr:uid="{00000000-0004-0000-0000-000067000000}"/>
    <hyperlink ref="C227" r:id="rId80" display="http://www.gsk.com/media/pressreleases/2008/2008_pressrelease_0030.htm" xr:uid="{00000000-0004-0000-0000-000068000000}"/>
    <hyperlink ref="C228" r:id="rId81" display="http://www.gsk.com/media/pressreleases/2008/2008_pressrelease_0031.htm" xr:uid="{00000000-0004-0000-0000-000069000000}"/>
    <hyperlink ref="C229" r:id="rId82" display="http://www.gsk.com/media/pressreleases/2008/2008_pressrelease_0033.htm" xr:uid="{00000000-0004-0000-0000-00006A000000}"/>
    <hyperlink ref="C230" r:id="rId83" display="http://www.gsk.com/media/pressreleases/2008/2008_pressrelease_0025.htm" xr:uid="{00000000-0004-0000-0000-00006B000000}"/>
    <hyperlink ref="C231" r:id="rId84" display="http://www.gsk.com/media/pressreleases/2008/2008_pressrelease_0023.htm" xr:uid="{00000000-0004-0000-0000-00006C000000}"/>
    <hyperlink ref="C232" r:id="rId85" display="http://www.gsk.com/media/pressreleases/2008/2008_pressrelease_0024.htm" xr:uid="{00000000-0004-0000-0000-00006D000000}"/>
    <hyperlink ref="C233" r:id="rId86" display="http://www.gsk.com/media/pressreleases/2008/2008_pressrelease_0022.htm" xr:uid="{00000000-0004-0000-0000-00006E000000}"/>
    <hyperlink ref="C234" r:id="rId87" display="http://www.gsk.com/media/pressreleases/2007/2007_12_28_GSK1170.htm" xr:uid="{00000000-0004-0000-0000-00006F000000}"/>
    <hyperlink ref="C235" r:id="rId88" display="http://www.gsk.com/media/pressreleases/2007/2007_12_20_GSK1169.htm" xr:uid="{00000000-0004-0000-0000-000070000000}"/>
    <hyperlink ref="C236" r:id="rId89" display="http://www.gsk.com/media/pressreleases/2007/2007_12_19_GSK1167.htm" xr:uid="{00000000-0004-0000-0000-000071000000}"/>
    <hyperlink ref="C237" r:id="rId90" display="http://www.gsk.com/media/pressreleases/2007/2007_12_19_GSK1168.htm" xr:uid="{00000000-0004-0000-0000-000072000000}"/>
    <hyperlink ref="C238" r:id="rId91" display="http://www.gsk.com/media/pressreleases/2007/2007_12_17_GSK1165.htm" xr:uid="{00000000-0004-0000-0000-000073000000}"/>
    <hyperlink ref="C239" r:id="rId92" display="http://www.gsk.com/media/pressreleases/2007/2007_12_16_GSK1166.htm" xr:uid="{00000000-0004-0000-0000-000074000000}"/>
    <hyperlink ref="C240" r:id="rId93" display="http://www.gsk.com/media/pressreleases/2007/2007_12_14_GSK1164.htm" xr:uid="{00000000-0004-0000-0000-000075000000}"/>
    <hyperlink ref="C241" r:id="rId94" display="http://www.gsk.com/media/pressreleases/2007/2007_12_13_GSK1161.htm" xr:uid="{00000000-0004-0000-0000-000076000000}"/>
    <hyperlink ref="C242" r:id="rId95" display="http://www.gsk.com/media/pressreleases/2007/2007_12_11_GSK1159.htm" xr:uid="{00000000-0004-0000-0000-000077000000}"/>
    <hyperlink ref="C243" r:id="rId96" display="http://www.gsk.com/media/pressreleases/2007/2007_12_10_GSK1156.htm" xr:uid="{00000000-0004-0000-0000-000078000000}"/>
    <hyperlink ref="C244" r:id="rId97" display="http://www.gsk.com/media/pressreleases/2007/2007_12_10_GSK1157.htm" xr:uid="{00000000-0004-0000-0000-000079000000}"/>
    <hyperlink ref="C245" r:id="rId98" display="http://www.gsk.com/media/pressreleases/2007/2007_12_10_GSK1158.htm" xr:uid="{00000000-0004-0000-0000-00007A000000}"/>
    <hyperlink ref="C246" r:id="rId99" display="http://www.gsk.com/media/pressreleases/2007/2007_12_10_GSK1160.htm" xr:uid="{00000000-0004-0000-0000-00007B000000}"/>
    <hyperlink ref="C247" r:id="rId100" display="http://www.gsk.com/media/pressreleases/2007/2007_12_07_GSK1155.htm" xr:uid="{00000000-0004-0000-0000-00007C000000}"/>
    <hyperlink ref="C248" r:id="rId101" display="http://www.gsk.com/media/pressreleases/2007/2007_12_06_GSK1154.htm" xr:uid="{00000000-0004-0000-0000-00007D000000}"/>
    <hyperlink ref="C249" r:id="rId102" display="http://www.gsk.com/media/pressreleases/2007/2007_12_04_GSK1153.htm" xr:uid="{00000000-0004-0000-0000-00007E000000}"/>
    <hyperlink ref="C250" r:id="rId103" display="http://www.gsk.com/media/pressreleases/2007/2007_12_03_GSK1152.htm" xr:uid="{00000000-0004-0000-0000-00007F000000}"/>
    <hyperlink ref="C251" r:id="rId104" display="http://www.gsk.com/media/pressreleases/2007/2007_11_28_GSK1151.htm" xr:uid="{00000000-0004-0000-0000-000080000000}"/>
    <hyperlink ref="C252" r:id="rId105" display="http://www.gsk.com/media/pressreleases/2007/2007_11_26_GSK1149.htm" xr:uid="{00000000-0004-0000-0000-000081000000}"/>
    <hyperlink ref="C253" r:id="rId106" display="http://www.gsk.com/media/pressreleases/2007/2007_11_23_GSK1148.htm" xr:uid="{00000000-0004-0000-0000-000082000000}"/>
    <hyperlink ref="C254" r:id="rId107" display="http://www.gsk.com/media/pressreleases/2007/2007_11_21_GSK1147.htm" xr:uid="{00000000-0004-0000-0000-000083000000}"/>
    <hyperlink ref="C255" r:id="rId108" display="http://www.gsk.com/media/pressreleases/2007/2007_11_20_GSK1146.htm" xr:uid="{00000000-0004-0000-0000-000084000000}"/>
    <hyperlink ref="C256" r:id="rId109" display="http://www.gsk.com/media/pressreleases/2007/2007_11_15_GSK1145.htm" xr:uid="{00000000-0004-0000-0000-000085000000}"/>
    <hyperlink ref="C257" r:id="rId110" display="http://www.gsk.com/media/pressreleases/2007/2007_11_14_GSK1143.htm" xr:uid="{00000000-0004-0000-0000-000086000000}"/>
    <hyperlink ref="C258" r:id="rId111" display="http://www.gsk.com/media/pressreleases/2007/2007_11_07_GSK1141.htm" xr:uid="{00000000-0004-0000-0000-000087000000}"/>
    <hyperlink ref="C259" r:id="rId112" display="http://www.gsk.com/media/pressreleases/2007/2007_11_05_GSK1140.htm" xr:uid="{00000000-0004-0000-0000-000088000000}"/>
    <hyperlink ref="C260" r:id="rId113" display="http://www.gsk.com/media/pressreleases/2007/2007_11_05_GSK1142.htm" xr:uid="{00000000-0004-0000-0000-000089000000}"/>
    <hyperlink ref="C261" r:id="rId114" display="http://www.gsk.com/media/pressreleases/2007/2007_11_02_GSK1139.htm" xr:uid="{00000000-0004-0000-0000-00008A000000}"/>
    <hyperlink ref="C262" r:id="rId115" display="http://www.gsk.com/media/pressreleases/2007/2007_10_24_GSK1138.htm" xr:uid="{00000000-0004-0000-0000-00008B000000}"/>
    <hyperlink ref="C263" r:id="rId116" display="http://www.gsk.com/media/pressreleases/2007/2007_10_23_GSK1135.htm" xr:uid="{00000000-0004-0000-0000-00008C000000}"/>
    <hyperlink ref="C264" r:id="rId117" display="http://www.gsk.com/media/pressreleases/2007/2007_10_19_GSK1134.htm" xr:uid="{00000000-0004-0000-0000-00008D000000}"/>
    <hyperlink ref="C265" r:id="rId118" display="http://www.gsk.com/media/pressreleases/2007/2007_10_18_GSK1133.htm" xr:uid="{00000000-0004-0000-0000-00008E000000}"/>
    <hyperlink ref="C266" r:id="rId119" display="http://www.gsk.com/media/pressreleases/2007/2007_10_17_GSK1132.htm" xr:uid="{00000000-0004-0000-0000-00008F000000}"/>
    <hyperlink ref="C267" r:id="rId120" display="http://www.gsk.com/media/pressreleases/2007/2007_10_15_GSK1131.htm" xr:uid="{00000000-0004-0000-0000-000090000000}"/>
    <hyperlink ref="C268" r:id="rId121" display="http://www.gsk.com/media/pressreleases/2007/2007_10_10_GSK1130.htm" xr:uid="{00000000-0004-0000-0000-000091000000}"/>
    <hyperlink ref="C269" r:id="rId122" display="http://www.gsk.com/media/pressreleases/2007/2007_10_08_GSK1128.htm" xr:uid="{00000000-0004-0000-0000-000092000000}"/>
    <hyperlink ref="C270" r:id="rId123" display="http://www.gsk.com/media/pressreleases/2007/2007_10_08_GSK1129.htm" xr:uid="{00000000-0004-0000-0000-000093000000}"/>
    <hyperlink ref="C271" r:id="rId124" display="http://www.gsk.com/media/pressreleases/2007/2007_10_04_GSK1127.htm" xr:uid="{00000000-0004-0000-0000-000094000000}"/>
    <hyperlink ref="C272" r:id="rId125" display="http://www.gsk.com/media/pressreleases/2007/2007_10_02_GSK1123.htm" xr:uid="{00000000-0004-0000-0000-000095000000}"/>
    <hyperlink ref="C273" r:id="rId126" display="http://www.gsk.com/media/pressreleases/2007/2007_09_28_GSK1121.htm" xr:uid="{00000000-0004-0000-0000-000096000000}"/>
    <hyperlink ref="C274" r:id="rId127" display="http://www.gsk.com/media/pressreleases/2007/2007_09_28_GSK1122.htm" xr:uid="{00000000-0004-0000-0000-000097000000}"/>
    <hyperlink ref="C275" r:id="rId128" display="http://www.gsk.com/media/pressreleases/2007/2007_09_27_GSK1120.htm" xr:uid="{00000000-0004-0000-0000-000098000000}"/>
    <hyperlink ref="C276" r:id="rId129" display="http://www.gsk.com/media/pressreleases/2007/2007_09_24_GSK1117.htm" xr:uid="{00000000-0004-0000-0000-000099000000}"/>
    <hyperlink ref="C277" r:id="rId130" display="http://www.gsk.com/media/pressreleases/2007/2007_09_21_GSK1118.htm" xr:uid="{00000000-0004-0000-0000-00009A000000}"/>
    <hyperlink ref="C278" r:id="rId131" display="http://www.gsk.com/media/pressreleases/2007/2007_09_11_GSK1114.htm" xr:uid="{00000000-0004-0000-0000-00009B000000}"/>
    <hyperlink ref="C279" r:id="rId132" display="http://www.gsk.com/media/pressreleases/2007/2007_09_11_GSK1116.htm" xr:uid="{00000000-0004-0000-0000-00009C000000}"/>
    <hyperlink ref="C280" r:id="rId133" display="http://www.gsk.com/media/pressreleases/2007/2007_09_04_GSK1113.htm" xr:uid="{00000000-0004-0000-0000-00009D000000}"/>
    <hyperlink ref="C281" r:id="rId134" display="http://www.gsk.com/media/pressreleases/2007/2007_09_03_GSK1112.htm" xr:uid="{00000000-0004-0000-0000-00009E000000}"/>
    <hyperlink ref="C282" r:id="rId135" display="http://www.gsk.com/media/pressreleases/2007/2007_08_28_GSK1110.htm" xr:uid="{00000000-0004-0000-0000-00009F000000}"/>
    <hyperlink ref="C283" r:id="rId136" display="http://www.gsk.com/media/pressreleases/2007/2007_08_28_GSK1111.htm" xr:uid="{00000000-0004-0000-0000-0000A0000000}"/>
    <hyperlink ref="C284" r:id="rId137" display="http://www.gsk.com/media/pressreleases/2007/2007_08_16_GSK1109.htm" xr:uid="{00000000-0004-0000-0000-0000A1000000}"/>
    <hyperlink ref="C285" r:id="rId138" display="http://www.gsk.com/media/pressreleases/2007/2007_08_14_GSK1107.htm" xr:uid="{00000000-0004-0000-0000-0000A2000000}"/>
    <hyperlink ref="C286" r:id="rId139" display="http://www.gsk.com/media/pressreleases/2007/2007_08_14_GSK1108.htm" xr:uid="{00000000-0004-0000-0000-0000A3000000}"/>
    <hyperlink ref="C287" r:id="rId140" display="http://www.gsk.com/media/pressreleases/2007/2007_08_08_GSK1105.htm" xr:uid="{00000000-0004-0000-0000-0000A4000000}"/>
    <hyperlink ref="C288" r:id="rId141" display="http://www.gsk.com/media/pressreleases/2007/2007_08_08_GSK1106.htm" xr:uid="{00000000-0004-0000-0000-0000A5000000}"/>
    <hyperlink ref="C289" r:id="rId142" display="http://www.gsk.com/media/pressreleases/2007/2007_08_03_GSK1104.htm" xr:uid="{00000000-0004-0000-0000-0000A6000000}"/>
    <hyperlink ref="C290" r:id="rId143" display="http://www.gsk.com/media/pressreleases/2007/2007_08_02_GSK1102.htm" xr:uid="{00000000-0004-0000-0000-0000A7000000}"/>
    <hyperlink ref="C291" r:id="rId144" display="http://www.gsk.com/media/pressreleases/2007/2007_08_02_GSK1103.htm" xr:uid="{00000000-0004-0000-0000-0000A8000000}"/>
    <hyperlink ref="C292" r:id="rId145" display="http://www.gsk.com/media/pressreleases/2007/2007_07_30_GSK1099.htm" xr:uid="{00000000-0004-0000-0000-0000A9000000}"/>
    <hyperlink ref="C293" r:id="rId146" display="http://www.gsk.com/media/pressreleases/2007/2007_07_30_GSK1100.htm" xr:uid="{00000000-0004-0000-0000-0000AA000000}"/>
    <hyperlink ref="C294" r:id="rId147" display="http://www.gsk.com/media/pressreleases/2007/2007_07_30_GSK1101.htm" xr:uid="{00000000-0004-0000-0000-0000AB000000}"/>
    <hyperlink ref="C295" r:id="rId148" display="http://www.gsk.com/media/pressreleases/2007/2007_07_27_GSK1097.htm" xr:uid="{00000000-0004-0000-0000-0000AC000000}"/>
    <hyperlink ref="C296" r:id="rId149" display="http://www.gsk.com/media/pressreleases/2007/2007_07_27_GSK1098.htm" xr:uid="{00000000-0004-0000-0000-0000AD000000}"/>
    <hyperlink ref="C297" r:id="rId150" display="http://www.gsk.com/media/pressreleases/2007/2007_07_25_GSK1095.htm" xr:uid="{00000000-0004-0000-0000-0000AE000000}"/>
    <hyperlink ref="C298" r:id="rId151" display="http://www.gsk.com/media/pressreleases/2007/2007_07_25_GSK1096.htm" xr:uid="{00000000-0004-0000-0000-0000AF000000}"/>
    <hyperlink ref="C299" r:id="rId152" display="http://www.gsk.com/media/pressreleases/2007/2007_07_18_GSK1094.htm" xr:uid="{00000000-0004-0000-0000-0000B0000000}"/>
    <hyperlink ref="C300" r:id="rId153" display="http://www.gsk.com/media/pressreleases/2007/2007_07_17_GSK1093.htm" xr:uid="{00000000-0004-0000-0000-0000B1000000}"/>
    <hyperlink ref="C301" r:id="rId154" display="http://www.gsk.com/media/pressreleases/2007/2007_07_09_GSK1092.htm" xr:uid="{00000000-0004-0000-0000-0000B2000000}"/>
    <hyperlink ref="C302" r:id="rId155" display="http://www.gsk.com/media/pressreleases/2007/2007_06_27_GSK1089.htm" xr:uid="{00000000-0004-0000-0000-0000B3000000}"/>
    <hyperlink ref="C303" r:id="rId156" display="http://www.gsk.com/media/pressreleases/2007/2007_06_25_GSK1088.htm" xr:uid="{00000000-0004-0000-0000-0000B4000000}"/>
    <hyperlink ref="C304" r:id="rId157" display="http://www.gsk.com/media/pressreleases/2007/2007_06_24_GSK1091.htm" xr:uid="{00000000-0004-0000-0000-0000B5000000}"/>
    <hyperlink ref="C305" r:id="rId158" display="http://www.gsk.com/media/pressreleases/2007/2007_06_22_GSK1087.htm" xr:uid="{00000000-0004-0000-0000-0000B6000000}"/>
    <hyperlink ref="C306" r:id="rId159" display="http://www.gsk.com/media/pressreleases/2007/2007_06_18_GSK1086.htm" xr:uid="{00000000-0004-0000-0000-0000B7000000}"/>
    <hyperlink ref="C307" r:id="rId160" display="http://www.gsk.com/media/pressreleases/2007/2007_06_15_GSK1085.htm" xr:uid="{00000000-0004-0000-0000-0000B8000000}"/>
    <hyperlink ref="C308" r:id="rId161" display="http://www.gsk.com/media/pressreleases/2007/2007_06_13_GSK1080.htm" xr:uid="{00000000-0004-0000-0000-0000B9000000}"/>
    <hyperlink ref="C309" r:id="rId162" display="http://www.gsk.com/media/pressreleases/2007/2007_06_13_GSK1082.htm" xr:uid="{00000000-0004-0000-0000-0000BA000000}"/>
    <hyperlink ref="C310" r:id="rId163" display="http://www.gsk.com/media/pressreleases/2007/2007_06_13_GSK1084.htm" xr:uid="{00000000-0004-0000-0000-0000BB000000}"/>
    <hyperlink ref="C311" r:id="rId164" display="http://www.gsk.com/media/pressreleases/2007/2007_06_12_GSK1079.htm" xr:uid="{00000000-0004-0000-0000-0000BC000000}"/>
    <hyperlink ref="C312" r:id="rId165" display="http://www.gsk.com/media/pressreleases/2007/2007_06_12_GSK1081.htm" xr:uid="{00000000-0004-0000-0000-0000BD000000}"/>
    <hyperlink ref="C313" r:id="rId166" display="http://www.gsk.com/media/pressreleases/2007/2007_06_11_GSK1076.htm" xr:uid="{00000000-0004-0000-0000-0000BE000000}"/>
    <hyperlink ref="C314" r:id="rId167" display="http://www.gsk.com/media/pressreleases/2007/2007_06_09_GSK1075.htm" xr:uid="{00000000-0004-0000-0000-0000BF000000}"/>
    <hyperlink ref="C315" r:id="rId168" display="http://www.gsk.com/media/pressreleases/2007/2007_06_06_GSK1066.htm" xr:uid="{00000000-0004-0000-0000-0000C0000000}"/>
    <hyperlink ref="C316" r:id="rId169" display="http://www.gsk.com/media/pressreleases/2007/2007_06_06_GSK1067.htm" xr:uid="{00000000-0004-0000-0000-0000C1000000}"/>
    <hyperlink ref="C317" r:id="rId170" display="http://www.gsk.com/media/pressreleases/2007/2007_06_05_GSK1057.htm" xr:uid="{00000000-0004-0000-0000-0000C2000000}"/>
    <hyperlink ref="C318" r:id="rId171" display="http://www.gsk.com/media/pressreleases/2007/2007_06_05_GSK1058.htm" xr:uid="{00000000-0004-0000-0000-0000C3000000}"/>
    <hyperlink ref="C319" r:id="rId172" display="http://www.gsk.com/media/pressreleases/2007/2007_06_05_GSK1062.htm" xr:uid="{00000000-0004-0000-0000-0000C4000000}"/>
    <hyperlink ref="C320" r:id="rId173" display="http://www.gsk.com/media/pressreleases/2007/2007_06_05_GSK1063.htm" xr:uid="{00000000-0004-0000-0000-0000C5000000}"/>
    <hyperlink ref="C321" r:id="rId174" display="http://www.gsk.com/media/pressreleases/2007/2007_06_04_GSK1055.htm" xr:uid="{00000000-0004-0000-0000-0000C6000000}"/>
    <hyperlink ref="C322" r:id="rId175" display="http://www.gsk.com/media/pressreleases/2007/2007_06_04_GSK1056.htm" xr:uid="{00000000-0004-0000-0000-0000C7000000}"/>
    <hyperlink ref="C323" r:id="rId176" display="http://www.gsk.com/media/pressreleases/2007/2007_06_03_GSK1054.htm" xr:uid="{00000000-0004-0000-0000-0000C8000000}"/>
    <hyperlink ref="C324" r:id="rId177" display="http://www.gsk.com/media/pressreleases/2007/2007_06_01_GSK1053.htm" xr:uid="{00000000-0004-0000-0000-0000C9000000}"/>
    <hyperlink ref="C325" r:id="rId178" display="http://www.gsk.com/media/pressreleases/2007/2007_06_01_GSK1061.htm" xr:uid="{00000000-0004-0000-0000-0000CA000000}"/>
    <hyperlink ref="C326" r:id="rId179" display="http://www.gsk.com/media/pressreleases/2007/2007_05_30_GSK1052.htm" xr:uid="{00000000-0004-0000-0000-0000CB000000}"/>
    <hyperlink ref="C327" r:id="rId180" display="http://www.gsk.com/media/pressreleases/2007/2007_05_25_GSK1045.htm" xr:uid="{00000000-0004-0000-0000-0000CC000000}"/>
    <hyperlink ref="C328" r:id="rId181" display="http://www.gsk.com/media/pressreleases/2007/2007_05_24_GSK1043.htm" xr:uid="{00000000-0004-0000-0000-0000CD000000}"/>
    <hyperlink ref="C329" r:id="rId182" display="http://www.gsk.com/media/pressreleases/2007/2007_05_23_GSK1041.htm" xr:uid="{00000000-0004-0000-0000-0000CE000000}"/>
    <hyperlink ref="C330" r:id="rId183" display="http://www.gsk.com/media/pressreleases/2007/2007_05_23_GSK1042.htm" xr:uid="{00000000-0004-0000-0000-0000CF000000}"/>
    <hyperlink ref="C331" r:id="rId184" display="http://www.gsk.com/media/pressreleases/2007/2007_05_22_GSK1040.htm" xr:uid="{00000000-0004-0000-0000-0000D0000000}"/>
    <hyperlink ref="C332" r:id="rId185" display="http://www.gsk.com/media/pressreleases/2007/2007_05_21_GSK1037.htm" xr:uid="{00000000-0004-0000-0000-0000D1000000}"/>
    <hyperlink ref="C333" r:id="rId186" display="http://www.gsk.com/media/pressreleases/2007/2007_05_21_GSK1038.htm" xr:uid="{00000000-0004-0000-0000-0000D2000000}"/>
    <hyperlink ref="C334" r:id="rId187" display="http://www.gsk.com/media/pressreleases/2007/2007_05_21_GSK1039.htm" xr:uid="{00000000-0004-0000-0000-0000D3000000}"/>
    <hyperlink ref="C335" r:id="rId188" display="http://www.gsk.com/media/pressreleases/2007/2007_05_17_GSK1036.htm" xr:uid="{00000000-0004-0000-0000-0000D4000000}"/>
    <hyperlink ref="C336" r:id="rId189" display="http://www.gsk.com/media/pressreleases/2007/2007_05_11_GSK1031.htm" xr:uid="{00000000-0004-0000-0000-0000D5000000}"/>
    <hyperlink ref="C337" r:id="rId190" display="http://www.gsk.com/media/pressreleases/2007/2007_05_10_GSK1029.htm" xr:uid="{00000000-0004-0000-0000-0000D6000000}"/>
    <hyperlink ref="C338" r:id="rId191" display="http://www.gsk.com/media/pressreleases/2007/2007_05_08_GSK1028.htm" xr:uid="{00000000-0004-0000-0000-0000D7000000}"/>
    <hyperlink ref="C339" r:id="rId192" display="http://www.gsk.com/media/pressreleases/2007/2007_05_07_GSK1027.htm" xr:uid="{00000000-0004-0000-0000-0000D8000000}"/>
    <hyperlink ref="C340" r:id="rId193" display="http://www.gsk.com/media/pressreleases/2007/2007_05_02_GSK1024.htm" xr:uid="{00000000-0004-0000-0000-0000D9000000}"/>
    <hyperlink ref="C341" r:id="rId194" display="http://www.gsk.com/media/pressreleases/2007/2007_05_02_GSK1025.htm" xr:uid="{00000000-0004-0000-0000-0000DA000000}"/>
    <hyperlink ref="C342" r:id="rId195" display="http://www.gsk.com/media/pressreleases/2007/2007_05_01_GSK1022.htm" xr:uid="{00000000-0004-0000-0000-0000DB000000}"/>
    <hyperlink ref="C343" r:id="rId196" display="http://www.gsk.com/media/pressreleases/2007/2007_05_01_GSK1023.htm" xr:uid="{00000000-0004-0000-0000-0000DC000000}"/>
    <hyperlink ref="C344" r:id="rId197" display="http://www.gsk.com/media/pressreleases/2007/2007_04_30_GSK1021.htm" xr:uid="{00000000-0004-0000-0000-0000DD000000}"/>
    <hyperlink ref="C345" r:id="rId198" display="http://www.gsk.com/media/pressreleases/2007/2007_04_27_GSK1020.htm" xr:uid="{00000000-0004-0000-0000-0000DE000000}"/>
    <hyperlink ref="C346" r:id="rId199" display="http://www.gsk.com/media/pressreleases/2007/2007_04_25_GSK1018.htm" xr:uid="{00000000-0004-0000-0000-0000DF000000}"/>
    <hyperlink ref="C347" r:id="rId200" display="http://www.gsk.com/media/pressreleases/2007/2007_04_18_GSK1016.htm" xr:uid="{00000000-0004-0000-0000-0000E0000000}"/>
    <hyperlink ref="C348" r:id="rId201" display="http://www.gsk.com/media/pressreleases/2007/2007_04_18_GSK1017.htm" xr:uid="{00000000-0004-0000-0000-0000E1000000}"/>
    <hyperlink ref="C349" r:id="rId202" display="http://www.gsk.com/media/pressreleases/2007/2007_04_17_GSK1015.htm" xr:uid="{00000000-0004-0000-0000-0000E2000000}"/>
    <hyperlink ref="C350" r:id="rId203" display="http://www.gsk.com/media/pressreleases/2007/2007_04_12_GSK1013.htm" xr:uid="{00000000-0004-0000-0000-0000E3000000}"/>
    <hyperlink ref="C351" r:id="rId204" display="http://www.gsk.com/media/pressreleases/2007/2007_04_12_GSK1014.htm" xr:uid="{00000000-0004-0000-0000-0000E4000000}"/>
    <hyperlink ref="C352" r:id="rId205" display="http://www.gsk.com/media/pressreleases/2007/2007_04_09_GSK1012.htm" xr:uid="{00000000-0004-0000-0000-0000E5000000}"/>
    <hyperlink ref="C353" r:id="rId206" display="http://www.gsk.com/media/pressreleases/2007/2007_04_03_GSK1010.htm" xr:uid="{00000000-0004-0000-0000-0000E6000000}"/>
    <hyperlink ref="C354" r:id="rId207" display="http://www.gsk.com/media/pressreleases/2007/2007_04_03_GSK1011.htm" xr:uid="{00000000-0004-0000-0000-0000E7000000}"/>
    <hyperlink ref="C355" r:id="rId208" display="http://www.gsk.com/media/pressreleases/2007/2007_04_02_GSK1008.htm" xr:uid="{00000000-0004-0000-0000-0000E8000000}"/>
    <hyperlink ref="C356" r:id="rId209" display="http://www.gsk.com/media/pressreleases/2007/2007_04_02_GSK1009.htm" xr:uid="{00000000-0004-0000-0000-0000E9000000}"/>
    <hyperlink ref="C357" r:id="rId210" display="http://www.gsk.com/media/pressreleases/2007/2007_03_30_GSK1006.htm" xr:uid="{00000000-0004-0000-0000-0000EA000000}"/>
    <hyperlink ref="C358" r:id="rId211" display="http://www.gsk.com/media/pressreleases/2007/2007_03_29_GSK1000.htm" xr:uid="{00000000-0004-0000-0000-0000EB000000}"/>
    <hyperlink ref="C359" r:id="rId212" display="http://www.gsk.com/media/pressreleases/2007/2007_03_29_GSK999.htm" xr:uid="{00000000-0004-0000-0000-0000EC000000}"/>
    <hyperlink ref="C360" r:id="rId213" display="http://www.gsk.com/media/pressreleases/2007/2007_03_26_GSK998.htm" xr:uid="{00000000-0004-0000-0000-0000ED000000}"/>
    <hyperlink ref="C361" r:id="rId214" display="http://www.gsk.com/media/pressreleases/2007/2007_03_23_GSK997.htm" xr:uid="{00000000-0004-0000-0000-0000EE000000}"/>
    <hyperlink ref="C362" r:id="rId215" display="http://www.gsk.com/media/pressreleases/2007/2007_03_22_GSK995.htm" xr:uid="{00000000-0004-0000-0000-0000EF000000}"/>
    <hyperlink ref="C363" r:id="rId216" display="http://www.gsk.com/media/pressreleases/2007/2007_03_22_GSK996.htm" xr:uid="{00000000-0004-0000-0000-0000F0000000}"/>
    <hyperlink ref="C364" r:id="rId217" display="http://www.gsk.com/media/pressreleases/2007/2007_03_20_GSK994.htm" xr:uid="{00000000-0004-0000-0000-0000F1000000}"/>
    <hyperlink ref="C365" r:id="rId218" display="http://www.gsk.com/media/pressreleases/2007/2007_03_13_GSK993.htm" xr:uid="{00000000-0004-0000-0000-0000F2000000}"/>
    <hyperlink ref="C366" r:id="rId219" display="http://www.gsk.com/media/pressreleases/2007/2007_03_09_GSK992.htm" xr:uid="{00000000-0004-0000-0000-0000F3000000}"/>
    <hyperlink ref="C367" r:id="rId220" display="http://www.gsk.com/media/pressreleases/2007/2007_03_05_GSK989.htm" xr:uid="{00000000-0004-0000-0000-0000F4000000}"/>
    <hyperlink ref="C368" r:id="rId221" display="http://www.gsk.com/media/pressreleases/2007/2007_03_01_GSK987.htm" xr:uid="{00000000-0004-0000-0000-0000F5000000}"/>
    <hyperlink ref="C369" r:id="rId222" display="http://www.gsk.com/media/pressreleases/2007/2007_02_27_GSK986.htm" xr:uid="{00000000-0004-0000-0000-0000F6000000}"/>
    <hyperlink ref="C370" r:id="rId223" display="http://www.gsk.com/media/pressreleases/2007/2007_02_26_GSK985.htm" xr:uid="{00000000-0004-0000-0000-0000F7000000}"/>
    <hyperlink ref="C371" r:id="rId224" display="http://www.gsk.com/media/pressreleases/2007/2007_02_21_GSK984.htm" xr:uid="{00000000-0004-0000-0000-0000F8000000}"/>
    <hyperlink ref="C372" r:id="rId225" display="http://www.gsk.com/media/pressreleases/2007/2007_02_20_GSK980.htm" xr:uid="{00000000-0004-0000-0000-0000F9000000}"/>
    <hyperlink ref="C373" r:id="rId226" display="http://www.gsk.com/media/pressreleases/2007/2007_02_20_GSK981.htm" xr:uid="{00000000-0004-0000-0000-0000FA000000}"/>
    <hyperlink ref="C374" r:id="rId227" display="http://www.gsk.com/media/pressreleases/2007/2007_02_16_GSK978.htm" xr:uid="{00000000-0004-0000-0000-0000FB000000}"/>
    <hyperlink ref="C375" r:id="rId228" display="http://www.gsk.com/media/pressreleases/2007/2007_02_16_GSK979.htm" xr:uid="{00000000-0004-0000-0000-0000FC000000}"/>
    <hyperlink ref="C376" r:id="rId229" display="http://www.gsk.com/media/pressreleases/2007/2007_02_13_GSK975.htm" xr:uid="{00000000-0004-0000-0000-0000FD000000}"/>
    <hyperlink ref="C377" r:id="rId230" display="http://www.gsk.com/media/pressreleases/2007/2007_02_13_GSK976.htm" xr:uid="{00000000-0004-0000-0000-0000FE000000}"/>
    <hyperlink ref="C378" r:id="rId231" display="http://www.gsk.com/media/pressreleases/2007/2007_02_13_GSK977.htm" xr:uid="{00000000-0004-0000-0000-0000FF000000}"/>
    <hyperlink ref="C379" r:id="rId232" display="http://www.gsk.com/media/pressreleases/2007/2007_02_12_GSK974.htm" xr:uid="{00000000-0004-0000-0000-000000010000}"/>
    <hyperlink ref="C380" r:id="rId233" display="http://www.gsk.com/media/pressreleases/2007/2007_02_09_GSK973.htm" xr:uid="{00000000-0004-0000-0000-000001010000}"/>
    <hyperlink ref="C381" r:id="rId234" display="http://www.gsk.com/media/pressreleases/2007/2007_02_08_GSK968.htm" xr:uid="{00000000-0004-0000-0000-000002010000}"/>
    <hyperlink ref="C382" r:id="rId235" display="http://www.gsk.com/media/pressreleases/2007/2007_02_08_GSK969.htm" xr:uid="{00000000-0004-0000-0000-000003010000}"/>
    <hyperlink ref="C383" r:id="rId236" display="http://www.gsk.com/media/pressreleases/2007/2007_02_08_GSK970.htm" xr:uid="{00000000-0004-0000-0000-000004010000}"/>
    <hyperlink ref="C384" r:id="rId237" display="http://www.gsk.com/media/pressreleases/2007/2007_02_07_GSK965.htm" xr:uid="{00000000-0004-0000-0000-000005010000}"/>
    <hyperlink ref="C385" r:id="rId238" display="http://www.gsk.com/media/pressreleases/2007/2007_02_07_GSK966.htm" xr:uid="{00000000-0004-0000-0000-000006010000}"/>
    <hyperlink ref="C386" r:id="rId239" display="http://www.gsk.com/media/pressreleases/2007/2007_02_02_GSK963.htm" xr:uid="{00000000-0004-0000-0000-000007010000}"/>
    <hyperlink ref="C387" r:id="rId240" display="http://www.gsk.com/media/pressreleases/2007/2007_02_02_GSK964.htm" xr:uid="{00000000-0004-0000-0000-000008010000}"/>
    <hyperlink ref="C388" r:id="rId241" display="http://www.gsk.com/media/pressreleases/2007/2007_01_29_GSK960.htm" xr:uid="{00000000-0004-0000-0000-000009010000}"/>
    <hyperlink ref="C389" r:id="rId242" display="http://www.gsk.com/media/pressreleases/2007/2007_01_29_GSK961.htm" xr:uid="{00000000-0004-0000-0000-00000A010000}"/>
    <hyperlink ref="C390" r:id="rId243" display="http://www.gsk.com/media/pressreleases/2007/2007_01_18_GSK959.htm" xr:uid="{00000000-0004-0000-0000-00000B010000}"/>
    <hyperlink ref="C391" r:id="rId244" display="http://www.gsk.com/media/pressreleases/2007/2007_01_17_GSK957.htm" xr:uid="{00000000-0004-0000-0000-00000C010000}"/>
    <hyperlink ref="C392" r:id="rId245" display="http://www.gsk.com/media/pressreleases/2007/2007_01_16_GSK956.htm" xr:uid="{00000000-0004-0000-0000-00000D010000}"/>
    <hyperlink ref="C393" r:id="rId246" display="http://www.gsk.com/media/pressreleases/2007/2007_01_09_GSK955.htm" xr:uid="{00000000-0004-0000-0000-00000E010000}"/>
    <hyperlink ref="B37" location="Allermist!A1" display="Allermist" xr:uid="{00000000-0004-0000-0000-000005000000}"/>
    <hyperlink ref="B33" location="Lamictal!A1" display="Lamictal  (lamotrigine)" xr:uid="{00000000-0004-0000-0000-00000F000000}"/>
    <hyperlink ref="B34" location="Lamictal!A1" display="Lamictal XR" xr:uid="{00000000-0004-0000-0000-000010000000}"/>
    <hyperlink ref="B35" location="Avodart!A1" display="Avodart (dutasteride)" xr:uid="{00000000-0004-0000-0000-000016000000}"/>
    <hyperlink ref="B36" location="Avodart!A1" display="Jalyn (dutasteride/tamsulosin)" xr:uid="{00000000-0004-0000-0000-00001801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65" t="s">
        <v>153</v>
      </c>
      <c r="C2" s="65" t="s">
        <v>72</v>
      </c>
    </row>
    <row r="3" spans="1:3" x14ac:dyDescent="0.2">
      <c r="B3" s="65" t="s">
        <v>154</v>
      </c>
      <c r="C3" s="65" t="s">
        <v>573</v>
      </c>
    </row>
    <row r="4" spans="1:3" x14ac:dyDescent="0.2">
      <c r="B4" s="65" t="s">
        <v>0</v>
      </c>
      <c r="C4" s="65" t="s">
        <v>71</v>
      </c>
    </row>
    <row r="5" spans="1:3" x14ac:dyDescent="0.2">
      <c r="B5" s="65" t="s">
        <v>3</v>
      </c>
      <c r="C5" s="65" t="s">
        <v>575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8"/>
  <sheetViews>
    <sheetView topLeftCell="A49" workbookViewId="0">
      <selection activeCell="B6" sqref="B6:M6 O6 P6:W7"/>
    </sheetView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36</v>
      </c>
      <c r="C3" s="12">
        <v>36</v>
      </c>
      <c r="D3" s="12">
        <v>30</v>
      </c>
      <c r="E3" s="12">
        <v>27</v>
      </c>
      <c r="F3" s="12">
        <v>24</v>
      </c>
      <c r="G3" s="12">
        <v>26</v>
      </c>
      <c r="H3" s="12">
        <v>25</v>
      </c>
      <c r="I3" s="12">
        <v>29</v>
      </c>
      <c r="J3" s="12">
        <v>23</v>
      </c>
      <c r="K3" s="12">
        <v>22.1</v>
      </c>
      <c r="L3" s="12">
        <v>22.1</v>
      </c>
      <c r="M3" s="12">
        <v>21.2</v>
      </c>
      <c r="N3" s="12"/>
      <c r="O3" s="12">
        <v>196</v>
      </c>
      <c r="P3" s="12">
        <v>129</v>
      </c>
      <c r="Q3" s="12">
        <v>104</v>
      </c>
      <c r="R3" s="12">
        <v>88.4</v>
      </c>
      <c r="S3" s="12">
        <v>79.56</v>
      </c>
      <c r="T3" s="12">
        <v>71.603999999999985</v>
      </c>
      <c r="U3" s="12">
        <v>64.443599999999989</v>
      </c>
      <c r="V3" s="12">
        <v>57.999239999999993</v>
      </c>
      <c r="W3" s="12">
        <v>52.199315999999996</v>
      </c>
    </row>
    <row r="4" spans="1:23" s="4" customFormat="1" x14ac:dyDescent="0.2">
      <c r="A4" s="8" t="s">
        <v>58</v>
      </c>
      <c r="B4" s="12">
        <v>42</v>
      </c>
      <c r="C4" s="12">
        <v>41</v>
      </c>
      <c r="D4" s="12">
        <v>39</v>
      </c>
      <c r="E4" s="12">
        <v>40</v>
      </c>
      <c r="F4" s="12">
        <v>40</v>
      </c>
      <c r="G4" s="12">
        <v>43</v>
      </c>
      <c r="H4" s="12">
        <v>38</v>
      </c>
      <c r="I4" s="12">
        <v>39</v>
      </c>
      <c r="J4" s="12">
        <v>36</v>
      </c>
      <c r="K4" s="12">
        <v>38</v>
      </c>
      <c r="L4" s="12">
        <v>38</v>
      </c>
      <c r="M4" s="12">
        <v>40</v>
      </c>
      <c r="N4" s="12"/>
      <c r="O4" s="12">
        <v>188</v>
      </c>
      <c r="P4" s="12">
        <v>162</v>
      </c>
      <c r="Q4" s="12">
        <v>160</v>
      </c>
      <c r="R4" s="12">
        <v>152</v>
      </c>
      <c r="S4" s="12">
        <v>136.80000000000001</v>
      </c>
      <c r="T4" s="12">
        <v>123.12</v>
      </c>
      <c r="U4" s="12">
        <v>110.80800000000002</v>
      </c>
      <c r="V4" s="12">
        <v>99.727200000000025</v>
      </c>
      <c r="W4" s="12">
        <v>89.754480000000029</v>
      </c>
    </row>
    <row r="5" spans="1:23" s="4" customFormat="1" x14ac:dyDescent="0.2">
      <c r="A5" s="8" t="s">
        <v>59</v>
      </c>
      <c r="B5" s="12">
        <v>11</v>
      </c>
      <c r="C5" s="12">
        <v>16</v>
      </c>
      <c r="D5" s="12">
        <v>13</v>
      </c>
      <c r="E5" s="12">
        <v>18</v>
      </c>
      <c r="F5" s="12">
        <v>15</v>
      </c>
      <c r="G5" s="12">
        <v>16</v>
      </c>
      <c r="H5" s="12">
        <v>16</v>
      </c>
      <c r="I5" s="12">
        <v>19</v>
      </c>
      <c r="J5" s="12">
        <v>15</v>
      </c>
      <c r="K5" s="12">
        <v>16.5</v>
      </c>
      <c r="L5" s="12">
        <v>16.5</v>
      </c>
      <c r="M5" s="12">
        <v>18</v>
      </c>
      <c r="N5" s="12"/>
      <c r="O5" s="12">
        <v>48</v>
      </c>
      <c r="P5" s="12">
        <v>58</v>
      </c>
      <c r="Q5" s="12">
        <v>66</v>
      </c>
      <c r="R5" s="12">
        <v>66</v>
      </c>
      <c r="S5" s="12">
        <v>66</v>
      </c>
      <c r="T5" s="12">
        <v>66</v>
      </c>
      <c r="U5" s="12">
        <v>66</v>
      </c>
      <c r="V5" s="12">
        <v>66</v>
      </c>
      <c r="W5" s="12">
        <v>66</v>
      </c>
    </row>
    <row r="6" spans="1:23" x14ac:dyDescent="0.2">
      <c r="A6" s="5"/>
      <c r="B6" s="13">
        <f>SUM(B3:B5)</f>
        <v>89</v>
      </c>
      <c r="C6" s="13">
        <f t="shared" ref="C6:W6" si="0">SUM(C3:C5)</f>
        <v>93</v>
      </c>
      <c r="D6" s="13">
        <f t="shared" si="0"/>
        <v>82</v>
      </c>
      <c r="E6" s="13">
        <f t="shared" si="0"/>
        <v>85</v>
      </c>
      <c r="F6" s="13">
        <f t="shared" si="0"/>
        <v>79</v>
      </c>
      <c r="G6" s="13">
        <f t="shared" si="0"/>
        <v>85</v>
      </c>
      <c r="H6" s="13">
        <f t="shared" si="0"/>
        <v>79</v>
      </c>
      <c r="I6" s="13">
        <f t="shared" si="0"/>
        <v>87</v>
      </c>
      <c r="J6" s="13">
        <f t="shared" si="0"/>
        <v>74</v>
      </c>
      <c r="K6" s="13">
        <f t="shared" si="0"/>
        <v>76.599999999999994</v>
      </c>
      <c r="L6" s="13">
        <f t="shared" si="0"/>
        <v>76.599999999999994</v>
      </c>
      <c r="M6" s="13">
        <f t="shared" si="0"/>
        <v>79.2</v>
      </c>
      <c r="N6" s="13"/>
      <c r="O6" s="13">
        <f t="shared" si="0"/>
        <v>432</v>
      </c>
      <c r="P6" s="13">
        <f t="shared" si="0"/>
        <v>349</v>
      </c>
      <c r="Q6" s="13">
        <f t="shared" si="0"/>
        <v>330</v>
      </c>
      <c r="R6" s="13">
        <f t="shared" si="0"/>
        <v>306.39999999999998</v>
      </c>
      <c r="S6" s="13">
        <f t="shared" si="0"/>
        <v>282.36</v>
      </c>
      <c r="T6" s="13">
        <f t="shared" si="0"/>
        <v>260.72399999999999</v>
      </c>
      <c r="U6" s="13">
        <f t="shared" si="0"/>
        <v>241.2516</v>
      </c>
      <c r="V6" s="13">
        <f t="shared" si="0"/>
        <v>223.72644000000003</v>
      </c>
      <c r="W6" s="13">
        <f t="shared" si="0"/>
        <v>207.95379600000001</v>
      </c>
    </row>
    <row r="7" spans="1:23" x14ac:dyDescent="0.2">
      <c r="P7" s="14">
        <f>P6/O6-1</f>
        <v>-0.19212962962962965</v>
      </c>
      <c r="Q7" s="14">
        <f t="shared" ref="Q7:W7" si="1">Q6/P6-1</f>
        <v>-5.4441260744985676E-2</v>
      </c>
      <c r="R7" s="14">
        <f t="shared" si="1"/>
        <v>-7.1515151515151532E-2</v>
      </c>
      <c r="S7" s="14">
        <f t="shared" si="1"/>
        <v>-7.8459530026109503E-2</v>
      </c>
      <c r="T7" s="14">
        <f t="shared" si="1"/>
        <v>-7.6625584360391019E-2</v>
      </c>
      <c r="U7" s="14">
        <f t="shared" si="1"/>
        <v>-7.4685874718092626E-2</v>
      </c>
      <c r="V7" s="14">
        <f t="shared" si="1"/>
        <v>-7.2642668483856587E-2</v>
      </c>
      <c r="W7" s="14">
        <f t="shared" si="1"/>
        <v>-7.0499687028497848E-2</v>
      </c>
    </row>
    <row r="8" spans="1:23" x14ac:dyDescent="0.2">
      <c r="A8" s="4" t="s">
        <v>106</v>
      </c>
    </row>
  </sheetData>
  <phoneticPr fontId="4" type="noConversion"/>
  <pageMargins left="0.75" right="0.75" top="1" bottom="1" header="0.5" footer="0.5"/>
  <headerFooter alignWithMargins="0"/>
  <ignoredErrors>
    <ignoredError sqref="O6:W6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65" t="s">
        <v>153</v>
      </c>
      <c r="C2" s="112" t="s">
        <v>1204</v>
      </c>
    </row>
    <row r="3" spans="1:3" x14ac:dyDescent="0.2">
      <c r="B3" s="112" t="s">
        <v>154</v>
      </c>
      <c r="C3" s="112" t="s">
        <v>1205</v>
      </c>
    </row>
    <row r="4" spans="1:3" x14ac:dyDescent="0.2">
      <c r="B4" s="65" t="s">
        <v>0</v>
      </c>
      <c r="C4" s="65" t="s">
        <v>821</v>
      </c>
    </row>
    <row r="5" spans="1:3" x14ac:dyDescent="0.2">
      <c r="B5" s="65" t="s">
        <v>174</v>
      </c>
      <c r="C5" s="112" t="s">
        <v>822</v>
      </c>
    </row>
    <row r="6" spans="1:3" x14ac:dyDescent="0.2">
      <c r="B6" s="65"/>
      <c r="C6" s="112" t="s">
        <v>1186</v>
      </c>
    </row>
    <row r="7" spans="1:3" x14ac:dyDescent="0.2">
      <c r="B7" s="65"/>
      <c r="C7" s="112" t="s">
        <v>1206</v>
      </c>
    </row>
    <row r="8" spans="1:3" x14ac:dyDescent="0.2">
      <c r="B8" s="65"/>
      <c r="C8" s="112" t="s">
        <v>1258</v>
      </c>
    </row>
    <row r="9" spans="1:3" x14ac:dyDescent="0.2">
      <c r="B9" s="65"/>
      <c r="C9" s="112" t="s">
        <v>1259</v>
      </c>
    </row>
    <row r="10" spans="1:3" x14ac:dyDescent="0.2">
      <c r="B10" s="65" t="s">
        <v>3</v>
      </c>
      <c r="C10" s="65" t="s">
        <v>823</v>
      </c>
    </row>
    <row r="11" spans="1:3" x14ac:dyDescent="0.2">
      <c r="B11" s="112" t="s">
        <v>169</v>
      </c>
    </row>
    <row r="12" spans="1:3" x14ac:dyDescent="0.2">
      <c r="C12" s="113" t="s">
        <v>1187</v>
      </c>
    </row>
    <row r="16" spans="1:3" x14ac:dyDescent="0.2">
      <c r="C16" s="113" t="s">
        <v>1295</v>
      </c>
    </row>
    <row r="17" spans="3:3" x14ac:dyDescent="0.2">
      <c r="C17" s="112" t="s">
        <v>1294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W11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.5703125" customWidth="1"/>
    <col min="15" max="23" width="5.28515625" customWidth="1"/>
  </cols>
  <sheetData>
    <row r="4" spans="1:23" s="7" customFormat="1" x14ac:dyDescent="0.2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">
      <c r="A5" s="8" t="s">
        <v>57</v>
      </c>
      <c r="B5" s="12">
        <v>63</v>
      </c>
      <c r="C5" s="12">
        <v>65</v>
      </c>
      <c r="D5" s="12">
        <v>59</v>
      </c>
      <c r="E5" s="12">
        <v>64</v>
      </c>
      <c r="F5" s="12">
        <v>61</v>
      </c>
      <c r="G5" s="12">
        <v>64</v>
      </c>
      <c r="H5" s="12">
        <v>65</v>
      </c>
      <c r="I5" s="12">
        <v>72</v>
      </c>
      <c r="J5" s="12">
        <v>86</v>
      </c>
      <c r="K5" s="12">
        <v>70</v>
      </c>
      <c r="L5" s="12">
        <v>65</v>
      </c>
      <c r="M5" s="12">
        <v>59</v>
      </c>
      <c r="N5" s="12"/>
      <c r="O5" s="12">
        <v>319</v>
      </c>
      <c r="P5" s="12">
        <v>251</v>
      </c>
      <c r="Q5" s="12">
        <v>262</v>
      </c>
      <c r="R5" s="12">
        <v>280</v>
      </c>
      <c r="S5" s="12">
        <v>266</v>
      </c>
      <c r="T5" s="12">
        <v>252.7</v>
      </c>
      <c r="U5" s="12">
        <v>240.065</v>
      </c>
      <c r="V5" s="12">
        <v>228.06174999999996</v>
      </c>
      <c r="W5" s="12">
        <v>216.65866249999996</v>
      </c>
    </row>
    <row r="6" spans="1:23" s="4" customFormat="1" x14ac:dyDescent="0.2">
      <c r="A6" s="8" t="s">
        <v>58</v>
      </c>
      <c r="B6" s="12">
        <v>48</v>
      </c>
      <c r="C6" s="12">
        <v>48</v>
      </c>
      <c r="D6" s="12">
        <v>43</v>
      </c>
      <c r="E6" s="12">
        <v>50</v>
      </c>
      <c r="F6" s="12">
        <v>49</v>
      </c>
      <c r="G6" s="12">
        <v>48</v>
      </c>
      <c r="H6" s="12">
        <v>42</v>
      </c>
      <c r="I6" s="12">
        <v>49</v>
      </c>
      <c r="J6" s="12">
        <v>47</v>
      </c>
      <c r="K6" s="12">
        <v>46</v>
      </c>
      <c r="L6" s="12">
        <v>44</v>
      </c>
      <c r="M6" s="12">
        <v>41.6</v>
      </c>
      <c r="N6" s="12"/>
      <c r="O6" s="12">
        <v>207</v>
      </c>
      <c r="P6" s="12">
        <v>189</v>
      </c>
      <c r="Q6" s="12">
        <v>188</v>
      </c>
      <c r="R6" s="12">
        <v>178.6</v>
      </c>
      <c r="S6" s="12">
        <v>169.67</v>
      </c>
      <c r="T6" s="12">
        <v>161.18649999999997</v>
      </c>
      <c r="U6" s="12">
        <v>153.12717499999997</v>
      </c>
      <c r="V6" s="12">
        <v>145.47081624999996</v>
      </c>
      <c r="W6" s="12">
        <v>138.19727543749994</v>
      </c>
    </row>
    <row r="7" spans="1:23" s="4" customFormat="1" x14ac:dyDescent="0.2">
      <c r="A7" s="8" t="s">
        <v>59</v>
      </c>
      <c r="B7" s="12">
        <v>43</v>
      </c>
      <c r="C7" s="12">
        <v>43</v>
      </c>
      <c r="D7" s="12">
        <v>39</v>
      </c>
      <c r="E7" s="12">
        <v>53</v>
      </c>
      <c r="F7" s="12">
        <v>44</v>
      </c>
      <c r="G7" s="12">
        <v>47</v>
      </c>
      <c r="H7" s="12">
        <v>44</v>
      </c>
      <c r="I7" s="12">
        <v>53</v>
      </c>
      <c r="J7" s="12">
        <v>45</v>
      </c>
      <c r="K7" s="12">
        <v>47</v>
      </c>
      <c r="L7" s="12">
        <v>47</v>
      </c>
      <c r="M7" s="12">
        <v>49</v>
      </c>
      <c r="N7" s="12"/>
      <c r="O7" s="12">
        <v>178</v>
      </c>
      <c r="P7" s="12">
        <v>178</v>
      </c>
      <c r="Q7" s="12">
        <v>188</v>
      </c>
      <c r="R7" s="12">
        <v>188</v>
      </c>
      <c r="S7" s="12">
        <v>178.6</v>
      </c>
      <c r="T7" s="12">
        <v>169.67</v>
      </c>
      <c r="U7" s="12">
        <v>161.18649999999997</v>
      </c>
      <c r="V7" s="12">
        <v>153.12717499999997</v>
      </c>
      <c r="W7" s="12">
        <v>145.47081624999996</v>
      </c>
    </row>
    <row r="10" spans="1:23" x14ac:dyDescent="0.2">
      <c r="A10" s="4" t="s">
        <v>113</v>
      </c>
    </row>
    <row r="11" spans="1:23" x14ac:dyDescent="0.2">
      <c r="A11" t="s">
        <v>114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7" sqref="O27"/>
    </sheetView>
  </sheetViews>
  <sheetFormatPr defaultRowHeight="12.75" x14ac:dyDescent="0.2"/>
  <cols>
    <col min="1" max="1" width="5" bestFit="1" customWidth="1"/>
    <col min="2" max="2" width="14.5703125" bestFit="1" customWidth="1"/>
    <col min="3" max="14" width="8.42578125" style="68" customWidth="1"/>
  </cols>
  <sheetData>
    <row r="1" spans="1:19" x14ac:dyDescent="0.2">
      <c r="A1" s="20" t="s">
        <v>135</v>
      </c>
    </row>
    <row r="2" spans="1:19" x14ac:dyDescent="0.2">
      <c r="C2" s="68" t="s">
        <v>614</v>
      </c>
      <c r="D2" s="68" t="s">
        <v>615</v>
      </c>
      <c r="E2" s="68" t="s">
        <v>616</v>
      </c>
      <c r="F2" s="68" t="s">
        <v>617</v>
      </c>
      <c r="G2" s="68" t="s">
        <v>618</v>
      </c>
      <c r="H2" s="68" t="s">
        <v>619</v>
      </c>
      <c r="I2" s="68" t="s">
        <v>620</v>
      </c>
      <c r="J2" s="68" t="s">
        <v>601</v>
      </c>
      <c r="K2" s="68" t="s">
        <v>608</v>
      </c>
      <c r="L2" s="68" t="s">
        <v>621</v>
      </c>
      <c r="M2" s="68" t="s">
        <v>622</v>
      </c>
      <c r="N2" s="68" t="s">
        <v>623</v>
      </c>
      <c r="S2" s="112" t="s">
        <v>147</v>
      </c>
    </row>
    <row r="3" spans="1:19" x14ac:dyDescent="0.2">
      <c r="B3" t="s">
        <v>624</v>
      </c>
      <c r="K3" s="71">
        <v>63</v>
      </c>
    </row>
    <row r="4" spans="1:19" x14ac:dyDescent="0.2">
      <c r="B4" t="s">
        <v>625</v>
      </c>
      <c r="K4" s="71">
        <v>21</v>
      </c>
    </row>
    <row r="5" spans="1:19" x14ac:dyDescent="0.2">
      <c r="B5" t="s">
        <v>626</v>
      </c>
      <c r="K5" s="71">
        <v>25</v>
      </c>
      <c r="S5" s="112" t="s">
        <v>1233</v>
      </c>
    </row>
    <row r="6" spans="1:19" x14ac:dyDescent="0.2">
      <c r="B6" t="s">
        <v>627</v>
      </c>
      <c r="K6" s="71">
        <v>92</v>
      </c>
    </row>
    <row r="7" spans="1:19" x14ac:dyDescent="0.2">
      <c r="B7" t="s">
        <v>628</v>
      </c>
      <c r="K7" s="71">
        <v>117</v>
      </c>
    </row>
    <row r="8" spans="1:19" x14ac:dyDescent="0.2">
      <c r="B8" t="s">
        <v>629</v>
      </c>
      <c r="K8" s="71">
        <v>26</v>
      </c>
    </row>
    <row r="9" spans="1:19" x14ac:dyDescent="0.2">
      <c r="B9" t="s">
        <v>631</v>
      </c>
      <c r="K9" s="71">
        <v>273</v>
      </c>
    </row>
    <row r="10" spans="1:19" s="69" customFormat="1" x14ac:dyDescent="0.2">
      <c r="B10" s="69" t="s">
        <v>630</v>
      </c>
      <c r="C10" s="70"/>
      <c r="D10" s="70"/>
      <c r="E10" s="70"/>
      <c r="F10" s="70"/>
      <c r="G10" s="70"/>
      <c r="H10" s="70"/>
      <c r="I10" s="70"/>
      <c r="J10" s="70"/>
      <c r="K10" s="72">
        <f>SUM(K3:K9)</f>
        <v>617</v>
      </c>
      <c r="L10" s="70"/>
      <c r="M10" s="70"/>
      <c r="N10" s="70"/>
    </row>
    <row r="11" spans="1:19" x14ac:dyDescent="0.2">
      <c r="B11" s="65" t="s">
        <v>632</v>
      </c>
      <c r="K11" s="71">
        <v>123</v>
      </c>
    </row>
    <row r="12" spans="1:19" x14ac:dyDescent="0.2">
      <c r="B12" s="65" t="s">
        <v>633</v>
      </c>
      <c r="K12" s="71">
        <v>7</v>
      </c>
    </row>
    <row r="13" spans="1:19" x14ac:dyDescent="0.2">
      <c r="B13" s="65" t="s">
        <v>634</v>
      </c>
      <c r="K13" s="71">
        <v>76</v>
      </c>
      <c r="S13" s="112" t="s">
        <v>1220</v>
      </c>
    </row>
    <row r="14" spans="1:19" x14ac:dyDescent="0.2">
      <c r="B14" s="65" t="s">
        <v>635</v>
      </c>
      <c r="K14" s="71">
        <v>133</v>
      </c>
      <c r="S14" s="112" t="s">
        <v>1130</v>
      </c>
    </row>
    <row r="15" spans="1:19" x14ac:dyDescent="0.2">
      <c r="B15" s="65" t="s">
        <v>636</v>
      </c>
      <c r="K15" s="71">
        <v>42</v>
      </c>
    </row>
    <row r="16" spans="1:19" s="69" customFormat="1" x14ac:dyDescent="0.2">
      <c r="B16" s="69" t="s">
        <v>158</v>
      </c>
      <c r="C16" s="70"/>
      <c r="D16" s="70"/>
      <c r="E16" s="70"/>
      <c r="F16" s="70"/>
      <c r="G16" s="70"/>
      <c r="H16" s="70"/>
      <c r="I16" s="70"/>
      <c r="J16" s="70"/>
      <c r="K16" s="72">
        <f>SUM(K11:K15)</f>
        <v>381</v>
      </c>
      <c r="L16" s="70"/>
      <c r="M16" s="70"/>
      <c r="N16" s="70"/>
    </row>
    <row r="17" spans="2:19" x14ac:dyDescent="0.2">
      <c r="B17" s="65" t="s">
        <v>637</v>
      </c>
      <c r="K17" s="71">
        <v>87</v>
      </c>
    </row>
    <row r="18" spans="2:19" x14ac:dyDescent="0.2">
      <c r="B18" s="65" t="s">
        <v>638</v>
      </c>
      <c r="K18" s="71">
        <v>82</v>
      </c>
      <c r="S18" s="112" t="s">
        <v>1261</v>
      </c>
    </row>
    <row r="19" spans="2:19" x14ac:dyDescent="0.2">
      <c r="B19" s="65" t="s">
        <v>639</v>
      </c>
      <c r="K19" s="71">
        <v>42</v>
      </c>
    </row>
    <row r="20" spans="2:19" x14ac:dyDescent="0.2">
      <c r="B20" s="65" t="s">
        <v>640</v>
      </c>
      <c r="K20" s="71">
        <v>22</v>
      </c>
    </row>
    <row r="21" spans="2:19" s="69" customFormat="1" x14ac:dyDescent="0.2">
      <c r="B21" s="69" t="s">
        <v>641</v>
      </c>
      <c r="C21" s="70"/>
      <c r="D21" s="70"/>
      <c r="E21" s="70"/>
      <c r="F21" s="70"/>
      <c r="G21" s="70"/>
      <c r="H21" s="70"/>
      <c r="I21" s="70"/>
      <c r="J21" s="70"/>
      <c r="K21" s="72">
        <f>SUM(K17:K20)</f>
        <v>233</v>
      </c>
      <c r="L21" s="70"/>
      <c r="M21" s="70"/>
      <c r="N21" s="70"/>
      <c r="S21" s="112" t="s">
        <v>1135</v>
      </c>
    </row>
    <row r="22" spans="2:19" s="69" customFormat="1" x14ac:dyDescent="0.2">
      <c r="B22" s="69" t="s">
        <v>369</v>
      </c>
      <c r="C22" s="70"/>
      <c r="D22" s="70"/>
      <c r="E22" s="70"/>
      <c r="F22" s="70"/>
      <c r="G22" s="70"/>
      <c r="H22" s="70"/>
      <c r="I22" s="70"/>
      <c r="J22" s="70"/>
      <c r="K22" s="72">
        <f>K21+K16+K10</f>
        <v>1231</v>
      </c>
      <c r="L22" s="70"/>
      <c r="M22" s="70"/>
      <c r="N22" s="70"/>
    </row>
    <row r="24" spans="2:19" x14ac:dyDescent="0.2">
      <c r="B24" s="65" t="s">
        <v>642</v>
      </c>
      <c r="K24" s="73">
        <v>246</v>
      </c>
    </row>
    <row r="25" spans="2:19" x14ac:dyDescent="0.2">
      <c r="B25" s="65" t="s">
        <v>643</v>
      </c>
      <c r="K25" s="73">
        <v>471</v>
      </c>
    </row>
    <row r="26" spans="2:19" x14ac:dyDescent="0.2">
      <c r="B26" s="65" t="s">
        <v>644</v>
      </c>
      <c r="K26" s="73">
        <v>514</v>
      </c>
    </row>
    <row r="27" spans="2:19" x14ac:dyDescent="0.2">
      <c r="B27" s="65" t="s">
        <v>369</v>
      </c>
      <c r="K27" s="71">
        <f>SUM(K24:K26)</f>
        <v>1231</v>
      </c>
    </row>
    <row r="32" spans="2:19" x14ac:dyDescent="0.2">
      <c r="B32" s="65" t="s">
        <v>645</v>
      </c>
      <c r="K32" s="74">
        <v>0.09</v>
      </c>
    </row>
    <row r="33" spans="2:11" x14ac:dyDescent="0.2">
      <c r="B33" s="65" t="s">
        <v>648</v>
      </c>
      <c r="K33" s="74">
        <v>0.03</v>
      </c>
    </row>
    <row r="34" spans="2:11" x14ac:dyDescent="0.2">
      <c r="B34" s="65" t="s">
        <v>647</v>
      </c>
      <c r="K34" s="74">
        <v>0.09</v>
      </c>
    </row>
    <row r="35" spans="2:11" x14ac:dyDescent="0.2">
      <c r="B35" s="65" t="s">
        <v>646</v>
      </c>
      <c r="K35" s="74">
        <v>0.13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1"/>
  <sheetViews>
    <sheetView zoomScaleNormal="100" workbookViewId="0"/>
  </sheetViews>
  <sheetFormatPr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17" t="s">
        <v>1184</v>
      </c>
    </row>
    <row r="3" spans="1:3" x14ac:dyDescent="0.2">
      <c r="B3" s="1" t="s">
        <v>154</v>
      </c>
      <c r="C3" s="117" t="s">
        <v>1185</v>
      </c>
    </row>
    <row r="4" spans="1:3" x14ac:dyDescent="0.2">
      <c r="B4" s="1" t="s">
        <v>156</v>
      </c>
      <c r="C4" s="1" t="s">
        <v>136</v>
      </c>
    </row>
    <row r="5" spans="1:3" x14ac:dyDescent="0.2">
      <c r="B5" s="1" t="s">
        <v>157</v>
      </c>
      <c r="C5" s="1" t="s">
        <v>158</v>
      </c>
    </row>
    <row r="6" spans="1:3" x14ac:dyDescent="0.2">
      <c r="B6" s="1" t="s">
        <v>2</v>
      </c>
      <c r="C6" s="1" t="s">
        <v>160</v>
      </c>
    </row>
    <row r="7" spans="1:3" x14ac:dyDescent="0.2">
      <c r="B7" s="117" t="s">
        <v>174</v>
      </c>
      <c r="C7" s="117" t="s">
        <v>1296</v>
      </c>
    </row>
    <row r="8" spans="1:3" x14ac:dyDescent="0.2">
      <c r="B8" s="1" t="s">
        <v>159</v>
      </c>
    </row>
    <row r="9" spans="1:3" x14ac:dyDescent="0.2">
      <c r="C9" s="19" t="s">
        <v>847</v>
      </c>
    </row>
    <row r="10" spans="1:3" x14ac:dyDescent="0.2">
      <c r="C10" s="31" t="s">
        <v>848</v>
      </c>
    </row>
    <row r="11" spans="1:3" x14ac:dyDescent="0.2">
      <c r="C11" s="31" t="s">
        <v>849</v>
      </c>
    </row>
    <row r="12" spans="1:3" x14ac:dyDescent="0.2">
      <c r="C12" s="31" t="s">
        <v>850</v>
      </c>
    </row>
    <row r="13" spans="1:3" x14ac:dyDescent="0.2">
      <c r="C13" s="31"/>
    </row>
    <row r="14" spans="1:3" x14ac:dyDescent="0.2">
      <c r="C14" s="19" t="s">
        <v>851</v>
      </c>
    </row>
    <row r="15" spans="1:3" x14ac:dyDescent="0.2">
      <c r="C15" s="31" t="s">
        <v>852</v>
      </c>
    </row>
    <row r="16" spans="1:3" x14ac:dyDescent="0.2">
      <c r="C16" s="31"/>
    </row>
    <row r="17" spans="3:4" x14ac:dyDescent="0.2">
      <c r="C17" s="19" t="s">
        <v>1136</v>
      </c>
    </row>
    <row r="18" spans="3:4" x14ac:dyDescent="0.2">
      <c r="C18" s="117" t="s">
        <v>1137</v>
      </c>
    </row>
    <row r="20" spans="3:4" x14ac:dyDescent="0.2">
      <c r="C20" s="19" t="s">
        <v>1234</v>
      </c>
    </row>
    <row r="21" spans="3:4" x14ac:dyDescent="0.2">
      <c r="C21" s="117" t="s">
        <v>1235</v>
      </c>
    </row>
    <row r="23" spans="3:4" x14ac:dyDescent="0.2">
      <c r="C23" s="19" t="s">
        <v>161</v>
      </c>
    </row>
    <row r="24" spans="3:4" x14ac:dyDescent="0.2">
      <c r="C24" s="1" t="s">
        <v>0</v>
      </c>
      <c r="D24" s="1" t="s">
        <v>163</v>
      </c>
    </row>
    <row r="25" spans="3:4" x14ac:dyDescent="0.2">
      <c r="C25" s="1" t="s">
        <v>162</v>
      </c>
      <c r="D25" s="1" t="s">
        <v>166</v>
      </c>
    </row>
    <row r="26" spans="3:4" x14ac:dyDescent="0.2">
      <c r="C26" s="1" t="s">
        <v>164</v>
      </c>
      <c r="D26" s="1" t="s">
        <v>165</v>
      </c>
    </row>
    <row r="28" spans="3:4" x14ac:dyDescent="0.2">
      <c r="C28" s="18" t="s">
        <v>31</v>
      </c>
    </row>
    <row r="29" spans="3:4" x14ac:dyDescent="0.2">
      <c r="C29" s="1" t="s">
        <v>32</v>
      </c>
    </row>
    <row r="30" spans="3:4" x14ac:dyDescent="0.2">
      <c r="C30" s="1" t="s">
        <v>33</v>
      </c>
    </row>
    <row r="31" spans="3:4" x14ac:dyDescent="0.2">
      <c r="C31" s="1" t="s">
        <v>34</v>
      </c>
    </row>
    <row r="33" spans="3:3" x14ac:dyDescent="0.2">
      <c r="C33" s="18" t="s">
        <v>35</v>
      </c>
    </row>
    <row r="34" spans="3:3" x14ac:dyDescent="0.2">
      <c r="C34" s="1" t="s">
        <v>36</v>
      </c>
    </row>
    <row r="35" spans="3:3" x14ac:dyDescent="0.2">
      <c r="C35" s="1" t="s">
        <v>37</v>
      </c>
    </row>
    <row r="36" spans="3:3" x14ac:dyDescent="0.2">
      <c r="C36" s="1" t="s">
        <v>38</v>
      </c>
    </row>
    <row r="37" spans="3:3" x14ac:dyDescent="0.2">
      <c r="C37" s="1" t="s">
        <v>39</v>
      </c>
    </row>
    <row r="39" spans="3:3" x14ac:dyDescent="0.2">
      <c r="C39" s="19" t="s">
        <v>40</v>
      </c>
    </row>
    <row r="41" spans="3:3" x14ac:dyDescent="0.2">
      <c r="C41" s="19" t="s">
        <v>42</v>
      </c>
    </row>
    <row r="43" spans="3:3" x14ac:dyDescent="0.2">
      <c r="C43" s="19" t="s">
        <v>41</v>
      </c>
    </row>
    <row r="45" spans="3:3" x14ac:dyDescent="0.2">
      <c r="C45" s="19" t="s">
        <v>43</v>
      </c>
    </row>
    <row r="47" spans="3:3" x14ac:dyDescent="0.2">
      <c r="C47" s="1" t="s">
        <v>138</v>
      </c>
    </row>
    <row r="48" spans="3:3" x14ac:dyDescent="0.2">
      <c r="C48" s="16" t="s">
        <v>139</v>
      </c>
    </row>
    <row r="49" spans="3:11" x14ac:dyDescent="0.2">
      <c r="C49" s="1" t="s">
        <v>140</v>
      </c>
    </row>
    <row r="50" spans="3:11" x14ac:dyDescent="0.2">
      <c r="C50" s="1" t="s">
        <v>167</v>
      </c>
    </row>
    <row r="51" spans="3:11" x14ac:dyDescent="0.2">
      <c r="C51" s="1" t="s">
        <v>141</v>
      </c>
    </row>
    <row r="52" spans="3:11" x14ac:dyDescent="0.2">
      <c r="C52" s="1" t="s">
        <v>181</v>
      </c>
    </row>
    <row r="53" spans="3:11" x14ac:dyDescent="0.2">
      <c r="C53" s="1" t="s">
        <v>186</v>
      </c>
    </row>
    <row r="55" spans="3:11" x14ac:dyDescent="0.2">
      <c r="C55" s="1" t="s">
        <v>182</v>
      </c>
    </row>
    <row r="56" spans="3:11" x14ac:dyDescent="0.2">
      <c r="C56" s="16" t="s">
        <v>318</v>
      </c>
    </row>
    <row r="57" spans="3:11" x14ac:dyDescent="0.2">
      <c r="C57" s="1" t="s">
        <v>185</v>
      </c>
    </row>
    <row r="58" spans="3:11" x14ac:dyDescent="0.2">
      <c r="C58" s="1" t="s">
        <v>184</v>
      </c>
    </row>
    <row r="59" spans="3:11" x14ac:dyDescent="0.2">
      <c r="C59" s="1" t="s">
        <v>183</v>
      </c>
    </row>
    <row r="61" spans="3:11" ht="88.5" customHeight="1" x14ac:dyDescent="0.2">
      <c r="C61" s="190"/>
      <c r="D61" s="188" t="s">
        <v>457</v>
      </c>
      <c r="E61" s="188"/>
      <c r="F61"/>
      <c r="G61"/>
      <c r="H61"/>
      <c r="I61"/>
      <c r="J61"/>
      <c r="K61"/>
    </row>
    <row r="62" spans="3:11" x14ac:dyDescent="0.2">
      <c r="C62" s="190"/>
      <c r="D62" s="188"/>
      <c r="E62" s="188"/>
      <c r="F62"/>
      <c r="G62"/>
      <c r="H62"/>
      <c r="I62"/>
      <c r="J62"/>
      <c r="K62"/>
    </row>
    <row r="63" spans="3:11" x14ac:dyDescent="0.2">
      <c r="C63" s="190"/>
      <c r="D63" s="191"/>
      <c r="E63" s="191"/>
      <c r="F63" s="191"/>
      <c r="G63" s="191"/>
      <c r="H63" s="191"/>
      <c r="I63" s="191"/>
      <c r="J63" s="191"/>
      <c r="K63" s="191"/>
    </row>
    <row r="64" spans="3:11" ht="25.5" customHeight="1" x14ac:dyDescent="0.2">
      <c r="C64" s="190"/>
      <c r="D64" s="187" t="s">
        <v>458</v>
      </c>
      <c r="E64" s="189" t="s">
        <v>459</v>
      </c>
      <c r="F64" s="194"/>
      <c r="G64" s="194"/>
      <c r="H64" s="194"/>
      <c r="I64" s="194"/>
      <c r="J64" s="194"/>
      <c r="K64" s="194"/>
    </row>
    <row r="65" spans="3:11" x14ac:dyDescent="0.2">
      <c r="C65" s="190"/>
      <c r="D65" s="187"/>
      <c r="E65" s="189"/>
      <c r="F65" s="194"/>
      <c r="G65" s="194"/>
      <c r="H65" s="194"/>
      <c r="I65" s="194"/>
      <c r="J65" s="194"/>
      <c r="K65" s="194"/>
    </row>
    <row r="66" spans="3:11" ht="43.5" customHeight="1" x14ac:dyDescent="0.2">
      <c r="C66" s="190"/>
      <c r="D66" s="187" t="s">
        <v>460</v>
      </c>
      <c r="E66" s="186" t="s">
        <v>461</v>
      </c>
      <c r="F66" s="194"/>
      <c r="G66" s="194"/>
      <c r="H66" s="194"/>
      <c r="I66" s="194"/>
      <c r="J66" s="194"/>
      <c r="K66" s="194"/>
    </row>
    <row r="67" spans="3:11" x14ac:dyDescent="0.2">
      <c r="C67" s="190"/>
      <c r="D67" s="187"/>
      <c r="E67" s="186"/>
      <c r="F67" s="194"/>
      <c r="G67" s="194"/>
      <c r="H67" s="194"/>
      <c r="I67" s="194"/>
      <c r="J67" s="194"/>
      <c r="K67" s="194"/>
    </row>
    <row r="68" spans="3:11" ht="38.25" customHeight="1" x14ac:dyDescent="0.2">
      <c r="C68" s="190"/>
      <c r="D68" s="187" t="s">
        <v>462</v>
      </c>
      <c r="E68" s="189" t="s">
        <v>463</v>
      </c>
      <c r="F68" s="194"/>
      <c r="G68" s="194"/>
      <c r="H68" s="194"/>
      <c r="I68" s="194"/>
      <c r="J68" s="194"/>
      <c r="K68" s="194"/>
    </row>
    <row r="69" spans="3:11" x14ac:dyDescent="0.2">
      <c r="C69" s="190"/>
      <c r="D69" s="187"/>
      <c r="E69" s="189"/>
      <c r="F69" s="194"/>
      <c r="G69" s="194"/>
      <c r="H69" s="194"/>
      <c r="I69" s="194"/>
      <c r="J69" s="194"/>
      <c r="K69" s="194"/>
    </row>
    <row r="70" spans="3:11" x14ac:dyDescent="0.2">
      <c r="C70" s="190"/>
      <c r="D70" s="191"/>
      <c r="E70" s="191"/>
      <c r="F70" s="191"/>
      <c r="G70" s="191"/>
      <c r="H70" s="191"/>
      <c r="I70" s="191"/>
      <c r="J70" s="191"/>
      <c r="K70" s="191"/>
    </row>
    <row r="71" spans="3:11" x14ac:dyDescent="0.2">
      <c r="C71" s="190"/>
      <c r="D71" s="190"/>
      <c r="E71" s="190"/>
      <c r="F71" s="190"/>
      <c r="G71" s="190"/>
      <c r="H71" s="190"/>
      <c r="I71" s="190"/>
      <c r="J71" s="190"/>
      <c r="K71" s="190"/>
    </row>
    <row r="72" spans="3:11" x14ac:dyDescent="0.2">
      <c r="C72" s="190"/>
      <c r="D72" s="190"/>
      <c r="E72" s="190"/>
      <c r="F72" s="190"/>
      <c r="G72" s="190"/>
      <c r="H72" s="190"/>
      <c r="I72" s="190"/>
      <c r="J72" s="190"/>
      <c r="K72" s="190"/>
    </row>
    <row r="73" spans="3:11" x14ac:dyDescent="0.2">
      <c r="C73" s="190"/>
      <c r="D73" s="190"/>
      <c r="E73" s="190"/>
      <c r="F73" s="190"/>
      <c r="G73" s="190"/>
      <c r="H73" s="190"/>
      <c r="I73" s="190"/>
      <c r="J73" s="190"/>
      <c r="K73" s="190"/>
    </row>
    <row r="74" spans="3:11" x14ac:dyDescent="0.2">
      <c r="C74" s="190"/>
      <c r="D74" s="187" t="s">
        <v>464</v>
      </c>
      <c r="E74" s="187"/>
      <c r="F74" s="186">
        <v>1015</v>
      </c>
      <c r="G74" s="186"/>
      <c r="H74" s="186"/>
      <c r="I74" s="186"/>
      <c r="J74" s="186"/>
      <c r="K74" s="186"/>
    </row>
    <row r="75" spans="3:11" x14ac:dyDescent="0.2">
      <c r="C75" s="190"/>
      <c r="D75" s="187"/>
      <c r="E75" s="187"/>
      <c r="F75" s="186"/>
      <c r="G75" s="186"/>
      <c r="H75" s="186"/>
      <c r="I75" s="186"/>
      <c r="J75" s="186"/>
      <c r="K75" s="186"/>
    </row>
    <row r="76" spans="3:11" x14ac:dyDescent="0.2">
      <c r="C76" s="190"/>
      <c r="D76" s="187" t="s">
        <v>465</v>
      </c>
      <c r="E76" s="187"/>
      <c r="F76" s="192" t="s">
        <v>466</v>
      </c>
      <c r="G76" s="192"/>
      <c r="H76" s="192"/>
      <c r="I76" s="192"/>
      <c r="J76" s="192"/>
      <c r="K76" s="192"/>
    </row>
    <row r="77" spans="3:11" x14ac:dyDescent="0.2">
      <c r="C77" s="190"/>
      <c r="D77" s="187"/>
      <c r="E77" s="187"/>
      <c r="F77" s="192"/>
      <c r="G77" s="192"/>
      <c r="H77" s="192"/>
      <c r="I77" s="192"/>
      <c r="J77" s="192"/>
      <c r="K77" s="192"/>
    </row>
    <row r="78" spans="3:11" ht="21" customHeight="1" x14ac:dyDescent="0.2">
      <c r="C78" s="190"/>
      <c r="D78" s="187" t="s">
        <v>467</v>
      </c>
      <c r="E78" s="187"/>
      <c r="F78" s="186" t="s">
        <v>468</v>
      </c>
      <c r="G78" s="186"/>
      <c r="H78" s="186"/>
      <c r="I78" s="186"/>
      <c r="J78" s="186"/>
      <c r="K78" s="186"/>
    </row>
    <row r="79" spans="3:11" x14ac:dyDescent="0.2">
      <c r="C79" s="190"/>
      <c r="D79" s="187"/>
      <c r="E79" s="187"/>
      <c r="F79" s="186"/>
      <c r="G79" s="186"/>
      <c r="H79" s="186"/>
      <c r="I79" s="186"/>
      <c r="J79" s="186"/>
      <c r="K79" s="186"/>
    </row>
    <row r="80" spans="3:11" ht="202.5" customHeight="1" x14ac:dyDescent="0.2">
      <c r="C80" s="190"/>
      <c r="D80" s="187" t="s">
        <v>469</v>
      </c>
      <c r="E80" s="187"/>
      <c r="F80" s="186" t="s">
        <v>470</v>
      </c>
      <c r="G80" s="186"/>
      <c r="H80" s="186"/>
      <c r="I80" s="186"/>
      <c r="J80" s="186"/>
      <c r="K80" s="186"/>
    </row>
    <row r="81" spans="3:12" x14ac:dyDescent="0.2">
      <c r="C81" s="190"/>
      <c r="D81" s="187"/>
      <c r="E81" s="187"/>
      <c r="F81" s="193"/>
      <c r="G81" s="193"/>
      <c r="H81" s="193"/>
      <c r="I81" s="193"/>
      <c r="J81" s="193"/>
      <c r="K81" s="193"/>
    </row>
    <row r="82" spans="3:12" x14ac:dyDescent="0.2">
      <c r="C82" s="190"/>
      <c r="D82" s="187"/>
      <c r="E82" s="187"/>
      <c r="F82" s="62" t="s">
        <v>471</v>
      </c>
      <c r="G82" s="62" t="s">
        <v>472</v>
      </c>
      <c r="H82" s="62" t="s">
        <v>473</v>
      </c>
      <c r="I82" s="62" t="s">
        <v>474</v>
      </c>
      <c r="J82" s="62" t="s">
        <v>475</v>
      </c>
      <c r="K82" s="62" t="s">
        <v>476</v>
      </c>
    </row>
    <row r="83" spans="3:12" ht="33.75" x14ac:dyDescent="0.2">
      <c r="C83" s="190"/>
      <c r="D83" s="187"/>
      <c r="E83" s="187"/>
      <c r="F83" s="62" t="s">
        <v>477</v>
      </c>
      <c r="G83" s="63">
        <v>8.4</v>
      </c>
      <c r="H83" s="63">
        <v>12</v>
      </c>
      <c r="I83" s="63">
        <v>0.77</v>
      </c>
      <c r="J83" s="63" t="s">
        <v>478</v>
      </c>
      <c r="K83" s="63">
        <v>2.9000000000000001E-2</v>
      </c>
    </row>
    <row r="84" spans="3:12" x14ac:dyDescent="0.2">
      <c r="C84" s="190"/>
      <c r="D84" s="187"/>
      <c r="E84" s="187"/>
      <c r="F84" s="62" t="s">
        <v>479</v>
      </c>
      <c r="G84" s="63">
        <v>13.2</v>
      </c>
      <c r="H84" s="63">
        <v>25.2</v>
      </c>
      <c r="I84" s="63">
        <v>2.1</v>
      </c>
      <c r="J84" s="63" t="s">
        <v>480</v>
      </c>
      <c r="K84" s="63">
        <v>0.02</v>
      </c>
    </row>
    <row r="85" spans="3:12" x14ac:dyDescent="0.2">
      <c r="C85" s="190"/>
      <c r="D85" s="187"/>
      <c r="E85" s="187"/>
      <c r="F85" s="62" t="s">
        <v>481</v>
      </c>
      <c r="G85" s="63">
        <v>6.9</v>
      </c>
      <c r="H85" s="63">
        <v>10.3</v>
      </c>
      <c r="I85" s="63">
        <v>1.5</v>
      </c>
      <c r="J85" s="63" t="s">
        <v>482</v>
      </c>
      <c r="K85" s="63">
        <v>0.46</v>
      </c>
    </row>
    <row r="86" spans="3:12" ht="33.75" x14ac:dyDescent="0.2">
      <c r="C86" s="190"/>
      <c r="D86" s="187"/>
      <c r="E86" s="187"/>
      <c r="F86" s="62" t="s">
        <v>483</v>
      </c>
      <c r="G86" s="63">
        <v>39</v>
      </c>
      <c r="H86" s="63">
        <v>51.6</v>
      </c>
      <c r="I86" s="63">
        <v>0.75</v>
      </c>
      <c r="J86" s="63" t="s">
        <v>484</v>
      </c>
      <c r="K86" s="63">
        <v>0.106</v>
      </c>
    </row>
    <row r="87" spans="3:12" x14ac:dyDescent="0.2">
      <c r="C87" s="190"/>
      <c r="D87" s="187"/>
      <c r="E87" s="187"/>
      <c r="F87" s="195" t="s">
        <v>485</v>
      </c>
      <c r="G87" s="196"/>
      <c r="H87" s="196"/>
      <c r="I87" s="196"/>
      <c r="J87" s="196"/>
      <c r="K87" s="197"/>
    </row>
    <row r="96" spans="3:12" ht="77.25" customHeight="1" x14ac:dyDescent="0.2">
      <c r="C96" s="190"/>
      <c r="D96" s="188" t="s">
        <v>486</v>
      </c>
      <c r="E96" s="188"/>
      <c r="F96"/>
      <c r="G96"/>
      <c r="H96"/>
      <c r="I96"/>
      <c r="J96"/>
      <c r="K96"/>
      <c r="L96"/>
    </row>
    <row r="97" spans="3:12" x14ac:dyDescent="0.2">
      <c r="C97" s="190"/>
      <c r="D97" s="188"/>
      <c r="E97" s="188"/>
      <c r="F97"/>
      <c r="G97"/>
      <c r="H97"/>
      <c r="I97"/>
      <c r="J97"/>
      <c r="K97"/>
      <c r="L97"/>
    </row>
    <row r="98" spans="3:12" x14ac:dyDescent="0.2">
      <c r="C98" s="190"/>
      <c r="D98" s="191"/>
      <c r="E98" s="191"/>
      <c r="F98" s="191"/>
      <c r="G98" s="191"/>
      <c r="H98" s="191"/>
      <c r="I98" s="191"/>
      <c r="J98" s="191"/>
      <c r="K98" s="191"/>
      <c r="L98" s="191"/>
    </row>
    <row r="99" spans="3:12" ht="25.5" customHeight="1" x14ac:dyDescent="0.2">
      <c r="C99" s="190"/>
      <c r="D99" s="187" t="s">
        <v>458</v>
      </c>
      <c r="E99" s="189" t="s">
        <v>459</v>
      </c>
      <c r="F99" s="194"/>
      <c r="G99" s="194"/>
      <c r="H99" s="194"/>
      <c r="I99" s="194"/>
      <c r="J99" s="194"/>
      <c r="K99" s="194"/>
      <c r="L99" s="194"/>
    </row>
    <row r="100" spans="3:12" x14ac:dyDescent="0.2">
      <c r="C100" s="190"/>
      <c r="D100" s="187"/>
      <c r="E100" s="189"/>
      <c r="F100" s="194"/>
      <c r="G100" s="194"/>
      <c r="H100" s="194"/>
      <c r="I100" s="194"/>
      <c r="J100" s="194"/>
      <c r="K100" s="194"/>
      <c r="L100" s="194"/>
    </row>
    <row r="101" spans="3:12" ht="43.5" customHeight="1" x14ac:dyDescent="0.2">
      <c r="C101" s="190"/>
      <c r="D101" s="187" t="s">
        <v>460</v>
      </c>
      <c r="E101" s="186" t="s">
        <v>461</v>
      </c>
      <c r="F101" s="194"/>
      <c r="G101" s="194"/>
      <c r="H101" s="194"/>
      <c r="I101" s="194"/>
      <c r="J101" s="194"/>
      <c r="K101" s="194"/>
      <c r="L101" s="194"/>
    </row>
    <row r="102" spans="3:12" x14ac:dyDescent="0.2">
      <c r="C102" s="190"/>
      <c r="D102" s="187"/>
      <c r="E102" s="186"/>
      <c r="F102" s="194"/>
      <c r="G102" s="194"/>
      <c r="H102" s="194"/>
      <c r="I102" s="194"/>
      <c r="J102" s="194"/>
      <c r="K102" s="194"/>
      <c r="L102" s="194"/>
    </row>
    <row r="103" spans="3:12" ht="38.25" customHeight="1" x14ac:dyDescent="0.2">
      <c r="C103" s="190"/>
      <c r="D103" s="187" t="s">
        <v>462</v>
      </c>
      <c r="E103" s="189" t="s">
        <v>463</v>
      </c>
      <c r="F103" s="194"/>
      <c r="G103" s="194"/>
      <c r="H103" s="194"/>
      <c r="I103" s="194"/>
      <c r="J103" s="194"/>
      <c r="K103" s="194"/>
      <c r="L103" s="194"/>
    </row>
    <row r="104" spans="3:12" x14ac:dyDescent="0.2">
      <c r="C104" s="190"/>
      <c r="D104" s="187"/>
      <c r="E104" s="189"/>
      <c r="F104" s="194"/>
      <c r="G104" s="194"/>
      <c r="H104" s="194"/>
      <c r="I104" s="194"/>
      <c r="J104" s="194"/>
      <c r="K104" s="194"/>
      <c r="L104" s="194"/>
    </row>
    <row r="105" spans="3:12" x14ac:dyDescent="0.2">
      <c r="C105" s="190"/>
      <c r="D105" s="191"/>
      <c r="E105" s="191"/>
      <c r="F105" s="191"/>
      <c r="G105" s="191"/>
      <c r="H105" s="191"/>
      <c r="I105" s="191"/>
      <c r="J105" s="191"/>
      <c r="K105" s="191"/>
      <c r="L105" s="191"/>
    </row>
    <row r="106" spans="3:12" x14ac:dyDescent="0.2"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</row>
    <row r="107" spans="3:12" x14ac:dyDescent="0.2"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</row>
    <row r="108" spans="3:12" x14ac:dyDescent="0.2"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</row>
    <row r="109" spans="3:12" x14ac:dyDescent="0.2">
      <c r="C109" s="190"/>
      <c r="D109" s="187" t="s">
        <v>464</v>
      </c>
      <c r="E109" s="187"/>
      <c r="F109" s="186">
        <v>1017</v>
      </c>
      <c r="G109" s="186"/>
      <c r="H109" s="186"/>
      <c r="I109" s="186"/>
      <c r="J109" s="186"/>
      <c r="K109" s="186"/>
      <c r="L109" s="186"/>
    </row>
    <row r="110" spans="3:12" x14ac:dyDescent="0.2">
      <c r="C110" s="190"/>
      <c r="D110" s="187"/>
      <c r="E110" s="187"/>
      <c r="F110" s="186"/>
      <c r="G110" s="186"/>
      <c r="H110" s="186"/>
      <c r="I110" s="186"/>
      <c r="J110" s="186"/>
      <c r="K110" s="186"/>
      <c r="L110" s="186"/>
    </row>
    <row r="111" spans="3:12" x14ac:dyDescent="0.2">
      <c r="C111" s="190"/>
      <c r="D111" s="187" t="s">
        <v>465</v>
      </c>
      <c r="E111" s="187"/>
      <c r="F111" s="192" t="s">
        <v>487</v>
      </c>
      <c r="G111" s="192"/>
      <c r="H111" s="192"/>
      <c r="I111" s="192"/>
      <c r="J111" s="192"/>
      <c r="K111" s="192"/>
      <c r="L111" s="192"/>
    </row>
    <row r="112" spans="3:12" x14ac:dyDescent="0.2">
      <c r="C112" s="190"/>
      <c r="D112" s="187"/>
      <c r="E112" s="187"/>
      <c r="F112" s="192"/>
      <c r="G112" s="192"/>
      <c r="H112" s="192"/>
      <c r="I112" s="192"/>
      <c r="J112" s="192"/>
      <c r="K112" s="192"/>
      <c r="L112" s="192"/>
    </row>
    <row r="113" spans="3:12" x14ac:dyDescent="0.2">
      <c r="C113" s="190"/>
      <c r="D113" s="187" t="s">
        <v>467</v>
      </c>
      <c r="E113" s="187"/>
      <c r="F113" s="186" t="s">
        <v>488</v>
      </c>
      <c r="G113" s="186"/>
      <c r="H113" s="186"/>
      <c r="I113" s="186"/>
      <c r="J113" s="186"/>
      <c r="K113" s="186"/>
      <c r="L113" s="186"/>
    </row>
    <row r="114" spans="3:12" x14ac:dyDescent="0.2">
      <c r="C114" s="190"/>
      <c r="D114" s="187"/>
      <c r="E114" s="187"/>
      <c r="F114" s="186"/>
      <c r="G114" s="186"/>
      <c r="H114" s="186"/>
      <c r="I114" s="186"/>
      <c r="J114" s="186"/>
      <c r="K114" s="186"/>
      <c r="L114" s="186"/>
    </row>
    <row r="115" spans="3:12" ht="168.75" customHeight="1" x14ac:dyDescent="0.2">
      <c r="C115" s="190"/>
      <c r="D115" s="187" t="s">
        <v>469</v>
      </c>
      <c r="E115" s="187"/>
      <c r="F115" s="186" t="s">
        <v>489</v>
      </c>
      <c r="G115" s="186"/>
      <c r="H115" s="186"/>
      <c r="I115" s="186"/>
      <c r="J115" s="186"/>
      <c r="K115" s="186"/>
      <c r="L115" s="186"/>
    </row>
    <row r="116" spans="3:12" x14ac:dyDescent="0.2">
      <c r="C116" s="190"/>
      <c r="D116" s="187"/>
      <c r="E116" s="187"/>
      <c r="F116" s="193"/>
      <c r="G116" s="193"/>
      <c r="H116" s="193"/>
      <c r="I116" s="193"/>
      <c r="J116" s="193"/>
      <c r="K116" s="193"/>
      <c r="L116" s="193"/>
    </row>
    <row r="117" spans="3:12" x14ac:dyDescent="0.2">
      <c r="C117" s="190"/>
      <c r="D117" s="187"/>
      <c r="E117" s="187"/>
      <c r="F117" s="63"/>
      <c r="G117" s="198" t="s">
        <v>490</v>
      </c>
      <c r="H117" s="199"/>
      <c r="I117" s="200"/>
      <c r="J117" s="198" t="s">
        <v>491</v>
      </c>
      <c r="K117" s="199"/>
      <c r="L117" s="200"/>
    </row>
    <row r="118" spans="3:12" x14ac:dyDescent="0.2">
      <c r="C118" s="190"/>
      <c r="D118" s="187"/>
      <c r="E118" s="187"/>
      <c r="F118" s="63"/>
      <c r="G118" s="62" t="s">
        <v>492</v>
      </c>
      <c r="H118" s="62" t="s">
        <v>493</v>
      </c>
      <c r="I118" s="62" t="s">
        <v>494</v>
      </c>
      <c r="J118" s="62" t="s">
        <v>492</v>
      </c>
      <c r="K118" s="62" t="s">
        <v>493</v>
      </c>
      <c r="L118" s="62" t="s">
        <v>494</v>
      </c>
    </row>
    <row r="119" spans="3:12" ht="33.75" x14ac:dyDescent="0.2">
      <c r="C119" s="190"/>
      <c r="D119" s="187"/>
      <c r="E119" s="187"/>
      <c r="F119" s="63" t="s">
        <v>495</v>
      </c>
      <c r="G119" s="63">
        <v>17.3</v>
      </c>
      <c r="H119" s="63">
        <v>24</v>
      </c>
      <c r="I119" s="63">
        <v>0.79479999999999995</v>
      </c>
      <c r="J119" s="63">
        <v>23.9</v>
      </c>
      <c r="K119" s="63">
        <v>22.9</v>
      </c>
      <c r="L119" s="63">
        <v>0.35980000000000001</v>
      </c>
    </row>
    <row r="120" spans="3:12" x14ac:dyDescent="0.2">
      <c r="C120" s="64"/>
      <c r="D120"/>
      <c r="E120"/>
      <c r="F120"/>
      <c r="G120"/>
      <c r="H120"/>
      <c r="I120"/>
      <c r="J120"/>
      <c r="K120"/>
      <c r="L120"/>
    </row>
    <row r="121" spans="3:12" x14ac:dyDescent="0.2">
      <c r="C121" s="64" t="s">
        <v>447</v>
      </c>
      <c r="D121"/>
      <c r="E121"/>
      <c r="F121"/>
      <c r="G121"/>
      <c r="H121"/>
      <c r="I121"/>
      <c r="J121"/>
      <c r="K121"/>
      <c r="L121"/>
    </row>
  </sheetData>
  <mergeCells count="49">
    <mergeCell ref="C96:C119"/>
    <mergeCell ref="D98:L98"/>
    <mergeCell ref="D105:L105"/>
    <mergeCell ref="D111:E112"/>
    <mergeCell ref="F111:L112"/>
    <mergeCell ref="D113:E114"/>
    <mergeCell ref="F113:L114"/>
    <mergeCell ref="F99:L104"/>
    <mergeCell ref="G117:I117"/>
    <mergeCell ref="J117:L117"/>
    <mergeCell ref="D106:L106"/>
    <mergeCell ref="D107:L107"/>
    <mergeCell ref="D108:L108"/>
    <mergeCell ref="D109:E110"/>
    <mergeCell ref="F109:L110"/>
    <mergeCell ref="D115:E119"/>
    <mergeCell ref="F115:L115"/>
    <mergeCell ref="F116:L116"/>
    <mergeCell ref="D99:D100"/>
    <mergeCell ref="E99:E100"/>
    <mergeCell ref="D101:D102"/>
    <mergeCell ref="E101:E102"/>
    <mergeCell ref="D103:D104"/>
    <mergeCell ref="E103:E104"/>
    <mergeCell ref="C61:C87"/>
    <mergeCell ref="D63:K63"/>
    <mergeCell ref="D70:K70"/>
    <mergeCell ref="D96:E97"/>
    <mergeCell ref="F76:K77"/>
    <mergeCell ref="D78:E79"/>
    <mergeCell ref="F78:K79"/>
    <mergeCell ref="D80:E87"/>
    <mergeCell ref="F80:K80"/>
    <mergeCell ref="F81:K81"/>
    <mergeCell ref="F64:K69"/>
    <mergeCell ref="F87:K87"/>
    <mergeCell ref="D71:K71"/>
    <mergeCell ref="D72:K72"/>
    <mergeCell ref="D73:K73"/>
    <mergeCell ref="D74:E75"/>
    <mergeCell ref="F74:K75"/>
    <mergeCell ref="D76:E77"/>
    <mergeCell ref="D61:E62"/>
    <mergeCell ref="D64:D65"/>
    <mergeCell ref="E64:E65"/>
    <mergeCell ref="D66:D67"/>
    <mergeCell ref="E66:E67"/>
    <mergeCell ref="D68:D69"/>
    <mergeCell ref="E68:E69"/>
  </mergeCells>
  <phoneticPr fontId="4" type="noConversion"/>
  <hyperlinks>
    <hyperlink ref="A1" location="Main!A1" display="Main" xr:uid="{00000000-0004-0000-0B00-000000000000}"/>
    <hyperlink ref="E64" r:id="rId1" display="http://www.abstract.asco.org/CatAbstView_55_3_AA.html" xr:uid="{00000000-0004-0000-0B00-000001000000}"/>
    <hyperlink ref="E68" r:id="rId2" display="http://www.abstract.asco.org/ConfCatView_55.html" xr:uid="{00000000-0004-0000-0B00-000002000000}"/>
    <hyperlink ref="E99" r:id="rId3" display="http://www.abstract.asco.org/CatAbstView_55_3_AA.html" xr:uid="{00000000-0004-0000-0B00-000003000000}"/>
    <hyperlink ref="E103" r:id="rId4" display="http://www.abstract.asco.org/ConfCatView_55.html" xr:uid="{00000000-0004-0000-0B00-000004000000}"/>
  </hyperlinks>
  <pageMargins left="0.75" right="0.75" top="1" bottom="1" header="0.5" footer="0.5"/>
  <pageSetup orientation="portrait" horizontalDpi="4294967293"/>
  <headerFooter alignWithMargins="0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93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25.7109375" style="1" customWidth="1"/>
    <col min="4" max="10" width="9.140625" style="1"/>
    <col min="11" max="11" width="6.7109375" style="1" bestFit="1" customWidth="1"/>
    <col min="12" max="14" width="6.5703125" style="1" bestFit="1" customWidth="1"/>
    <col min="15" max="15" width="2.5703125" style="1" customWidth="1"/>
    <col min="16" max="24" width="5.28515625" style="1" customWidth="1"/>
    <col min="25" max="16384" width="9.140625" style="1"/>
  </cols>
  <sheetData>
    <row r="1" spans="1:11" x14ac:dyDescent="0.2">
      <c r="A1" s="17" t="s">
        <v>135</v>
      </c>
    </row>
    <row r="2" spans="1:11" x14ac:dyDescent="0.2">
      <c r="B2" s="1" t="s">
        <v>153</v>
      </c>
      <c r="C2" s="1" t="s">
        <v>194</v>
      </c>
    </row>
    <row r="3" spans="1:11" x14ac:dyDescent="0.2">
      <c r="B3" s="1" t="s">
        <v>154</v>
      </c>
      <c r="C3" s="1" t="s">
        <v>257</v>
      </c>
    </row>
    <row r="4" spans="1:11" x14ac:dyDescent="0.2">
      <c r="B4" s="1" t="s">
        <v>156</v>
      </c>
      <c r="C4" s="31" t="s">
        <v>258</v>
      </c>
    </row>
    <row r="5" spans="1:11" x14ac:dyDescent="0.2">
      <c r="C5" s="31" t="s">
        <v>306</v>
      </c>
    </row>
    <row r="6" spans="1:11" x14ac:dyDescent="0.2">
      <c r="B6" s="1" t="s">
        <v>157</v>
      </c>
      <c r="C6" s="1" t="s">
        <v>304</v>
      </c>
    </row>
    <row r="8" spans="1:11" x14ac:dyDescent="0.2">
      <c r="C8" s="19" t="s">
        <v>305</v>
      </c>
    </row>
    <row r="9" spans="1:11" ht="13.5" thickBot="1" x14ac:dyDescent="0.25">
      <c r="C9" s="19"/>
    </row>
    <row r="10" spans="1:11" x14ac:dyDescent="0.2">
      <c r="C10" s="53"/>
      <c r="D10" s="201" t="s">
        <v>311</v>
      </c>
      <c r="E10" s="201"/>
      <c r="F10" s="201"/>
      <c r="G10" s="201"/>
      <c r="H10" s="202" t="s">
        <v>310</v>
      </c>
      <c r="I10" s="201"/>
      <c r="J10" s="201"/>
      <c r="K10" s="201"/>
    </row>
    <row r="11" spans="1:11" x14ac:dyDescent="0.2">
      <c r="D11" s="15" t="s">
        <v>259</v>
      </c>
      <c r="E11" s="15" t="s">
        <v>307</v>
      </c>
      <c r="F11" s="15" t="s">
        <v>308</v>
      </c>
      <c r="G11" s="15" t="s">
        <v>309</v>
      </c>
      <c r="H11" s="51" t="s">
        <v>259</v>
      </c>
      <c r="I11" s="15" t="s">
        <v>307</v>
      </c>
      <c r="J11" s="15" t="s">
        <v>308</v>
      </c>
      <c r="K11" s="15" t="s">
        <v>309</v>
      </c>
    </row>
    <row r="12" spans="1:11" x14ac:dyDescent="0.2">
      <c r="C12" s="43" t="s">
        <v>271</v>
      </c>
      <c r="D12" s="55">
        <v>0.27</v>
      </c>
      <c r="E12" s="55">
        <v>0.52</v>
      </c>
      <c r="F12" s="55">
        <v>0.61</v>
      </c>
      <c r="G12" s="55">
        <v>0.62</v>
      </c>
      <c r="H12" s="56">
        <v>0.38</v>
      </c>
      <c r="I12" s="55">
        <v>0.67</v>
      </c>
      <c r="J12" s="55">
        <v>0.78</v>
      </c>
      <c r="K12" s="55">
        <v>0.79</v>
      </c>
    </row>
    <row r="13" spans="1:11" x14ac:dyDescent="0.2">
      <c r="C13" s="46" t="s">
        <v>265</v>
      </c>
      <c r="D13" s="47">
        <v>94</v>
      </c>
      <c r="E13" s="47">
        <v>298</v>
      </c>
      <c r="F13" s="47">
        <v>296</v>
      </c>
      <c r="G13" s="59">
        <v>296</v>
      </c>
      <c r="H13" s="47">
        <v>94</v>
      </c>
      <c r="I13" s="47">
        <v>298</v>
      </c>
      <c r="J13" s="47">
        <v>296</v>
      </c>
      <c r="K13" s="47">
        <v>296</v>
      </c>
    </row>
    <row r="14" spans="1:11" x14ac:dyDescent="0.2">
      <c r="C14" s="1" t="s">
        <v>272</v>
      </c>
      <c r="D14" s="36">
        <v>0.26</v>
      </c>
      <c r="E14" s="36">
        <v>0.52</v>
      </c>
      <c r="F14" s="36">
        <v>0.5</v>
      </c>
      <c r="G14" s="60">
        <v>0.56000000000000005</v>
      </c>
      <c r="H14" s="36">
        <v>0.38</v>
      </c>
      <c r="I14" s="36">
        <v>0.7</v>
      </c>
      <c r="J14" s="36">
        <v>0.68</v>
      </c>
      <c r="K14" s="36">
        <v>0.71</v>
      </c>
    </row>
    <row r="15" spans="1:11" x14ac:dyDescent="0.2">
      <c r="C15" s="46" t="s">
        <v>265</v>
      </c>
      <c r="D15" s="47">
        <v>65</v>
      </c>
      <c r="E15" s="47">
        <v>66</v>
      </c>
      <c r="F15" s="47">
        <v>62</v>
      </c>
      <c r="G15" s="59">
        <v>66</v>
      </c>
      <c r="H15" s="47">
        <v>65</v>
      </c>
      <c r="I15" s="47">
        <v>66</v>
      </c>
      <c r="J15" s="47">
        <v>62</v>
      </c>
      <c r="K15" s="47">
        <v>66</v>
      </c>
    </row>
    <row r="16" spans="1:11" x14ac:dyDescent="0.2">
      <c r="C16" s="1" t="s">
        <v>293</v>
      </c>
      <c r="D16" s="36">
        <v>0.17</v>
      </c>
      <c r="E16" s="36">
        <v>0.52</v>
      </c>
      <c r="F16" s="36">
        <v>0.54</v>
      </c>
      <c r="G16" s="36">
        <v>0.56999999999999995</v>
      </c>
      <c r="H16" s="57">
        <v>0.19</v>
      </c>
      <c r="I16" s="36">
        <v>0.65</v>
      </c>
      <c r="J16" s="36">
        <v>0.72</v>
      </c>
      <c r="K16" s="36">
        <v>0.78</v>
      </c>
    </row>
    <row r="17" spans="3:11" ht="13.5" thickBot="1" x14ac:dyDescent="0.25">
      <c r="C17" s="54" t="s">
        <v>265</v>
      </c>
      <c r="D17" s="52">
        <v>47</v>
      </c>
      <c r="E17" s="52">
        <v>48</v>
      </c>
      <c r="F17" s="52">
        <v>46</v>
      </c>
      <c r="G17" s="58">
        <v>46</v>
      </c>
      <c r="H17" s="52">
        <v>47</v>
      </c>
      <c r="I17" s="52">
        <v>48</v>
      </c>
      <c r="J17" s="52">
        <v>46</v>
      </c>
      <c r="K17" s="52">
        <v>46</v>
      </c>
    </row>
    <row r="37" spans="3:10" x14ac:dyDescent="0.2">
      <c r="C37" s="19" t="s">
        <v>285</v>
      </c>
    </row>
    <row r="38" spans="3:10" ht="13.5" thickBot="1" x14ac:dyDescent="0.25"/>
    <row r="39" spans="3:10" x14ac:dyDescent="0.2">
      <c r="C39" s="32"/>
      <c r="D39" s="33" t="s">
        <v>259</v>
      </c>
      <c r="E39" s="33" t="s">
        <v>260</v>
      </c>
      <c r="F39" s="33" t="s">
        <v>261</v>
      </c>
      <c r="G39" s="33" t="s">
        <v>262</v>
      </c>
      <c r="H39" s="33" t="s">
        <v>263</v>
      </c>
      <c r="I39" s="33" t="s">
        <v>264</v>
      </c>
      <c r="J39" s="33" t="s">
        <v>284</v>
      </c>
    </row>
    <row r="40" spans="3:10" x14ac:dyDescent="0.2">
      <c r="C40" s="34" t="s">
        <v>265</v>
      </c>
      <c r="D40" s="35">
        <v>62</v>
      </c>
      <c r="E40" s="35">
        <v>30</v>
      </c>
      <c r="F40" s="35">
        <v>30</v>
      </c>
      <c r="G40" s="35">
        <v>30</v>
      </c>
      <c r="H40" s="35">
        <v>30</v>
      </c>
      <c r="I40" s="35">
        <v>30</v>
      </c>
      <c r="J40" s="35">
        <v>30</v>
      </c>
    </row>
    <row r="41" spans="3:10" x14ac:dyDescent="0.2">
      <c r="C41" s="31" t="s">
        <v>266</v>
      </c>
      <c r="D41" s="36">
        <v>0.05</v>
      </c>
      <c r="E41" s="36">
        <v>0.1</v>
      </c>
      <c r="F41" s="36">
        <v>7.0000000000000007E-2</v>
      </c>
      <c r="G41" s="36">
        <v>0.17</v>
      </c>
      <c r="H41" s="36">
        <v>0.13</v>
      </c>
      <c r="I41" s="36">
        <v>0.1</v>
      </c>
      <c r="J41" s="36">
        <v>0.23</v>
      </c>
    </row>
    <row r="42" spans="3:10" x14ac:dyDescent="0.2">
      <c r="C42" s="31" t="s">
        <v>267</v>
      </c>
      <c r="D42" s="36">
        <v>0.15</v>
      </c>
      <c r="E42" s="36">
        <v>0.4</v>
      </c>
      <c r="F42" s="36">
        <v>0.23</v>
      </c>
      <c r="G42" s="36">
        <v>0.47</v>
      </c>
      <c r="H42" s="36">
        <v>0.37</v>
      </c>
      <c r="I42" s="36">
        <v>0.63</v>
      </c>
      <c r="J42" s="36">
        <v>0.56999999999999995</v>
      </c>
    </row>
    <row r="43" spans="3:10" x14ac:dyDescent="0.2">
      <c r="C43" s="31" t="s">
        <v>268</v>
      </c>
      <c r="D43" s="36">
        <v>0.24</v>
      </c>
      <c r="E43" s="36">
        <v>0.43</v>
      </c>
      <c r="F43" s="36">
        <v>0.56999999999999995</v>
      </c>
      <c r="G43" s="36">
        <v>0.56999999999999995</v>
      </c>
      <c r="H43" s="36">
        <v>0.5</v>
      </c>
      <c r="I43" s="36">
        <v>0.73</v>
      </c>
      <c r="J43" s="36">
        <v>0.8</v>
      </c>
    </row>
    <row r="44" spans="3:10" x14ac:dyDescent="0.2">
      <c r="C44" s="31" t="s">
        <v>269</v>
      </c>
      <c r="D44" s="36">
        <v>0.21</v>
      </c>
      <c r="E44" s="36">
        <v>0.4</v>
      </c>
      <c r="F44" s="36">
        <v>0.43</v>
      </c>
      <c r="G44" s="36">
        <v>0.6</v>
      </c>
      <c r="H44" s="36">
        <v>0.56999999999999995</v>
      </c>
      <c r="I44" s="36">
        <v>0.7</v>
      </c>
      <c r="J44" s="36">
        <v>0.83</v>
      </c>
    </row>
    <row r="45" spans="3:10" ht="13.5" thickBot="1" x14ac:dyDescent="0.25">
      <c r="C45" s="37" t="s">
        <v>270</v>
      </c>
      <c r="D45" s="38">
        <v>0.55000000000000004</v>
      </c>
      <c r="E45" s="38">
        <v>0.63</v>
      </c>
      <c r="F45" s="38">
        <v>0.63</v>
      </c>
      <c r="G45" s="38">
        <v>0.77</v>
      </c>
      <c r="H45" s="38">
        <v>0.8</v>
      </c>
      <c r="I45" s="38">
        <v>0.83</v>
      </c>
      <c r="J45" s="38">
        <v>0.93</v>
      </c>
    </row>
    <row r="46" spans="3:10" ht="13.5" thickBot="1" x14ac:dyDescent="0.25">
      <c r="C46" s="31"/>
    </row>
    <row r="47" spans="3:10" x14ac:dyDescent="0.2">
      <c r="C47" s="32"/>
      <c r="D47" s="201" t="s">
        <v>271</v>
      </c>
      <c r="E47" s="201"/>
      <c r="F47" s="201" t="s">
        <v>272</v>
      </c>
      <c r="G47" s="201"/>
    </row>
    <row r="48" spans="3:10" x14ac:dyDescent="0.2">
      <c r="C48" s="16"/>
      <c r="D48" s="15" t="s">
        <v>259</v>
      </c>
      <c r="E48" s="15" t="s">
        <v>264</v>
      </c>
      <c r="F48" s="15" t="s">
        <v>259</v>
      </c>
      <c r="G48" s="15" t="s">
        <v>264</v>
      </c>
    </row>
    <row r="49" spans="3:7" x14ac:dyDescent="0.2">
      <c r="C49" s="39"/>
      <c r="D49" s="3" t="s">
        <v>273</v>
      </c>
      <c r="E49" s="3" t="s">
        <v>274</v>
      </c>
      <c r="F49" s="3" t="s">
        <v>275</v>
      </c>
      <c r="G49" s="3" t="s">
        <v>276</v>
      </c>
    </row>
    <row r="50" spans="3:7" x14ac:dyDescent="0.2">
      <c r="C50" s="15" t="s">
        <v>277</v>
      </c>
    </row>
    <row r="51" spans="3:7" x14ac:dyDescent="0.2">
      <c r="C51" s="31" t="s">
        <v>278</v>
      </c>
      <c r="D51" s="36">
        <v>0.18</v>
      </c>
      <c r="E51" s="36">
        <v>0.7</v>
      </c>
      <c r="F51" s="36">
        <v>0.26</v>
      </c>
      <c r="G51" s="36">
        <v>0.7</v>
      </c>
    </row>
    <row r="52" spans="3:7" x14ac:dyDescent="0.2">
      <c r="C52" s="31" t="s">
        <v>279</v>
      </c>
      <c r="D52" s="36">
        <v>0.05</v>
      </c>
      <c r="E52" s="36">
        <v>0.48</v>
      </c>
      <c r="F52" s="36">
        <v>0.13</v>
      </c>
      <c r="G52" s="36">
        <v>0.49</v>
      </c>
    </row>
    <row r="53" spans="3:7" x14ac:dyDescent="0.2">
      <c r="C53" s="31" t="s">
        <v>280</v>
      </c>
      <c r="D53" s="36">
        <v>0.48</v>
      </c>
      <c r="E53" s="36">
        <v>0.73</v>
      </c>
      <c r="F53" s="36">
        <v>0.5</v>
      </c>
      <c r="G53" s="36">
        <v>0.73</v>
      </c>
    </row>
    <row r="54" spans="3:7" x14ac:dyDescent="0.2">
      <c r="C54" s="31" t="s">
        <v>281</v>
      </c>
      <c r="D54" s="36">
        <v>0.23</v>
      </c>
      <c r="E54" s="36">
        <v>0.56000000000000005</v>
      </c>
      <c r="F54" s="36">
        <v>0.25</v>
      </c>
      <c r="G54" s="36">
        <v>0.57999999999999996</v>
      </c>
    </row>
    <row r="55" spans="3:7" x14ac:dyDescent="0.2">
      <c r="C55" s="40" t="s">
        <v>282</v>
      </c>
      <c r="D55" s="41">
        <v>0.34</v>
      </c>
      <c r="E55" s="41">
        <v>0.76</v>
      </c>
      <c r="F55" s="41">
        <v>0.34</v>
      </c>
      <c r="G55" s="41">
        <v>0.76</v>
      </c>
    </row>
    <row r="56" spans="3:7" x14ac:dyDescent="0.2">
      <c r="C56" s="42" t="s">
        <v>283</v>
      </c>
      <c r="D56" s="43"/>
      <c r="E56" s="43"/>
      <c r="F56" s="43"/>
      <c r="G56" s="43"/>
    </row>
    <row r="57" spans="3:7" x14ac:dyDescent="0.2">
      <c r="C57" s="31" t="s">
        <v>278</v>
      </c>
      <c r="D57" s="36">
        <v>0.31</v>
      </c>
      <c r="E57" s="36">
        <v>0.81</v>
      </c>
      <c r="F57" s="36">
        <v>0.39</v>
      </c>
      <c r="G57" s="36">
        <v>0.82</v>
      </c>
    </row>
    <row r="58" spans="3:7" x14ac:dyDescent="0.2">
      <c r="C58" s="31" t="s">
        <v>279</v>
      </c>
      <c r="D58" s="36">
        <v>0.11</v>
      </c>
      <c r="E58" s="36">
        <v>0.63</v>
      </c>
      <c r="F58" s="36">
        <v>0.19</v>
      </c>
      <c r="G58" s="36">
        <v>0.65</v>
      </c>
    </row>
    <row r="59" spans="3:7" x14ac:dyDescent="0.2">
      <c r="C59" s="31" t="s">
        <v>280</v>
      </c>
      <c r="D59" s="36">
        <v>0.56000000000000005</v>
      </c>
      <c r="E59" s="36">
        <v>0.82</v>
      </c>
      <c r="F59" s="36">
        <v>0.63</v>
      </c>
      <c r="G59" s="36">
        <v>0.81</v>
      </c>
    </row>
    <row r="60" spans="3:7" x14ac:dyDescent="0.2">
      <c r="C60" s="31" t="s">
        <v>281</v>
      </c>
      <c r="D60" s="36">
        <v>0.31</v>
      </c>
      <c r="E60" s="36">
        <v>0.72</v>
      </c>
      <c r="F60" s="36">
        <v>0.35</v>
      </c>
      <c r="G60" s="36">
        <v>0.71</v>
      </c>
    </row>
    <row r="61" spans="3:7" ht="13.5" thickBot="1" x14ac:dyDescent="0.25">
      <c r="C61" s="37" t="s">
        <v>282</v>
      </c>
      <c r="D61" s="38">
        <v>0.42</v>
      </c>
      <c r="E61" s="38">
        <v>0.85</v>
      </c>
      <c r="F61" s="38">
        <v>0.49</v>
      </c>
      <c r="G61" s="38">
        <v>0.84</v>
      </c>
    </row>
    <row r="64" spans="3:7" x14ac:dyDescent="0.2">
      <c r="C64" s="19" t="s">
        <v>286</v>
      </c>
    </row>
    <row r="65" spans="3:7" ht="13.5" thickBot="1" x14ac:dyDescent="0.25"/>
    <row r="66" spans="3:7" x14ac:dyDescent="0.2">
      <c r="C66" s="44"/>
      <c r="D66" s="33" t="s">
        <v>287</v>
      </c>
      <c r="E66" s="33" t="s">
        <v>288</v>
      </c>
      <c r="F66" s="33" t="s">
        <v>289</v>
      </c>
      <c r="G66" s="33" t="s">
        <v>290</v>
      </c>
    </row>
    <row r="67" spans="3:7" x14ac:dyDescent="0.2">
      <c r="C67" s="45" t="s">
        <v>291</v>
      </c>
      <c r="D67" s="42"/>
      <c r="E67" s="42"/>
      <c r="F67" s="42"/>
      <c r="G67" s="42"/>
    </row>
    <row r="68" spans="3:7" x14ac:dyDescent="0.2">
      <c r="C68" s="31" t="s">
        <v>271</v>
      </c>
      <c r="D68" s="36">
        <v>0.25</v>
      </c>
      <c r="E68" s="36">
        <v>0.49</v>
      </c>
      <c r="F68" s="36">
        <v>0.46</v>
      </c>
      <c r="G68" s="36">
        <v>0.64</v>
      </c>
    </row>
    <row r="69" spans="3:7" x14ac:dyDescent="0.2">
      <c r="C69" s="46" t="s">
        <v>265</v>
      </c>
      <c r="D69" s="47">
        <v>63</v>
      </c>
      <c r="E69" s="47">
        <v>121</v>
      </c>
      <c r="F69" s="47">
        <v>112</v>
      </c>
      <c r="G69" s="47">
        <v>118</v>
      </c>
    </row>
    <row r="70" spans="3:7" x14ac:dyDescent="0.2">
      <c r="C70" s="31" t="s">
        <v>272</v>
      </c>
      <c r="D70" s="36">
        <v>0.25</v>
      </c>
      <c r="E70" s="36" t="s">
        <v>292</v>
      </c>
      <c r="F70" s="36">
        <v>0.44</v>
      </c>
      <c r="G70" s="36">
        <v>0.55000000000000004</v>
      </c>
    </row>
    <row r="71" spans="3:7" x14ac:dyDescent="0.2">
      <c r="C71" s="46" t="s">
        <v>265</v>
      </c>
      <c r="D71" s="47">
        <v>138</v>
      </c>
      <c r="E71" s="47"/>
      <c r="F71" s="47">
        <v>273</v>
      </c>
      <c r="G71" s="47">
        <v>277</v>
      </c>
    </row>
    <row r="72" spans="3:7" x14ac:dyDescent="0.2">
      <c r="C72" s="31" t="s">
        <v>293</v>
      </c>
      <c r="D72" s="36">
        <v>0.35</v>
      </c>
      <c r="E72" s="36" t="s">
        <v>292</v>
      </c>
      <c r="F72" s="36">
        <v>0.54</v>
      </c>
      <c r="G72" s="36">
        <v>0.63</v>
      </c>
    </row>
    <row r="73" spans="3:7" x14ac:dyDescent="0.2">
      <c r="C73" s="46" t="s">
        <v>265</v>
      </c>
      <c r="D73" s="47">
        <v>100</v>
      </c>
      <c r="E73" s="47"/>
      <c r="F73" s="47">
        <v>106</v>
      </c>
      <c r="G73" s="47">
        <v>202</v>
      </c>
    </row>
    <row r="74" spans="3:7" x14ac:dyDescent="0.2">
      <c r="C74" s="31" t="s">
        <v>294</v>
      </c>
      <c r="D74" s="36">
        <v>0.28999999999999998</v>
      </c>
      <c r="E74" s="36" t="s">
        <v>292</v>
      </c>
      <c r="F74" s="36">
        <v>0.43</v>
      </c>
      <c r="G74" s="36">
        <v>0.62</v>
      </c>
    </row>
    <row r="75" spans="3:7" x14ac:dyDescent="0.2">
      <c r="C75" s="46" t="s">
        <v>265</v>
      </c>
      <c r="D75" s="47">
        <v>112</v>
      </c>
      <c r="E75" s="47"/>
      <c r="F75" s="47">
        <v>106</v>
      </c>
      <c r="G75" s="47">
        <v>215</v>
      </c>
    </row>
    <row r="76" spans="3:7" x14ac:dyDescent="0.2">
      <c r="C76" s="31" t="s">
        <v>295</v>
      </c>
      <c r="D76" s="36">
        <v>0.36</v>
      </c>
      <c r="E76" s="36">
        <v>0.54</v>
      </c>
      <c r="F76" s="36">
        <v>0.53</v>
      </c>
      <c r="G76" s="36">
        <v>0.6</v>
      </c>
    </row>
    <row r="77" spans="3:7" x14ac:dyDescent="0.2">
      <c r="C77" s="46" t="s">
        <v>265</v>
      </c>
      <c r="D77" s="47">
        <v>198</v>
      </c>
      <c r="E77" s="47">
        <v>296</v>
      </c>
      <c r="F77" s="47">
        <v>291</v>
      </c>
      <c r="G77" s="47">
        <v>286</v>
      </c>
    </row>
    <row r="78" spans="3:7" x14ac:dyDescent="0.2">
      <c r="C78" s="45" t="s">
        <v>296</v>
      </c>
      <c r="D78" s="42"/>
      <c r="E78" s="42"/>
      <c r="F78" s="42"/>
      <c r="G78" s="42"/>
    </row>
    <row r="79" spans="3:7" x14ac:dyDescent="0.2">
      <c r="C79" s="31" t="s">
        <v>265</v>
      </c>
      <c r="D79" s="2">
        <v>704</v>
      </c>
      <c r="E79" s="2">
        <v>496</v>
      </c>
      <c r="F79" s="2">
        <v>1007</v>
      </c>
      <c r="G79" s="2">
        <v>1212</v>
      </c>
    </row>
    <row r="80" spans="3:7" x14ac:dyDescent="0.2">
      <c r="C80" s="31" t="s">
        <v>297</v>
      </c>
      <c r="D80" s="48">
        <v>1E-3</v>
      </c>
      <c r="E80" s="48">
        <v>4.0000000000000001E-3</v>
      </c>
      <c r="F80" s="48">
        <v>6.0000000000000001E-3</v>
      </c>
      <c r="G80" s="48">
        <v>1.4E-2</v>
      </c>
    </row>
    <row r="81" spans="2:24" x14ac:dyDescent="0.2">
      <c r="C81" s="31" t="s">
        <v>298</v>
      </c>
      <c r="D81" s="48">
        <v>2.4E-2</v>
      </c>
      <c r="E81" s="48">
        <v>2.8000000000000001E-2</v>
      </c>
      <c r="F81" s="48">
        <v>2.5000000000000001E-2</v>
      </c>
      <c r="G81" s="48">
        <v>3.7999999999999999E-2</v>
      </c>
    </row>
    <row r="82" spans="2:24" x14ac:dyDescent="0.2">
      <c r="C82" s="31" t="s">
        <v>299</v>
      </c>
      <c r="D82" s="48">
        <v>8.9999999999999993E-3</v>
      </c>
      <c r="E82" s="48">
        <v>8.0000000000000002E-3</v>
      </c>
      <c r="F82" s="48">
        <v>1.7999999999999999E-2</v>
      </c>
      <c r="G82" s="48">
        <v>2.4E-2</v>
      </c>
    </row>
    <row r="83" spans="2:24" x14ac:dyDescent="0.2">
      <c r="C83" s="31" t="s">
        <v>300</v>
      </c>
      <c r="D83" s="48">
        <v>0.113</v>
      </c>
      <c r="E83" s="48">
        <v>0.122</v>
      </c>
      <c r="F83" s="48">
        <v>0.11</v>
      </c>
      <c r="G83" s="48">
        <v>0.13500000000000001</v>
      </c>
    </row>
    <row r="84" spans="2:24" x14ac:dyDescent="0.2">
      <c r="C84" s="31" t="s">
        <v>301</v>
      </c>
      <c r="D84" s="48">
        <v>8.9999999999999993E-3</v>
      </c>
      <c r="E84" s="48">
        <v>0.01</v>
      </c>
      <c r="F84" s="48">
        <v>1.7000000000000001E-2</v>
      </c>
      <c r="G84" s="48">
        <v>1.4E-2</v>
      </c>
    </row>
    <row r="85" spans="2:24" ht="13.5" thickBot="1" x14ac:dyDescent="0.25">
      <c r="C85" s="37" t="s">
        <v>302</v>
      </c>
      <c r="D85" s="49">
        <v>1.7000000000000001E-2</v>
      </c>
      <c r="E85" s="49">
        <v>0.13500000000000001</v>
      </c>
      <c r="F85" s="49">
        <v>0.193</v>
      </c>
      <c r="G85" s="49">
        <v>0.245</v>
      </c>
    </row>
    <row r="86" spans="2:24" x14ac:dyDescent="0.2">
      <c r="C86" s="50" t="s">
        <v>303</v>
      </c>
    </row>
    <row r="90" spans="2:24" s="24" customFormat="1" x14ac:dyDescent="0.2">
      <c r="B90" s="6" t="s">
        <v>44</v>
      </c>
      <c r="C90" s="11" t="s">
        <v>45</v>
      </c>
      <c r="D90" s="11" t="s">
        <v>46</v>
      </c>
      <c r="E90" s="11" t="s">
        <v>47</v>
      </c>
      <c r="F90" s="11" t="s">
        <v>48</v>
      </c>
      <c r="G90" s="11" t="s">
        <v>49</v>
      </c>
      <c r="H90" s="11" t="s">
        <v>50</v>
      </c>
      <c r="I90" s="11" t="s">
        <v>51</v>
      </c>
      <c r="J90" s="11" t="s">
        <v>52</v>
      </c>
      <c r="K90" s="11" t="s">
        <v>53</v>
      </c>
      <c r="L90" s="11" t="s">
        <v>54</v>
      </c>
      <c r="M90" s="11" t="s">
        <v>55</v>
      </c>
      <c r="N90" s="11" t="s">
        <v>56</v>
      </c>
      <c r="O90" s="11"/>
      <c r="P90" s="9">
        <v>2003</v>
      </c>
      <c r="Q90" s="9">
        <v>2004</v>
      </c>
      <c r="R90" s="9">
        <v>2005</v>
      </c>
      <c r="S90" s="9">
        <v>2006</v>
      </c>
      <c r="T90" s="9">
        <v>2007</v>
      </c>
      <c r="U90" s="9">
        <v>2008</v>
      </c>
      <c r="V90" s="9">
        <v>2009</v>
      </c>
      <c r="W90" s="9">
        <v>2010</v>
      </c>
      <c r="X90" s="9">
        <v>2011</v>
      </c>
    </row>
    <row r="91" spans="2:24" s="27" customFormat="1" x14ac:dyDescent="0.2">
      <c r="B91" s="8" t="s">
        <v>57</v>
      </c>
      <c r="C91" s="12">
        <v>126</v>
      </c>
      <c r="D91" s="12">
        <v>109</v>
      </c>
      <c r="E91" s="12">
        <v>127</v>
      </c>
      <c r="F91" s="12">
        <v>130</v>
      </c>
      <c r="G91" s="12">
        <v>123</v>
      </c>
      <c r="H91" s="12">
        <v>112</v>
      </c>
      <c r="I91" s="12">
        <v>131</v>
      </c>
      <c r="J91" s="12">
        <v>138</v>
      </c>
      <c r="K91" s="12">
        <v>135</v>
      </c>
      <c r="L91" s="12">
        <v>130</v>
      </c>
      <c r="M91" s="12">
        <v>123.48</v>
      </c>
      <c r="N91" s="12">
        <v>105.44</v>
      </c>
      <c r="O91" s="12"/>
      <c r="P91" s="12">
        <v>560</v>
      </c>
      <c r="Q91" s="12">
        <v>492</v>
      </c>
      <c r="R91" s="12">
        <v>504</v>
      </c>
      <c r="S91" s="12">
        <v>493.92</v>
      </c>
      <c r="T91" s="12">
        <v>390</v>
      </c>
      <c r="U91" s="12">
        <v>234</v>
      </c>
      <c r="V91" s="12">
        <v>140.4</v>
      </c>
      <c r="W91" s="12">
        <v>84.24</v>
      </c>
      <c r="X91" s="12">
        <v>50.543999999999997</v>
      </c>
    </row>
    <row r="92" spans="2:24" s="27" customFormat="1" x14ac:dyDescent="0.2">
      <c r="B92" s="8" t="s">
        <v>58</v>
      </c>
      <c r="C92" s="12">
        <v>35</v>
      </c>
      <c r="D92" s="12">
        <v>36</v>
      </c>
      <c r="E92" s="12">
        <v>36</v>
      </c>
      <c r="F92" s="12">
        <v>35</v>
      </c>
      <c r="G92" s="12">
        <v>33</v>
      </c>
      <c r="H92" s="12">
        <v>37</v>
      </c>
      <c r="I92" s="12">
        <v>36</v>
      </c>
      <c r="J92" s="12">
        <v>38</v>
      </c>
      <c r="K92" s="12">
        <v>37</v>
      </c>
      <c r="L92" s="12">
        <v>37.5</v>
      </c>
      <c r="M92" s="12">
        <v>37.5</v>
      </c>
      <c r="N92" s="12">
        <v>38</v>
      </c>
      <c r="O92" s="12"/>
      <c r="P92" s="12">
        <v>146</v>
      </c>
      <c r="Q92" s="12">
        <v>142</v>
      </c>
      <c r="R92" s="12">
        <v>144</v>
      </c>
      <c r="S92" s="12">
        <v>150</v>
      </c>
      <c r="T92" s="12">
        <v>148.5</v>
      </c>
      <c r="U92" s="12">
        <v>147.01499999999999</v>
      </c>
      <c r="V92" s="12">
        <v>145.54485</v>
      </c>
      <c r="W92" s="12">
        <v>144.08940150000001</v>
      </c>
      <c r="X92" s="12">
        <v>142.64850748500001</v>
      </c>
    </row>
    <row r="93" spans="2:24" s="27" customFormat="1" x14ac:dyDescent="0.2">
      <c r="B93" s="8" t="s">
        <v>59</v>
      </c>
      <c r="C93" s="12">
        <v>11</v>
      </c>
      <c r="D93" s="12">
        <v>13</v>
      </c>
      <c r="E93" s="12">
        <v>12</v>
      </c>
      <c r="F93" s="12">
        <v>12</v>
      </c>
      <c r="G93" s="12">
        <v>11</v>
      </c>
      <c r="H93" s="12">
        <v>13</v>
      </c>
      <c r="I93" s="12">
        <v>13</v>
      </c>
      <c r="J93" s="12">
        <v>12</v>
      </c>
      <c r="K93" s="12">
        <v>10</v>
      </c>
      <c r="L93" s="12">
        <v>12.1275</v>
      </c>
      <c r="M93" s="12">
        <v>12.1275</v>
      </c>
      <c r="N93" s="12">
        <v>14.255000000000001</v>
      </c>
      <c r="O93" s="12"/>
      <c r="P93" s="12">
        <v>53</v>
      </c>
      <c r="Q93" s="12">
        <v>48</v>
      </c>
      <c r="R93" s="12">
        <v>49</v>
      </c>
      <c r="S93" s="12">
        <v>48.51</v>
      </c>
      <c r="T93" s="12">
        <v>48.024899999999995</v>
      </c>
      <c r="U93" s="12">
        <v>47.544650999999995</v>
      </c>
      <c r="V93" s="12">
        <v>47.069204489999997</v>
      </c>
      <c r="W93" s="12">
        <v>46.598512445099999</v>
      </c>
      <c r="X93" s="12">
        <v>46.132527320648997</v>
      </c>
    </row>
  </sheetData>
  <mergeCells count="4">
    <mergeCell ref="D47:E47"/>
    <mergeCell ref="F47:G47"/>
    <mergeCell ref="D10:G10"/>
    <mergeCell ref="H10:K10"/>
  </mergeCells>
  <phoneticPr fontId="4" type="noConversion"/>
  <hyperlinks>
    <hyperlink ref="A1" location="Main!A1" display="main" xr:uid="{00000000-0004-0000-0C00-000000000000}"/>
    <hyperlink ref="C86" r:id="rId1" display="Source: Imitrex Nasal Spray Prescribin Information" xr:uid="{00000000-0004-0000-0C00-000001000000}"/>
  </hyperlinks>
  <pageMargins left="0.75" right="0.75" top="1" bottom="1" header="0.5" footer="0.5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2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1" width="6.7109375" style="1" bestFit="1" customWidth="1"/>
    <col min="12" max="14" width="6.5703125" style="1" bestFit="1" customWidth="1"/>
    <col min="15" max="15" width="2" style="1" customWidth="1"/>
    <col min="16" max="24" width="6.140625" style="1" customWidth="1"/>
    <col min="25" max="16384" width="9.140625" style="1"/>
  </cols>
  <sheetData>
    <row r="1" spans="1:24" x14ac:dyDescent="0.2">
      <c r="A1" s="17" t="s">
        <v>135</v>
      </c>
    </row>
    <row r="2" spans="1:24" x14ac:dyDescent="0.2">
      <c r="B2" s="1" t="s">
        <v>153</v>
      </c>
      <c r="C2" s="1" t="s">
        <v>63</v>
      </c>
    </row>
    <row r="3" spans="1:24" x14ac:dyDescent="0.2">
      <c r="B3" s="1" t="s">
        <v>154</v>
      </c>
      <c r="C3" s="1" t="s">
        <v>513</v>
      </c>
    </row>
    <row r="4" spans="1:24" x14ac:dyDescent="0.2">
      <c r="B4" s="1" t="s">
        <v>3</v>
      </c>
      <c r="C4" s="1" t="s">
        <v>514</v>
      </c>
    </row>
    <row r="5" spans="1:24" x14ac:dyDescent="0.2">
      <c r="B5" s="1" t="s">
        <v>373</v>
      </c>
      <c r="C5" s="31" t="s">
        <v>567</v>
      </c>
    </row>
    <row r="7" spans="1:24" s="24" customFormat="1" x14ac:dyDescent="0.2">
      <c r="B7" s="21" t="s">
        <v>44</v>
      </c>
      <c r="C7" s="22" t="s">
        <v>45</v>
      </c>
      <c r="D7" s="22" t="s">
        <v>46</v>
      </c>
      <c r="E7" s="22" t="s">
        <v>47</v>
      </c>
      <c r="F7" s="22" t="s">
        <v>48</v>
      </c>
      <c r="G7" s="22" t="s">
        <v>49</v>
      </c>
      <c r="H7" s="22" t="s">
        <v>50</v>
      </c>
      <c r="I7" s="22" t="s">
        <v>51</v>
      </c>
      <c r="J7" s="22" t="s">
        <v>52</v>
      </c>
      <c r="K7" s="22" t="s">
        <v>53</v>
      </c>
      <c r="L7" s="22" t="s">
        <v>54</v>
      </c>
      <c r="M7" s="22" t="s">
        <v>55</v>
      </c>
      <c r="N7" s="22" t="s">
        <v>56</v>
      </c>
      <c r="O7" s="22"/>
      <c r="P7" s="23">
        <v>2003</v>
      </c>
      <c r="Q7" s="23">
        <v>2004</v>
      </c>
      <c r="R7" s="23">
        <v>2005</v>
      </c>
      <c r="S7" s="23">
        <v>2006</v>
      </c>
      <c r="T7" s="23">
        <v>2007</v>
      </c>
      <c r="U7" s="23">
        <v>2008</v>
      </c>
      <c r="V7" s="23">
        <v>2009</v>
      </c>
      <c r="W7" s="23">
        <v>2010</v>
      </c>
      <c r="X7" s="23">
        <v>2011</v>
      </c>
    </row>
    <row r="8" spans="1:24" s="27" customFormat="1" x14ac:dyDescent="0.2">
      <c r="B8" s="25" t="s">
        <v>57</v>
      </c>
      <c r="C8" s="26">
        <v>91</v>
      </c>
      <c r="D8" s="26">
        <v>104</v>
      </c>
      <c r="E8" s="26">
        <v>106</v>
      </c>
      <c r="F8" s="26">
        <v>113</v>
      </c>
      <c r="G8" s="26">
        <v>120</v>
      </c>
      <c r="H8" s="26">
        <v>140</v>
      </c>
      <c r="I8" s="26">
        <v>145</v>
      </c>
      <c r="J8" s="26">
        <v>163</v>
      </c>
      <c r="K8" s="26">
        <v>174</v>
      </c>
      <c r="L8" s="26">
        <v>185</v>
      </c>
      <c r="M8" s="26">
        <v>190</v>
      </c>
      <c r="N8" s="26">
        <v>201</v>
      </c>
      <c r="O8" s="26"/>
      <c r="P8" s="26">
        <v>311</v>
      </c>
      <c r="Q8" s="26">
        <v>414</v>
      </c>
      <c r="R8" s="26">
        <v>568</v>
      </c>
      <c r="S8" s="26">
        <v>750</v>
      </c>
      <c r="T8" s="26">
        <v>862.5</v>
      </c>
      <c r="U8" s="26">
        <v>966</v>
      </c>
      <c r="V8" s="26">
        <v>579.6</v>
      </c>
      <c r="W8" s="26">
        <v>596.98800000000006</v>
      </c>
      <c r="X8" s="26">
        <v>614.89764000000002</v>
      </c>
    </row>
    <row r="9" spans="1:24" s="27" customFormat="1" x14ac:dyDescent="0.2">
      <c r="B9" s="25" t="s">
        <v>58</v>
      </c>
      <c r="C9" s="26">
        <v>51</v>
      </c>
      <c r="D9" s="26">
        <v>56</v>
      </c>
      <c r="E9" s="26">
        <v>54</v>
      </c>
      <c r="F9" s="26">
        <v>57</v>
      </c>
      <c r="G9" s="26">
        <v>63</v>
      </c>
      <c r="H9" s="26">
        <v>62</v>
      </c>
      <c r="I9" s="26">
        <v>50</v>
      </c>
      <c r="J9" s="26">
        <v>51</v>
      </c>
      <c r="K9" s="26">
        <v>48</v>
      </c>
      <c r="L9" s="26">
        <v>50</v>
      </c>
      <c r="M9" s="26">
        <v>50</v>
      </c>
      <c r="N9" s="26">
        <v>52</v>
      </c>
      <c r="O9" s="26"/>
      <c r="P9" s="26">
        <v>195</v>
      </c>
      <c r="Q9" s="26">
        <v>218</v>
      </c>
      <c r="R9" s="26">
        <v>226</v>
      </c>
      <c r="S9" s="26">
        <v>200</v>
      </c>
      <c r="T9" s="26">
        <v>170</v>
      </c>
      <c r="U9" s="26">
        <v>144.5</v>
      </c>
      <c r="V9" s="26">
        <v>122.825</v>
      </c>
      <c r="W9" s="26">
        <v>104.40125</v>
      </c>
      <c r="X9" s="26">
        <v>88.741062499999998</v>
      </c>
    </row>
    <row r="10" spans="1:24" s="27" customFormat="1" x14ac:dyDescent="0.2">
      <c r="B10" s="25" t="s">
        <v>59</v>
      </c>
      <c r="C10" s="26">
        <v>11</v>
      </c>
      <c r="D10" s="26">
        <v>11</v>
      </c>
      <c r="E10" s="26">
        <v>12</v>
      </c>
      <c r="F10" s="26">
        <v>11</v>
      </c>
      <c r="G10" s="26">
        <v>12</v>
      </c>
      <c r="H10" s="26">
        <v>14</v>
      </c>
      <c r="I10" s="26">
        <v>15</v>
      </c>
      <c r="J10" s="26">
        <v>14</v>
      </c>
      <c r="K10" s="26">
        <v>15</v>
      </c>
      <c r="L10" s="26">
        <v>16.25</v>
      </c>
      <c r="M10" s="26">
        <v>16.25</v>
      </c>
      <c r="N10" s="26">
        <v>17.5</v>
      </c>
      <c r="O10" s="26"/>
      <c r="P10" s="26">
        <v>43</v>
      </c>
      <c r="Q10" s="26">
        <v>45</v>
      </c>
      <c r="R10" s="26">
        <v>55</v>
      </c>
      <c r="S10" s="26">
        <v>65</v>
      </c>
      <c r="T10" s="26">
        <v>71.5</v>
      </c>
      <c r="U10" s="26">
        <v>78.650000000000006</v>
      </c>
      <c r="V10" s="26">
        <v>86.515000000000001</v>
      </c>
      <c r="W10" s="26">
        <v>95.166500000000028</v>
      </c>
      <c r="X10" s="26">
        <v>104.68315000000004</v>
      </c>
    </row>
    <row r="11" spans="1:24" x14ac:dyDescent="0.2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x14ac:dyDescent="0.2">
      <c r="Q12" s="30"/>
      <c r="R12" s="30"/>
      <c r="S12" s="30"/>
      <c r="T12" s="30"/>
      <c r="U12" s="30"/>
      <c r="V12" s="30"/>
      <c r="W12" s="30"/>
      <c r="X12" s="30"/>
    </row>
  </sheetData>
  <phoneticPr fontId="4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zoomScale="15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5" width="6.5703125" style="1" bestFit="1" customWidth="1"/>
    <col min="6" max="14" width="5.28515625" style="1" customWidth="1"/>
    <col min="15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" t="s">
        <v>62</v>
      </c>
    </row>
    <row r="3" spans="1:3" x14ac:dyDescent="0.2">
      <c r="B3" s="1" t="s">
        <v>154</v>
      </c>
      <c r="C3" s="1" t="s">
        <v>431</v>
      </c>
    </row>
    <row r="4" spans="1:3" x14ac:dyDescent="0.2">
      <c r="B4" s="1" t="s">
        <v>0</v>
      </c>
      <c r="C4" s="1" t="s">
        <v>94</v>
      </c>
    </row>
    <row r="5" spans="1:3" x14ac:dyDescent="0.2">
      <c r="B5" s="1" t="s">
        <v>223</v>
      </c>
      <c r="C5" s="1" t="s">
        <v>432</v>
      </c>
    </row>
    <row r="6" spans="1:3" x14ac:dyDescent="0.2">
      <c r="B6" s="1" t="s">
        <v>169</v>
      </c>
    </row>
    <row r="7" spans="1:3" x14ac:dyDescent="0.2">
      <c r="B7" s="31"/>
      <c r="C7" s="19" t="s">
        <v>435</v>
      </c>
    </row>
    <row r="8" spans="1:3" x14ac:dyDescent="0.2">
      <c r="C8" s="1" t="s">
        <v>436</v>
      </c>
    </row>
    <row r="10" spans="1:3" x14ac:dyDescent="0.2">
      <c r="C10" s="1" t="s">
        <v>440</v>
      </c>
    </row>
  </sheetData>
  <phoneticPr fontId="4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3"/>
  <sheetViews>
    <sheetView workbookViewId="0"/>
  </sheetViews>
  <sheetFormatPr defaultRowHeight="12.75" x14ac:dyDescent="0.2"/>
  <cols>
    <col min="1" max="1" width="5" bestFit="1" customWidth="1"/>
    <col min="2" max="2" width="13.7109375" customWidth="1"/>
    <col min="3" max="11" width="6.7109375" bestFit="1" customWidth="1"/>
    <col min="12" max="14" width="6.5703125" bestFit="1" customWidth="1"/>
    <col min="15" max="15" width="2" customWidth="1"/>
    <col min="16" max="24" width="6.140625" customWidth="1"/>
  </cols>
  <sheetData>
    <row r="1" spans="1:24" x14ac:dyDescent="0.2">
      <c r="A1" s="20" t="s">
        <v>135</v>
      </c>
    </row>
    <row r="2" spans="1:24" x14ac:dyDescent="0.2">
      <c r="A2" s="20"/>
      <c r="B2" s="65" t="s">
        <v>153</v>
      </c>
      <c r="C2" s="65" t="s">
        <v>67</v>
      </c>
    </row>
    <row r="3" spans="1:24" x14ac:dyDescent="0.2">
      <c r="A3" s="20"/>
      <c r="B3" s="65" t="s">
        <v>154</v>
      </c>
      <c r="C3" s="65" t="s">
        <v>577</v>
      </c>
    </row>
    <row r="4" spans="1:24" x14ac:dyDescent="0.2">
      <c r="B4" t="s">
        <v>3</v>
      </c>
      <c r="C4" t="s">
        <v>502</v>
      </c>
    </row>
    <row r="8" spans="1:24" s="7" customFormat="1" x14ac:dyDescent="0.2">
      <c r="B8" s="6" t="s">
        <v>44</v>
      </c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/>
      <c r="P8" s="9">
        <v>2003</v>
      </c>
      <c r="Q8" s="9">
        <v>2004</v>
      </c>
      <c r="R8" s="9">
        <v>2005</v>
      </c>
      <c r="S8" s="9">
        <v>2006</v>
      </c>
      <c r="T8" s="9">
        <v>2007</v>
      </c>
      <c r="U8" s="9">
        <v>2008</v>
      </c>
      <c r="V8" s="9">
        <v>2009</v>
      </c>
      <c r="W8" s="9">
        <v>2010</v>
      </c>
      <c r="X8" s="9">
        <v>2011</v>
      </c>
    </row>
    <row r="9" spans="1:24" s="4" customFormat="1" x14ac:dyDescent="0.2">
      <c r="B9" s="8" t="s">
        <v>57</v>
      </c>
      <c r="C9" s="12">
        <v>68</v>
      </c>
      <c r="D9" s="12">
        <v>69</v>
      </c>
      <c r="E9" s="12">
        <v>73</v>
      </c>
      <c r="F9" s="12">
        <v>70</v>
      </c>
      <c r="G9" s="12">
        <v>68</v>
      </c>
      <c r="H9" s="12">
        <v>70</v>
      </c>
      <c r="I9" s="12">
        <v>71</v>
      </c>
      <c r="J9" s="12">
        <v>74</v>
      </c>
      <c r="K9" s="12">
        <v>62</v>
      </c>
      <c r="L9" s="12">
        <v>68.627499999999998</v>
      </c>
      <c r="M9" s="12">
        <v>68.627499999999998</v>
      </c>
      <c r="N9" s="12">
        <v>75.254999999999995</v>
      </c>
      <c r="O9" s="12"/>
      <c r="P9" s="12">
        <v>301</v>
      </c>
      <c r="Q9" s="12">
        <v>280</v>
      </c>
      <c r="R9" s="12">
        <v>283</v>
      </c>
      <c r="S9" s="12">
        <v>274.51</v>
      </c>
      <c r="T9" s="12">
        <v>260.78449999999998</v>
      </c>
      <c r="U9" s="12">
        <v>247.74527499999996</v>
      </c>
      <c r="V9" s="12">
        <v>235.35801124999995</v>
      </c>
      <c r="W9" s="12">
        <v>141.21480674999995</v>
      </c>
      <c r="X9" s="12">
        <v>56.485922699999982</v>
      </c>
    </row>
    <row r="10" spans="1:24" s="4" customFormat="1" x14ac:dyDescent="0.2">
      <c r="B10" s="8" t="s">
        <v>58</v>
      </c>
      <c r="C10" s="12">
        <v>56</v>
      </c>
      <c r="D10" s="12">
        <v>56</v>
      </c>
      <c r="E10" s="12">
        <v>54</v>
      </c>
      <c r="F10" s="12">
        <v>59</v>
      </c>
      <c r="G10" s="12">
        <v>56</v>
      </c>
      <c r="H10" s="12">
        <v>60</v>
      </c>
      <c r="I10" s="12">
        <v>58</v>
      </c>
      <c r="J10" s="12">
        <v>53</v>
      </c>
      <c r="K10" s="12">
        <v>59</v>
      </c>
      <c r="L10" s="12">
        <v>57.5</v>
      </c>
      <c r="M10" s="12">
        <v>57.5</v>
      </c>
      <c r="N10" s="12">
        <v>56</v>
      </c>
      <c r="O10" s="12"/>
      <c r="P10" s="12">
        <v>217</v>
      </c>
      <c r="Q10" s="12">
        <v>225</v>
      </c>
      <c r="R10" s="12">
        <v>227</v>
      </c>
      <c r="S10" s="12">
        <v>230</v>
      </c>
      <c r="T10" s="12">
        <v>232.3</v>
      </c>
      <c r="U10" s="12">
        <v>234.62300000000002</v>
      </c>
      <c r="V10" s="12">
        <v>236.96923000000001</v>
      </c>
      <c r="W10" s="12">
        <v>213.27230700000001</v>
      </c>
      <c r="X10" s="12">
        <v>191.94507630000001</v>
      </c>
    </row>
    <row r="11" spans="1:24" s="4" customFormat="1" x14ac:dyDescent="0.2">
      <c r="B11" s="8" t="s">
        <v>59</v>
      </c>
      <c r="C11" s="12">
        <v>15</v>
      </c>
      <c r="D11" s="12">
        <v>16</v>
      </c>
      <c r="E11" s="12">
        <v>17</v>
      </c>
      <c r="F11" s="12">
        <v>17</v>
      </c>
      <c r="G11" s="12">
        <v>16</v>
      </c>
      <c r="H11" s="12">
        <v>18</v>
      </c>
      <c r="I11" s="12">
        <v>18</v>
      </c>
      <c r="J11" s="12">
        <v>21</v>
      </c>
      <c r="K11" s="12">
        <v>22</v>
      </c>
      <c r="L11" s="12">
        <v>20.5</v>
      </c>
      <c r="M11" s="12">
        <v>20.5</v>
      </c>
      <c r="N11" s="12">
        <v>19</v>
      </c>
      <c r="O11" s="12"/>
      <c r="P11" s="12">
        <v>70</v>
      </c>
      <c r="Q11" s="12">
        <v>65</v>
      </c>
      <c r="R11" s="12">
        <v>73</v>
      </c>
      <c r="S11" s="12">
        <v>82</v>
      </c>
      <c r="T11" s="12">
        <v>82.82</v>
      </c>
      <c r="U11" s="12">
        <v>83.648200000000003</v>
      </c>
      <c r="V11" s="12">
        <v>84.484682000000006</v>
      </c>
      <c r="W11" s="12">
        <v>85.329528820000007</v>
      </c>
      <c r="X11" s="12">
        <v>86.182824108200009</v>
      </c>
    </row>
    <row r="12" spans="1:24" x14ac:dyDescent="0.2">
      <c r="B12" s="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Q13" s="14"/>
      <c r="R13" s="14"/>
      <c r="S13" s="14"/>
      <c r="T13" s="14"/>
      <c r="U13" s="14"/>
      <c r="V13" s="14"/>
      <c r="W13" s="14"/>
      <c r="X13" s="14"/>
    </row>
  </sheetData>
  <phoneticPr fontId="4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84"/>
  <sheetViews>
    <sheetView zoomScale="130" zoomScaleNormal="130" workbookViewId="0">
      <selection activeCell="J4" sqref="J4"/>
    </sheetView>
  </sheetViews>
  <sheetFormatPr defaultRowHeight="12.75" x14ac:dyDescent="0.2"/>
  <cols>
    <col min="1" max="1" width="2.42578125" style="77" customWidth="1"/>
    <col min="2" max="2" width="36.5703125" style="77" customWidth="1"/>
    <col min="3" max="3" width="29" style="77" customWidth="1"/>
    <col min="4" max="4" width="21.28515625" style="79" customWidth="1"/>
    <col min="5" max="5" width="13.7109375" style="79" customWidth="1"/>
    <col min="6" max="6" width="16" style="77" customWidth="1"/>
    <col min="7" max="7" width="29.5703125" style="77" customWidth="1"/>
    <col min="8" max="8" width="4" style="77" customWidth="1"/>
    <col min="9" max="9" width="11.7109375" style="77" bestFit="1" customWidth="1"/>
    <col min="10" max="10" width="9.85546875" style="77" customWidth="1"/>
    <col min="11" max="11" width="7.140625" style="77" customWidth="1"/>
    <col min="12" max="16384" width="9.140625" style="77"/>
  </cols>
  <sheetData>
    <row r="1" spans="1:12" x14ac:dyDescent="0.2">
      <c r="A1" s="76"/>
    </row>
    <row r="2" spans="1:12" x14ac:dyDescent="0.2">
      <c r="B2" s="80" t="s">
        <v>763</v>
      </c>
      <c r="C2" s="81" t="s">
        <v>0</v>
      </c>
      <c r="D2" s="81" t="s">
        <v>102</v>
      </c>
      <c r="E2" s="81" t="s">
        <v>1</v>
      </c>
      <c r="F2" s="81" t="s">
        <v>255</v>
      </c>
      <c r="G2" s="82" t="s">
        <v>3</v>
      </c>
      <c r="I2" s="77" t="s">
        <v>606</v>
      </c>
      <c r="J2" s="83">
        <v>14.38</v>
      </c>
    </row>
    <row r="3" spans="1:12" x14ac:dyDescent="0.2">
      <c r="B3" s="84" t="s">
        <v>1452</v>
      </c>
      <c r="C3" s="79" t="s">
        <v>120</v>
      </c>
      <c r="D3" s="85" t="s">
        <v>104</v>
      </c>
      <c r="E3" s="85">
        <v>1</v>
      </c>
      <c r="F3" s="79">
        <v>1998</v>
      </c>
      <c r="G3" s="139" t="s">
        <v>1453</v>
      </c>
      <c r="I3" s="110" t="s">
        <v>1346</v>
      </c>
      <c r="J3" s="83">
        <v>34.369999999999997</v>
      </c>
    </row>
    <row r="4" spans="1:12" x14ac:dyDescent="0.2">
      <c r="B4" s="84" t="s">
        <v>1391</v>
      </c>
      <c r="C4" s="115" t="s">
        <v>1454</v>
      </c>
      <c r="D4" s="116" t="s">
        <v>380</v>
      </c>
      <c r="E4" s="116" t="s">
        <v>588</v>
      </c>
      <c r="F4" s="183">
        <v>43028</v>
      </c>
      <c r="G4" s="139" t="s">
        <v>380</v>
      </c>
      <c r="I4" s="77" t="s">
        <v>316</v>
      </c>
      <c r="J4" s="87">
        <v>4025</v>
      </c>
      <c r="K4" s="128" t="s">
        <v>1376</v>
      </c>
    </row>
    <row r="5" spans="1:12" x14ac:dyDescent="0.2">
      <c r="B5" s="84" t="s">
        <v>1465</v>
      </c>
      <c r="C5" s="79" t="s">
        <v>66</v>
      </c>
      <c r="D5" s="115" t="s">
        <v>1466</v>
      </c>
      <c r="E5" s="85">
        <v>1</v>
      </c>
      <c r="F5" s="183">
        <v>41873</v>
      </c>
      <c r="G5" s="205">
        <v>46665</v>
      </c>
      <c r="I5" s="77" t="s">
        <v>317</v>
      </c>
      <c r="J5" s="87">
        <f>J4*J2</f>
        <v>57879.5</v>
      </c>
      <c r="L5" s="182"/>
    </row>
    <row r="6" spans="1:12" x14ac:dyDescent="0.2">
      <c r="B6" s="84" t="s">
        <v>1467</v>
      </c>
      <c r="C6" s="115" t="s">
        <v>66</v>
      </c>
      <c r="D6" s="115" t="s">
        <v>592</v>
      </c>
      <c r="E6" s="85">
        <v>1</v>
      </c>
      <c r="F6" s="183">
        <v>41498</v>
      </c>
      <c r="G6" s="205">
        <v>46665</v>
      </c>
      <c r="I6" s="77" t="s">
        <v>605</v>
      </c>
      <c r="J6" s="87">
        <v>0</v>
      </c>
      <c r="K6" s="128" t="s">
        <v>1376</v>
      </c>
      <c r="L6" s="87"/>
    </row>
    <row r="7" spans="1:12" x14ac:dyDescent="0.2">
      <c r="B7" s="84" t="s">
        <v>1468</v>
      </c>
      <c r="C7" s="115" t="s">
        <v>66</v>
      </c>
      <c r="D7" s="115" t="s">
        <v>1470</v>
      </c>
      <c r="E7" s="85">
        <v>1</v>
      </c>
      <c r="F7" s="183">
        <v>43563</v>
      </c>
      <c r="G7" s="205">
        <v>46665</v>
      </c>
      <c r="I7" s="77" t="s">
        <v>609</v>
      </c>
      <c r="J7" s="87">
        <v>19400</v>
      </c>
      <c r="K7" s="128" t="s">
        <v>1376</v>
      </c>
    </row>
    <row r="8" spans="1:12" x14ac:dyDescent="0.2">
      <c r="B8" s="84" t="s">
        <v>1469</v>
      </c>
      <c r="C8" s="115" t="s">
        <v>66</v>
      </c>
      <c r="D8" s="115" t="s">
        <v>1471</v>
      </c>
      <c r="E8" s="115" t="s">
        <v>1472</v>
      </c>
      <c r="F8" s="183">
        <v>43060</v>
      </c>
      <c r="G8" s="205">
        <v>46665</v>
      </c>
      <c r="I8" s="77" t="s">
        <v>607</v>
      </c>
      <c r="J8" s="87">
        <f>J5-J6+J7</f>
        <v>77279.5</v>
      </c>
    </row>
    <row r="9" spans="1:12" x14ac:dyDescent="0.2">
      <c r="B9" s="84" t="s">
        <v>1480</v>
      </c>
      <c r="C9" s="115" t="s">
        <v>1479</v>
      </c>
      <c r="D9" s="115" t="s">
        <v>1481</v>
      </c>
      <c r="E9" s="116" t="s">
        <v>1483</v>
      </c>
      <c r="F9" s="183">
        <v>42996</v>
      </c>
      <c r="G9" s="209" t="s">
        <v>1482</v>
      </c>
    </row>
    <row r="10" spans="1:12" x14ac:dyDescent="0.2">
      <c r="B10" s="114" t="s">
        <v>1431</v>
      </c>
      <c r="C10" s="115" t="s">
        <v>326</v>
      </c>
      <c r="D10" s="115" t="s">
        <v>1273</v>
      </c>
      <c r="E10" s="85">
        <v>1</v>
      </c>
      <c r="G10" s="160"/>
    </row>
    <row r="11" spans="1:12" x14ac:dyDescent="0.2">
      <c r="B11" s="84" t="s">
        <v>604</v>
      </c>
      <c r="C11" s="79" t="s">
        <v>504</v>
      </c>
      <c r="D11" s="79" t="s">
        <v>505</v>
      </c>
      <c r="E11" s="79" t="s">
        <v>244</v>
      </c>
      <c r="F11" s="97">
        <v>40611</v>
      </c>
      <c r="G11" s="86" t="s">
        <v>666</v>
      </c>
    </row>
    <row r="12" spans="1:12" x14ac:dyDescent="0.2">
      <c r="B12" s="94" t="s">
        <v>77</v>
      </c>
      <c r="C12" s="79" t="s">
        <v>385</v>
      </c>
      <c r="D12" s="85" t="s">
        <v>380</v>
      </c>
      <c r="E12" s="85">
        <v>1</v>
      </c>
      <c r="F12" s="79"/>
      <c r="G12" s="86" t="s">
        <v>380</v>
      </c>
    </row>
    <row r="13" spans="1:12" x14ac:dyDescent="0.2">
      <c r="B13" s="94" t="s">
        <v>386</v>
      </c>
      <c r="C13" s="79" t="s">
        <v>387</v>
      </c>
      <c r="D13" s="85" t="s">
        <v>380</v>
      </c>
      <c r="E13" s="85">
        <v>1</v>
      </c>
      <c r="F13" s="79"/>
      <c r="G13" s="86" t="s">
        <v>380</v>
      </c>
      <c r="I13" s="110" t="s">
        <v>1433</v>
      </c>
    </row>
    <row r="14" spans="1:12" x14ac:dyDescent="0.2">
      <c r="B14" s="114" t="s">
        <v>1255</v>
      </c>
      <c r="C14" s="115" t="s">
        <v>1256</v>
      </c>
      <c r="D14" s="116" t="s">
        <v>380</v>
      </c>
      <c r="E14" s="85">
        <v>1</v>
      </c>
      <c r="F14" s="79"/>
      <c r="G14" s="139" t="s">
        <v>380</v>
      </c>
      <c r="I14" s="110" t="s">
        <v>1434</v>
      </c>
    </row>
    <row r="15" spans="1:12" x14ac:dyDescent="0.2">
      <c r="B15" s="94" t="s">
        <v>388</v>
      </c>
      <c r="C15" s="79" t="s">
        <v>389</v>
      </c>
      <c r="D15" s="85" t="s">
        <v>380</v>
      </c>
      <c r="E15" s="85">
        <v>1</v>
      </c>
      <c r="F15" s="79"/>
      <c r="G15" s="86" t="s">
        <v>380</v>
      </c>
    </row>
    <row r="16" spans="1:12" x14ac:dyDescent="0.2">
      <c r="B16" s="84" t="s">
        <v>23</v>
      </c>
      <c r="C16" s="79" t="s">
        <v>24</v>
      </c>
      <c r="D16" s="79" t="s">
        <v>380</v>
      </c>
      <c r="E16" s="85" t="s">
        <v>407</v>
      </c>
      <c r="F16" s="79" t="s">
        <v>600</v>
      </c>
      <c r="G16" s="86" t="s">
        <v>380</v>
      </c>
    </row>
    <row r="17" spans="2:9" x14ac:dyDescent="0.2">
      <c r="B17" s="84" t="s">
        <v>323</v>
      </c>
      <c r="C17" s="79" t="s">
        <v>326</v>
      </c>
      <c r="D17" s="85" t="s">
        <v>105</v>
      </c>
      <c r="E17" s="85">
        <v>1</v>
      </c>
      <c r="F17" s="79">
        <v>1996</v>
      </c>
      <c r="G17" s="89" t="s">
        <v>579</v>
      </c>
    </row>
    <row r="18" spans="2:9" x14ac:dyDescent="0.2">
      <c r="B18" s="94" t="s">
        <v>378</v>
      </c>
      <c r="C18" s="79" t="s">
        <v>379</v>
      </c>
      <c r="D18" s="85" t="s">
        <v>380</v>
      </c>
      <c r="E18" s="85">
        <v>1</v>
      </c>
      <c r="F18" s="79"/>
      <c r="G18" s="86" t="s">
        <v>380</v>
      </c>
    </row>
    <row r="19" spans="2:9" x14ac:dyDescent="0.2">
      <c r="B19" s="84" t="s">
        <v>25</v>
      </c>
      <c r="C19" s="79" t="s">
        <v>26</v>
      </c>
      <c r="D19" s="85" t="s">
        <v>380</v>
      </c>
      <c r="E19" s="116" t="s">
        <v>588</v>
      </c>
      <c r="F19" s="79" t="s">
        <v>456</v>
      </c>
      <c r="G19" s="86" t="s">
        <v>380</v>
      </c>
    </row>
    <row r="20" spans="2:9" x14ac:dyDescent="0.2">
      <c r="B20" s="94" t="s">
        <v>390</v>
      </c>
      <c r="C20" s="79" t="s">
        <v>391</v>
      </c>
      <c r="D20" s="85" t="s">
        <v>380</v>
      </c>
      <c r="E20" s="85"/>
      <c r="F20" s="79"/>
      <c r="G20" s="86" t="s">
        <v>380</v>
      </c>
    </row>
    <row r="21" spans="2:9" x14ac:dyDescent="0.2">
      <c r="B21" s="84" t="s">
        <v>571</v>
      </c>
      <c r="C21" s="79" t="s">
        <v>533</v>
      </c>
      <c r="D21" s="88" t="s">
        <v>380</v>
      </c>
      <c r="E21" s="85" t="s">
        <v>560</v>
      </c>
      <c r="F21" s="79" t="s">
        <v>255</v>
      </c>
      <c r="G21" s="86" t="s">
        <v>380</v>
      </c>
      <c r="I21" s="96"/>
    </row>
    <row r="22" spans="2:9" x14ac:dyDescent="0.2">
      <c r="B22" s="84" t="s">
        <v>667</v>
      </c>
      <c r="C22" s="88" t="s">
        <v>336</v>
      </c>
      <c r="D22" s="88" t="s">
        <v>668</v>
      </c>
      <c r="E22" s="90" t="s">
        <v>669</v>
      </c>
      <c r="F22" s="115" t="s">
        <v>1179</v>
      </c>
      <c r="G22" s="86" t="s">
        <v>666</v>
      </c>
    </row>
    <row r="23" spans="2:9" x14ac:dyDescent="0.2">
      <c r="B23" s="184" t="s">
        <v>393</v>
      </c>
      <c r="C23" s="106" t="s">
        <v>394</v>
      </c>
      <c r="D23" s="106" t="s">
        <v>380</v>
      </c>
      <c r="E23" s="107"/>
      <c r="F23" s="106">
        <v>2008</v>
      </c>
      <c r="G23" s="185" t="s">
        <v>380</v>
      </c>
    </row>
    <row r="24" spans="2:9" x14ac:dyDescent="0.2">
      <c r="B24" s="80"/>
      <c r="C24" s="81"/>
      <c r="D24" s="81"/>
      <c r="E24" s="81"/>
      <c r="F24" s="81" t="s">
        <v>4</v>
      </c>
      <c r="G24" s="82" t="s">
        <v>147</v>
      </c>
    </row>
    <row r="25" spans="2:9" x14ac:dyDescent="0.2">
      <c r="B25" s="84" t="s">
        <v>835</v>
      </c>
      <c r="C25" s="79" t="s">
        <v>321</v>
      </c>
      <c r="D25" s="88" t="s">
        <v>773</v>
      </c>
      <c r="E25" s="79" t="s">
        <v>555</v>
      </c>
      <c r="F25" s="115"/>
      <c r="G25" s="86" t="s">
        <v>774</v>
      </c>
    </row>
    <row r="26" spans="2:9" x14ac:dyDescent="0.2">
      <c r="B26" s="84" t="s">
        <v>777</v>
      </c>
      <c r="C26" s="88" t="s">
        <v>780</v>
      </c>
      <c r="D26" s="79" t="s">
        <v>380</v>
      </c>
      <c r="E26" s="85">
        <v>1</v>
      </c>
      <c r="F26" s="115"/>
      <c r="G26" s="86" t="s">
        <v>380</v>
      </c>
    </row>
    <row r="27" spans="2:9" x14ac:dyDescent="0.2">
      <c r="B27" s="84" t="s">
        <v>797</v>
      </c>
      <c r="C27" s="79" t="s">
        <v>120</v>
      </c>
      <c r="D27" s="79" t="s">
        <v>104</v>
      </c>
      <c r="E27" s="85" t="s">
        <v>108</v>
      </c>
      <c r="F27" s="79" t="s">
        <v>330</v>
      </c>
      <c r="G27" s="86" t="s">
        <v>775</v>
      </c>
    </row>
    <row r="28" spans="2:9" x14ac:dyDescent="0.2">
      <c r="B28" s="98" t="s">
        <v>535</v>
      </c>
      <c r="C28" s="79" t="s">
        <v>536</v>
      </c>
      <c r="E28" s="85">
        <v>1</v>
      </c>
      <c r="F28" s="79" t="s">
        <v>330</v>
      </c>
      <c r="G28" s="89"/>
    </row>
    <row r="29" spans="2:9" x14ac:dyDescent="0.2">
      <c r="B29" s="84" t="s">
        <v>142</v>
      </c>
      <c r="C29" s="88" t="s">
        <v>670</v>
      </c>
      <c r="E29" s="90" t="s">
        <v>588</v>
      </c>
      <c r="F29" s="88" t="s">
        <v>330</v>
      </c>
      <c r="G29" s="89"/>
    </row>
    <row r="30" spans="2:9" x14ac:dyDescent="0.2">
      <c r="B30" s="91" t="s">
        <v>723</v>
      </c>
      <c r="C30" s="88" t="s">
        <v>724</v>
      </c>
      <c r="D30" s="88" t="s">
        <v>380</v>
      </c>
      <c r="E30" s="85">
        <v>1</v>
      </c>
      <c r="F30" s="88" t="s">
        <v>330</v>
      </c>
      <c r="G30" s="89"/>
    </row>
    <row r="31" spans="2:9" x14ac:dyDescent="0.2">
      <c r="B31" s="91" t="s">
        <v>720</v>
      </c>
      <c r="C31" s="88" t="s">
        <v>721</v>
      </c>
      <c r="D31" s="88" t="s">
        <v>380</v>
      </c>
      <c r="E31" s="85">
        <v>1</v>
      </c>
      <c r="F31" s="88" t="s">
        <v>330</v>
      </c>
      <c r="G31" s="86" t="s">
        <v>722</v>
      </c>
    </row>
    <row r="32" spans="2:9" x14ac:dyDescent="0.2">
      <c r="B32" s="84" t="s">
        <v>1128</v>
      </c>
      <c r="C32" s="88" t="s">
        <v>816</v>
      </c>
      <c r="D32" s="88" t="s">
        <v>840</v>
      </c>
      <c r="E32" s="90" t="s">
        <v>817</v>
      </c>
      <c r="F32" s="88" t="s">
        <v>330</v>
      </c>
      <c r="G32" s="86"/>
    </row>
    <row r="33" spans="2:7" x14ac:dyDescent="0.2">
      <c r="B33" s="84" t="s">
        <v>1146</v>
      </c>
      <c r="C33" s="88" t="s">
        <v>857</v>
      </c>
      <c r="D33" s="88" t="s">
        <v>826</v>
      </c>
      <c r="E33" s="90" t="s">
        <v>825</v>
      </c>
      <c r="F33" s="88" t="s">
        <v>330</v>
      </c>
      <c r="G33" s="86"/>
    </row>
    <row r="34" spans="2:7" x14ac:dyDescent="0.2">
      <c r="B34" s="84" t="s">
        <v>828</v>
      </c>
      <c r="C34" s="88" t="s">
        <v>739</v>
      </c>
      <c r="D34" s="88" t="s">
        <v>830</v>
      </c>
      <c r="E34" s="90" t="s">
        <v>831</v>
      </c>
      <c r="F34" s="88" t="s">
        <v>330</v>
      </c>
      <c r="G34" s="86"/>
    </row>
    <row r="35" spans="2:7" x14ac:dyDescent="0.2">
      <c r="B35" s="84" t="s">
        <v>843</v>
      </c>
      <c r="C35" s="88" t="s">
        <v>844</v>
      </c>
      <c r="D35" s="88" t="s">
        <v>846</v>
      </c>
      <c r="E35" s="90" t="s">
        <v>845</v>
      </c>
      <c r="F35" s="88" t="s">
        <v>330</v>
      </c>
      <c r="G35" s="86"/>
    </row>
    <row r="36" spans="2:7" s="78" customFormat="1" x14ac:dyDescent="0.2">
      <c r="B36" s="114" t="s">
        <v>1176</v>
      </c>
      <c r="C36" s="115" t="s">
        <v>1177</v>
      </c>
      <c r="D36" s="115" t="s">
        <v>1178</v>
      </c>
      <c r="E36" s="116" t="s">
        <v>1175</v>
      </c>
      <c r="F36" s="115" t="s">
        <v>170</v>
      </c>
      <c r="G36" s="86"/>
    </row>
    <row r="37" spans="2:7" x14ac:dyDescent="0.2">
      <c r="B37" s="161" t="s">
        <v>1432</v>
      </c>
      <c r="C37" s="115" t="s">
        <v>379</v>
      </c>
      <c r="D37" s="115"/>
      <c r="E37" s="85"/>
      <c r="F37" s="79"/>
      <c r="G37" s="89"/>
    </row>
    <row r="38" spans="2:7" x14ac:dyDescent="0.2">
      <c r="B38" s="103"/>
      <c r="C38" s="115" t="s">
        <v>1148</v>
      </c>
      <c r="D38" s="115" t="s">
        <v>1149</v>
      </c>
      <c r="E38" s="116" t="s">
        <v>1150</v>
      </c>
      <c r="F38" s="115" t="s">
        <v>170</v>
      </c>
      <c r="G38" s="89"/>
    </row>
    <row r="39" spans="2:7" x14ac:dyDescent="0.2">
      <c r="B39" s="103">
        <v>649868</v>
      </c>
      <c r="C39" s="88" t="s">
        <v>331</v>
      </c>
      <c r="D39" s="88" t="s">
        <v>498</v>
      </c>
      <c r="E39" s="90" t="s">
        <v>734</v>
      </c>
      <c r="F39" s="88" t="s">
        <v>170</v>
      </c>
      <c r="G39" s="89"/>
    </row>
    <row r="40" spans="2:7" x14ac:dyDescent="0.2">
      <c r="B40" s="103" t="s">
        <v>752</v>
      </c>
      <c r="C40" s="88" t="s">
        <v>753</v>
      </c>
      <c r="D40" s="88" t="s">
        <v>754</v>
      </c>
      <c r="E40" s="90">
        <v>1</v>
      </c>
      <c r="F40" s="88" t="s">
        <v>170</v>
      </c>
      <c r="G40" s="89"/>
    </row>
    <row r="41" spans="2:7" x14ac:dyDescent="0.2">
      <c r="B41" s="100" t="s">
        <v>240</v>
      </c>
      <c r="C41" s="79" t="s">
        <v>19</v>
      </c>
      <c r="E41" s="85" t="s">
        <v>241</v>
      </c>
      <c r="F41" s="79" t="s">
        <v>170</v>
      </c>
      <c r="G41" s="89"/>
    </row>
    <row r="42" spans="2:7" x14ac:dyDescent="0.2">
      <c r="B42" s="98" t="s">
        <v>794</v>
      </c>
      <c r="C42" s="79" t="s">
        <v>116</v>
      </c>
      <c r="D42" s="79" t="s">
        <v>795</v>
      </c>
      <c r="E42" s="85">
        <v>1</v>
      </c>
      <c r="F42" s="79" t="s">
        <v>170</v>
      </c>
      <c r="G42" s="89"/>
    </row>
    <row r="43" spans="2:7" x14ac:dyDescent="0.2">
      <c r="B43" s="102" t="s">
        <v>352</v>
      </c>
      <c r="C43" s="79" t="s">
        <v>340</v>
      </c>
      <c r="D43" s="88" t="s">
        <v>776</v>
      </c>
      <c r="E43" s="85">
        <v>1</v>
      </c>
      <c r="F43" s="79" t="s">
        <v>170</v>
      </c>
      <c r="G43" s="86" t="s">
        <v>651</v>
      </c>
    </row>
    <row r="44" spans="2:7" x14ac:dyDescent="0.2">
      <c r="B44" s="94" t="s">
        <v>534</v>
      </c>
      <c r="C44" s="79" t="s">
        <v>533</v>
      </c>
      <c r="E44" s="85">
        <v>1</v>
      </c>
      <c r="F44" s="79" t="s">
        <v>530</v>
      </c>
      <c r="G44" s="89"/>
    </row>
    <row r="45" spans="2:7" x14ac:dyDescent="0.2">
      <c r="B45" s="104" t="s">
        <v>566</v>
      </c>
      <c r="C45" s="88" t="s">
        <v>528</v>
      </c>
      <c r="D45" s="88" t="s">
        <v>529</v>
      </c>
      <c r="E45" s="85">
        <v>1</v>
      </c>
      <c r="F45" s="88" t="s">
        <v>530</v>
      </c>
      <c r="G45" s="89"/>
    </row>
    <row r="46" spans="2:7" x14ac:dyDescent="0.2">
      <c r="B46" s="102" t="s">
        <v>345</v>
      </c>
      <c r="C46" s="79" t="s">
        <v>346</v>
      </c>
      <c r="E46" s="85">
        <v>1</v>
      </c>
      <c r="F46" s="79" t="s">
        <v>170</v>
      </c>
      <c r="G46" s="89"/>
    </row>
    <row r="47" spans="2:7" x14ac:dyDescent="0.2">
      <c r="B47" s="102" t="s">
        <v>123</v>
      </c>
      <c r="C47" s="79" t="s">
        <v>120</v>
      </c>
      <c r="D47" s="79" t="s">
        <v>406</v>
      </c>
      <c r="E47" s="85">
        <v>1</v>
      </c>
      <c r="F47" s="79" t="s">
        <v>170</v>
      </c>
      <c r="G47" s="89"/>
    </row>
    <row r="48" spans="2:7" x14ac:dyDescent="0.2">
      <c r="B48" s="98" t="s">
        <v>348</v>
      </c>
      <c r="C48" s="79" t="s">
        <v>242</v>
      </c>
      <c r="E48" s="85" t="s">
        <v>243</v>
      </c>
      <c r="F48" s="79" t="s">
        <v>170</v>
      </c>
      <c r="G48" s="89"/>
    </row>
    <row r="49" spans="2:7" x14ac:dyDescent="0.2">
      <c r="B49" s="98" t="s">
        <v>727</v>
      </c>
      <c r="C49" s="79" t="s">
        <v>326</v>
      </c>
      <c r="E49" s="85">
        <v>1</v>
      </c>
      <c r="F49" s="79" t="s">
        <v>170</v>
      </c>
      <c r="G49" s="89" t="s">
        <v>666</v>
      </c>
    </row>
    <row r="50" spans="2:7" x14ac:dyDescent="0.2">
      <c r="B50" s="98" t="s">
        <v>729</v>
      </c>
      <c r="C50" s="79" t="s">
        <v>728</v>
      </c>
      <c r="E50" s="85">
        <v>1</v>
      </c>
      <c r="F50" s="79" t="s">
        <v>170</v>
      </c>
      <c r="G50" s="89" t="s">
        <v>666</v>
      </c>
    </row>
    <row r="51" spans="2:7" x14ac:dyDescent="0.2">
      <c r="B51" s="98" t="s">
        <v>730</v>
      </c>
      <c r="C51" s="79" t="s">
        <v>731</v>
      </c>
      <c r="E51" s="85">
        <v>1</v>
      </c>
      <c r="F51" s="79" t="s">
        <v>170</v>
      </c>
      <c r="G51" s="89" t="s">
        <v>666</v>
      </c>
    </row>
    <row r="52" spans="2:7" x14ac:dyDescent="0.2">
      <c r="B52" s="94" t="s">
        <v>425</v>
      </c>
      <c r="C52" s="79" t="s">
        <v>426</v>
      </c>
      <c r="E52" s="85"/>
      <c r="F52" s="79" t="s">
        <v>170</v>
      </c>
      <c r="G52" s="89"/>
    </row>
    <row r="53" spans="2:7" x14ac:dyDescent="0.2">
      <c r="B53" s="98" t="s">
        <v>549</v>
      </c>
      <c r="C53" s="79" t="s">
        <v>19</v>
      </c>
      <c r="E53" s="85">
        <v>1</v>
      </c>
      <c r="F53" s="79" t="s">
        <v>170</v>
      </c>
      <c r="G53" s="89"/>
    </row>
    <row r="54" spans="2:7" x14ac:dyDescent="0.2">
      <c r="B54" s="98" t="s">
        <v>353</v>
      </c>
      <c r="C54" s="79" t="s">
        <v>19</v>
      </c>
      <c r="D54" s="79" t="s">
        <v>354</v>
      </c>
      <c r="E54" s="85"/>
      <c r="F54" s="79" t="s">
        <v>170</v>
      </c>
      <c r="G54" s="89"/>
    </row>
    <row r="55" spans="2:7" x14ac:dyDescent="0.2">
      <c r="B55" s="98" t="s">
        <v>349</v>
      </c>
      <c r="C55" s="79" t="s">
        <v>350</v>
      </c>
      <c r="D55" s="79" t="s">
        <v>351</v>
      </c>
      <c r="E55" s="85"/>
      <c r="F55" s="79" t="s">
        <v>170</v>
      </c>
      <c r="G55" s="89"/>
    </row>
    <row r="56" spans="2:7" x14ac:dyDescent="0.2">
      <c r="B56" s="98" t="s">
        <v>5</v>
      </c>
      <c r="C56" s="79" t="s">
        <v>6</v>
      </c>
      <c r="D56" s="79" t="s">
        <v>347</v>
      </c>
      <c r="E56" s="85">
        <v>1</v>
      </c>
      <c r="F56" s="79" t="s">
        <v>530</v>
      </c>
      <c r="G56" s="89"/>
    </row>
    <row r="57" spans="2:7" x14ac:dyDescent="0.2">
      <c r="B57" s="98" t="s">
        <v>540</v>
      </c>
      <c r="C57" s="79"/>
      <c r="D57" s="79" t="s">
        <v>795</v>
      </c>
      <c r="E57" s="85">
        <v>1</v>
      </c>
      <c r="F57" s="79" t="s">
        <v>530</v>
      </c>
      <c r="G57" s="89"/>
    </row>
    <row r="58" spans="2:7" x14ac:dyDescent="0.2">
      <c r="B58" s="98" t="s">
        <v>738</v>
      </c>
      <c r="C58" s="79" t="s">
        <v>739</v>
      </c>
      <c r="E58" s="85" t="s">
        <v>734</v>
      </c>
      <c r="F58" s="79" t="s">
        <v>530</v>
      </c>
      <c r="G58" s="89" t="s">
        <v>666</v>
      </c>
    </row>
    <row r="59" spans="2:7" x14ac:dyDescent="0.2">
      <c r="B59" s="98" t="s">
        <v>742</v>
      </c>
      <c r="C59" s="79" t="s">
        <v>743</v>
      </c>
      <c r="E59" s="85">
        <v>1</v>
      </c>
      <c r="F59" s="79" t="s">
        <v>530</v>
      </c>
      <c r="G59" s="89" t="s">
        <v>666</v>
      </c>
    </row>
    <row r="60" spans="2:7" x14ac:dyDescent="0.2">
      <c r="B60" s="98" t="s">
        <v>740</v>
      </c>
      <c r="C60" s="79" t="s">
        <v>741</v>
      </c>
      <c r="E60" s="85">
        <v>1</v>
      </c>
      <c r="F60" s="79" t="s">
        <v>530</v>
      </c>
      <c r="G60" s="89" t="s">
        <v>666</v>
      </c>
    </row>
    <row r="61" spans="2:7" x14ac:dyDescent="0.2">
      <c r="B61" s="98" t="s">
        <v>744</v>
      </c>
      <c r="C61" s="79" t="s">
        <v>745</v>
      </c>
      <c r="E61" s="85">
        <v>1</v>
      </c>
      <c r="F61" s="79" t="s">
        <v>530</v>
      </c>
      <c r="G61" s="89" t="s">
        <v>666</v>
      </c>
    </row>
    <row r="62" spans="2:7" x14ac:dyDescent="0.2">
      <c r="B62" s="94" t="s">
        <v>537</v>
      </c>
      <c r="C62" s="79" t="s">
        <v>538</v>
      </c>
      <c r="E62" s="85">
        <v>1</v>
      </c>
      <c r="F62" s="79" t="s">
        <v>530</v>
      </c>
      <c r="G62" s="89"/>
    </row>
    <row r="63" spans="2:7" x14ac:dyDescent="0.2">
      <c r="B63" s="98" t="s">
        <v>124</v>
      </c>
      <c r="C63" s="79" t="s">
        <v>125</v>
      </c>
      <c r="E63" s="85">
        <v>1</v>
      </c>
      <c r="F63" s="79" t="s">
        <v>530</v>
      </c>
      <c r="G63" s="89"/>
    </row>
    <row r="64" spans="2:7" x14ac:dyDescent="0.2">
      <c r="B64" s="98" t="s">
        <v>126</v>
      </c>
      <c r="C64" s="79" t="s">
        <v>542</v>
      </c>
      <c r="D64" s="79" t="s">
        <v>541</v>
      </c>
      <c r="E64" s="85">
        <v>1</v>
      </c>
      <c r="F64" s="79" t="s">
        <v>530</v>
      </c>
      <c r="G64" s="89"/>
    </row>
    <row r="65" spans="2:8" x14ac:dyDescent="0.2">
      <c r="B65" s="94" t="s">
        <v>544</v>
      </c>
      <c r="C65" s="79" t="s">
        <v>545</v>
      </c>
      <c r="E65" s="85">
        <v>1</v>
      </c>
      <c r="F65" s="79" t="s">
        <v>170</v>
      </c>
      <c r="G65" s="89"/>
    </row>
    <row r="66" spans="2:8" x14ac:dyDescent="0.2">
      <c r="B66" s="98" t="s">
        <v>546</v>
      </c>
      <c r="C66" s="79" t="s">
        <v>343</v>
      </c>
      <c r="E66" s="85">
        <v>1</v>
      </c>
      <c r="F66" s="79" t="s">
        <v>530</v>
      </c>
      <c r="G66" s="89"/>
      <c r="H66" s="78"/>
    </row>
    <row r="67" spans="2:8" x14ac:dyDescent="0.2">
      <c r="B67" s="98" t="s">
        <v>547</v>
      </c>
      <c r="C67" s="79" t="s">
        <v>528</v>
      </c>
      <c r="E67" s="85" t="s">
        <v>548</v>
      </c>
      <c r="F67" s="79" t="s">
        <v>530</v>
      </c>
      <c r="G67" s="89"/>
    </row>
    <row r="68" spans="2:8" x14ac:dyDescent="0.2">
      <c r="B68" s="94" t="s">
        <v>735</v>
      </c>
      <c r="C68" s="79" t="s">
        <v>736</v>
      </c>
      <c r="D68" s="79" t="s">
        <v>737</v>
      </c>
      <c r="E68" s="85" t="s">
        <v>734</v>
      </c>
      <c r="F68" s="79" t="s">
        <v>530</v>
      </c>
      <c r="G68" s="89"/>
    </row>
    <row r="69" spans="2:8" x14ac:dyDescent="0.2">
      <c r="B69" s="98" t="s">
        <v>553</v>
      </c>
      <c r="C69" s="79" t="s">
        <v>554</v>
      </c>
      <c r="E69" s="85">
        <v>1</v>
      </c>
      <c r="F69" s="79" t="s">
        <v>530</v>
      </c>
      <c r="G69" s="89"/>
    </row>
    <row r="70" spans="2:8" x14ac:dyDescent="0.2">
      <c r="B70" s="98" t="s">
        <v>127</v>
      </c>
      <c r="C70" s="79" t="s">
        <v>128</v>
      </c>
      <c r="E70" s="85">
        <v>1</v>
      </c>
      <c r="F70" s="79" t="s">
        <v>530</v>
      </c>
      <c r="G70" s="89"/>
    </row>
    <row r="71" spans="2:8" x14ac:dyDescent="0.2">
      <c r="B71" s="94" t="s">
        <v>732</v>
      </c>
      <c r="C71" s="79" t="s">
        <v>528</v>
      </c>
      <c r="D71" s="79" t="s">
        <v>733</v>
      </c>
      <c r="E71" s="85" t="s">
        <v>734</v>
      </c>
      <c r="F71" s="79" t="s">
        <v>530</v>
      </c>
      <c r="G71" s="89"/>
    </row>
    <row r="72" spans="2:8" x14ac:dyDescent="0.2">
      <c r="B72" s="98" t="s">
        <v>551</v>
      </c>
      <c r="C72" s="79" t="s">
        <v>552</v>
      </c>
      <c r="E72" s="85">
        <v>1</v>
      </c>
      <c r="F72" s="79" t="s">
        <v>530</v>
      </c>
      <c r="G72" s="89"/>
    </row>
    <row r="73" spans="2:8" x14ac:dyDescent="0.2">
      <c r="B73" s="98" t="s">
        <v>550</v>
      </c>
      <c r="C73" s="79" t="s">
        <v>206</v>
      </c>
      <c r="E73" s="85">
        <v>1</v>
      </c>
      <c r="F73" s="79" t="s">
        <v>530</v>
      </c>
      <c r="G73" s="89"/>
    </row>
    <row r="74" spans="2:8" x14ac:dyDescent="0.2">
      <c r="B74" s="98" t="s">
        <v>129</v>
      </c>
      <c r="C74" s="79" t="s">
        <v>130</v>
      </c>
      <c r="E74" s="85">
        <v>1</v>
      </c>
      <c r="F74" s="79" t="s">
        <v>530</v>
      </c>
      <c r="G74" s="89"/>
    </row>
    <row r="75" spans="2:8" x14ac:dyDescent="0.2">
      <c r="B75" s="129" t="s">
        <v>1317</v>
      </c>
      <c r="C75" s="79" t="s">
        <v>326</v>
      </c>
      <c r="E75" s="85">
        <v>1</v>
      </c>
      <c r="F75" s="79" t="s">
        <v>543</v>
      </c>
      <c r="G75" s="89"/>
    </row>
    <row r="76" spans="2:8" x14ac:dyDescent="0.2">
      <c r="B76" s="98" t="s">
        <v>131</v>
      </c>
      <c r="C76" s="79" t="s">
        <v>132</v>
      </c>
      <c r="E76" s="85">
        <v>1</v>
      </c>
      <c r="F76" s="79" t="s">
        <v>530</v>
      </c>
      <c r="G76" s="89"/>
    </row>
    <row r="77" spans="2:8" x14ac:dyDescent="0.2">
      <c r="B77" s="94" t="s">
        <v>27</v>
      </c>
      <c r="C77" s="79" t="s">
        <v>28</v>
      </c>
      <c r="D77" s="79" t="s">
        <v>396</v>
      </c>
      <c r="E77" s="85"/>
      <c r="F77" s="79"/>
      <c r="G77" s="89"/>
    </row>
    <row r="78" spans="2:8" x14ac:dyDescent="0.2">
      <c r="B78" s="94" t="s">
        <v>29</v>
      </c>
      <c r="C78" s="79" t="s">
        <v>30</v>
      </c>
      <c r="D78" s="79" t="s">
        <v>396</v>
      </c>
      <c r="E78" s="85"/>
      <c r="F78" s="79"/>
      <c r="G78" s="89"/>
    </row>
    <row r="79" spans="2:8" x14ac:dyDescent="0.2">
      <c r="B79" s="94" t="s">
        <v>205</v>
      </c>
      <c r="C79" s="79" t="s">
        <v>392</v>
      </c>
      <c r="D79" s="79" t="s">
        <v>380</v>
      </c>
      <c r="E79" s="85"/>
      <c r="F79" s="79"/>
      <c r="G79" s="89"/>
    </row>
    <row r="80" spans="2:8" x14ac:dyDescent="0.2">
      <c r="B80" s="94" t="s">
        <v>77</v>
      </c>
      <c r="C80" s="79" t="s">
        <v>395</v>
      </c>
      <c r="D80" s="79" t="s">
        <v>380</v>
      </c>
      <c r="E80" s="85"/>
      <c r="F80" s="79"/>
      <c r="G80" s="89"/>
    </row>
    <row r="81" spans="2:7" x14ac:dyDescent="0.2">
      <c r="B81" s="94" t="s">
        <v>16</v>
      </c>
      <c r="C81" s="79" t="s">
        <v>17</v>
      </c>
      <c r="E81" s="85"/>
      <c r="F81" s="79"/>
      <c r="G81" s="89"/>
    </row>
    <row r="82" spans="2:7" x14ac:dyDescent="0.2">
      <c r="B82" s="100">
        <v>406381</v>
      </c>
      <c r="C82" s="79" t="s">
        <v>18</v>
      </c>
      <c r="F82" s="79"/>
      <c r="G82" s="89"/>
    </row>
    <row r="83" spans="2:7" x14ac:dyDescent="0.2">
      <c r="B83" s="94" t="s">
        <v>115</v>
      </c>
      <c r="C83" s="79" t="s">
        <v>116</v>
      </c>
      <c r="F83" s="79"/>
      <c r="G83" s="89" t="s">
        <v>117</v>
      </c>
    </row>
    <row r="84" spans="2:7" x14ac:dyDescent="0.2">
      <c r="B84" s="105" t="s">
        <v>527</v>
      </c>
      <c r="C84" s="106" t="s">
        <v>528</v>
      </c>
      <c r="D84" s="106" t="s">
        <v>529</v>
      </c>
      <c r="E84" s="107">
        <v>1</v>
      </c>
      <c r="F84" s="106" t="s">
        <v>530</v>
      </c>
      <c r="G84" s="108"/>
    </row>
  </sheetData>
  <dataConsolidate/>
  <phoneticPr fontId="4" type="noConversion"/>
  <hyperlinks>
    <hyperlink ref="B27" location="Relovair!A1" display="Relovair" xr:uid="{00000000-0004-0000-0000-000000000000}"/>
    <hyperlink ref="B29" location="MAGE!A1" display="MAGE" xr:uid="{00000000-0004-0000-0000-000002000000}"/>
    <hyperlink ref="B16" location="Cervarix!A1" display="Cervarix" xr:uid="{00000000-0004-0000-0000-000006000000}"/>
    <hyperlink ref="B3" location="Advair!A1" display="Advair (fluticasone/salmeterol)" xr:uid="{00000000-0004-0000-0000-000007000000}"/>
    <hyperlink ref="B17" location="Flovent!A1" display="Flovent (fluticasone)" xr:uid="{00000000-0004-0000-0000-000013000000}"/>
    <hyperlink ref="B25" location="Potiga!A1" display="Potiga/Trobalt (retigabine/ezogabine)" xr:uid="{00000000-0004-0000-0000-000017000000}"/>
    <hyperlink ref="B32" location="GSK786!A1" display="GSK786" xr:uid="{00000000-0004-0000-0000-000018000000}"/>
    <hyperlink ref="B34" location="'GSK212'!A1" display="GSK1120212" xr:uid="{00000000-0004-0000-0000-000010010000}"/>
    <hyperlink ref="B35" location="'IPX066'!A1" display="IPX066" xr:uid="{00000000-0004-0000-0000-000013010000}"/>
    <hyperlink ref="B11" location="Benlysta!A1" display="Benlysta (belimumab)" xr:uid="{00000000-0004-0000-0000-000014010000}"/>
    <hyperlink ref="B33" location="Amigal!A1" display="Amigal" xr:uid="{00000000-0004-0000-0000-000015010000}"/>
    <hyperlink ref="B26" location="MenHibrix!A1" display="Menhibrix HiB-MenCY/134612" xr:uid="{00000000-0004-0000-0000-000019010000}"/>
    <hyperlink ref="B19" location="Rotarix!A1" display="Rotarix" xr:uid="{00000000-0004-0000-0000-00001A010000}"/>
    <hyperlink ref="B21" location="Synflorix!A1" display="Synflorix" xr:uid="{00000000-0004-0000-0000-00001B010000}"/>
    <hyperlink ref="B22" location="denosumab!A1" display="Prolia (denosumab)" xr:uid="{00000000-0004-0000-0000-00001E010000}"/>
    <hyperlink ref="B5" location="dolutegravir!A1" display="Triumeq (abacavir/dolutegravir/lamivudine)" xr:uid="{D01387A0-7A10-4DED-A8D5-9178CAFDD2B1}"/>
    <hyperlink ref="B4" location="Shingrix!A1" display="Shingrix" xr:uid="{AFD56F34-A69C-4A36-ADA0-D5F92BF24587}"/>
    <hyperlink ref="B6" location="dolutegravir!A1" display="Tivicay (dolutegravir)" xr:uid="{8A569171-5F6B-4A7C-9537-35BB4B5B2233}"/>
    <hyperlink ref="B7" location="dolutegravir!A1" display="Dovato (dolutegravir/lamivudine)" xr:uid="{9D828DC5-FA4E-4AED-AB41-85F6625DA9EA}"/>
    <hyperlink ref="B8" location="dolutegravir!A1" display="Juluca (dolutegravir/rilpivirine)" xr:uid="{5EACF9D6-3C3A-4088-9034-68F2BEFAA257}"/>
  </hyperlinks>
  <pageMargins left="0.75" right="0.13" top="0.17" bottom="0.02" header="0.5" footer="0.13"/>
  <pageSetup scale="56" orientation="portrait" horizontalDpi="1200" verticalDpi="1200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9"/>
  <sheetViews>
    <sheetView zoomScale="220" zoomScaleNormal="220" workbookViewId="0">
      <selection activeCell="A8" sqref="A8"/>
    </sheetView>
  </sheetViews>
  <sheetFormatPr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A2" s="17"/>
      <c r="B2" s="1" t="s">
        <v>153</v>
      </c>
      <c r="C2" s="1" t="s">
        <v>812</v>
      </c>
    </row>
    <row r="3" spans="1:3" x14ac:dyDescent="0.2">
      <c r="A3" s="17"/>
      <c r="B3" s="1" t="s">
        <v>154</v>
      </c>
      <c r="C3" s="1" t="s">
        <v>237</v>
      </c>
    </row>
    <row r="4" spans="1:3" x14ac:dyDescent="0.2">
      <c r="A4" s="17"/>
      <c r="C4" s="1" t="s">
        <v>149</v>
      </c>
    </row>
    <row r="5" spans="1:3" x14ac:dyDescent="0.2">
      <c r="A5" s="17"/>
      <c r="C5" s="1" t="s">
        <v>150</v>
      </c>
    </row>
    <row r="6" spans="1:3" x14ac:dyDescent="0.2">
      <c r="A6" s="17"/>
      <c r="B6" s="1" t="s">
        <v>156</v>
      </c>
      <c r="C6" s="1" t="s">
        <v>519</v>
      </c>
    </row>
    <row r="7" spans="1:3" x14ac:dyDescent="0.2">
      <c r="A7" s="17"/>
      <c r="B7" s="117" t="s">
        <v>223</v>
      </c>
      <c r="C7" s="117" t="s">
        <v>1442</v>
      </c>
    </row>
    <row r="8" spans="1:3" x14ac:dyDescent="0.2">
      <c r="A8" s="17"/>
      <c r="B8" s="1" t="s">
        <v>3</v>
      </c>
      <c r="C8" s="1" t="s">
        <v>813</v>
      </c>
    </row>
    <row r="9" spans="1:3" x14ac:dyDescent="0.2">
      <c r="A9" s="17"/>
      <c r="B9" s="117" t="s">
        <v>174</v>
      </c>
      <c r="C9" s="117" t="s">
        <v>1218</v>
      </c>
    </row>
    <row r="10" spans="1:3" x14ac:dyDescent="0.2">
      <c r="A10" s="17"/>
      <c r="B10" s="1" t="s">
        <v>169</v>
      </c>
    </row>
    <row r="11" spans="1:3" x14ac:dyDescent="0.2">
      <c r="C11" s="19" t="s">
        <v>525</v>
      </c>
    </row>
    <row r="12" spans="1:3" x14ac:dyDescent="0.2">
      <c r="C12" s="31" t="s">
        <v>815</v>
      </c>
    </row>
    <row r="13" spans="1:3" x14ac:dyDescent="0.2">
      <c r="C13" s="31"/>
    </row>
    <row r="14" spans="1:3" x14ac:dyDescent="0.2">
      <c r="C14" s="19" t="s">
        <v>526</v>
      </c>
    </row>
    <row r="15" spans="1:3" x14ac:dyDescent="0.2">
      <c r="C15" s="31"/>
    </row>
    <row r="16" spans="1:3" x14ac:dyDescent="0.2">
      <c r="C16" s="19" t="s">
        <v>523</v>
      </c>
    </row>
    <row r="18" spans="3:3" x14ac:dyDescent="0.2">
      <c r="C18" s="19" t="s">
        <v>524</v>
      </c>
    </row>
    <row r="20" spans="3:3" x14ac:dyDescent="0.2">
      <c r="C20" s="19" t="s">
        <v>521</v>
      </c>
    </row>
    <row r="21" spans="3:3" x14ac:dyDescent="0.2">
      <c r="C21" s="19"/>
    </row>
    <row r="22" spans="3:3" x14ac:dyDescent="0.2">
      <c r="C22" s="19" t="s">
        <v>522</v>
      </c>
    </row>
    <row r="24" spans="3:3" x14ac:dyDescent="0.2">
      <c r="C24" s="19" t="s">
        <v>520</v>
      </c>
    </row>
    <row r="25" spans="3:3" x14ac:dyDescent="0.2">
      <c r="C25" s="1" t="s">
        <v>148</v>
      </c>
    </row>
    <row r="27" spans="3:3" x14ac:dyDescent="0.2">
      <c r="C27" s="19" t="s">
        <v>238</v>
      </c>
    </row>
    <row r="28" spans="3:3" x14ac:dyDescent="0.2">
      <c r="C28" s="1" t="s">
        <v>151</v>
      </c>
    </row>
    <row r="29" spans="3:3" x14ac:dyDescent="0.2">
      <c r="C29" s="1" t="s">
        <v>152</v>
      </c>
    </row>
  </sheetData>
  <phoneticPr fontId="4" type="noConversion"/>
  <hyperlinks>
    <hyperlink ref="A1" location="Main!A1" display="Main" xr:uid="{00000000-0004-0000-08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A2" s="17"/>
      <c r="B2" s="1" t="s">
        <v>153</v>
      </c>
      <c r="C2" s="1" t="s">
        <v>315</v>
      </c>
    </row>
    <row r="3" spans="1:3" x14ac:dyDescent="0.2">
      <c r="B3" s="1" t="s">
        <v>3</v>
      </c>
      <c r="C3" s="1" t="s">
        <v>497</v>
      </c>
    </row>
    <row r="5" spans="1:3" x14ac:dyDescent="0.2">
      <c r="C5" s="1" t="s">
        <v>93</v>
      </c>
    </row>
    <row r="6" spans="1:3" x14ac:dyDescent="0.2">
      <c r="C6" s="1" t="s">
        <v>118</v>
      </c>
    </row>
    <row r="9" spans="1:3" x14ac:dyDescent="0.2">
      <c r="C9" s="1" t="s">
        <v>196</v>
      </c>
    </row>
  </sheetData>
  <phoneticPr fontId="4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C5"/>
  <sheetViews>
    <sheetView workbookViewId="0">
      <selection activeCell="C6" sqref="C6"/>
    </sheetView>
  </sheetViews>
  <sheetFormatPr defaultRowHeight="12.75" x14ac:dyDescent="0.2"/>
  <cols>
    <col min="2" max="2" width="12.85546875" bestFit="1" customWidth="1"/>
  </cols>
  <sheetData>
    <row r="2" spans="2:3" x14ac:dyDescent="0.2">
      <c r="B2" t="s">
        <v>153</v>
      </c>
      <c r="C2" t="s">
        <v>190</v>
      </c>
    </row>
    <row r="3" spans="2:3" x14ac:dyDescent="0.2">
      <c r="B3" t="s">
        <v>154</v>
      </c>
      <c r="C3" t="s">
        <v>189</v>
      </c>
    </row>
    <row r="4" spans="2:3" x14ac:dyDescent="0.2">
      <c r="B4" t="s">
        <v>192</v>
      </c>
      <c r="C4" t="s">
        <v>191</v>
      </c>
    </row>
    <row r="5" spans="2:3" x14ac:dyDescent="0.2">
      <c r="C5" t="s">
        <v>193</v>
      </c>
    </row>
  </sheetData>
  <phoneticPr fontId="4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5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0" width="6.7109375" style="1" bestFit="1" customWidth="1"/>
    <col min="11" max="13" width="6.5703125" style="1" bestFit="1" customWidth="1"/>
    <col min="14" max="14" width="2" style="1" customWidth="1"/>
    <col min="15" max="23" width="6.140625" style="1" customWidth="1"/>
    <col min="24" max="16384" width="9.140625" style="1"/>
  </cols>
  <sheetData>
    <row r="1" spans="1:24" x14ac:dyDescent="0.2">
      <c r="A1" s="17" t="s">
        <v>135</v>
      </c>
    </row>
    <row r="2" spans="1:24" x14ac:dyDescent="0.2">
      <c r="B2" s="1" t="s">
        <v>153</v>
      </c>
      <c r="C2" s="1" t="s">
        <v>68</v>
      </c>
    </row>
    <row r="3" spans="1:24" x14ac:dyDescent="0.2">
      <c r="B3" s="1" t="s">
        <v>154</v>
      </c>
      <c r="C3" s="1" t="s">
        <v>218</v>
      </c>
    </row>
    <row r="4" spans="1:24" x14ac:dyDescent="0.2">
      <c r="B4" s="1" t="s">
        <v>0</v>
      </c>
      <c r="C4" s="1" t="s">
        <v>66</v>
      </c>
    </row>
    <row r="5" spans="1:24" x14ac:dyDescent="0.2">
      <c r="B5" s="1" t="s">
        <v>169</v>
      </c>
    </row>
    <row r="6" spans="1:24" x14ac:dyDescent="0.2">
      <c r="C6" s="19" t="s">
        <v>219</v>
      </c>
    </row>
    <row r="7" spans="1:24" x14ac:dyDescent="0.2">
      <c r="C7" s="1" t="s">
        <v>220</v>
      </c>
    </row>
    <row r="10" spans="1:24" s="24" customFormat="1" x14ac:dyDescent="0.2">
      <c r="B10" s="21" t="s">
        <v>44</v>
      </c>
      <c r="C10" s="22" t="s">
        <v>45</v>
      </c>
      <c r="D10" s="22" t="s">
        <v>46</v>
      </c>
      <c r="E10" s="22" t="s">
        <v>47</v>
      </c>
      <c r="F10" s="22" t="s">
        <v>48</v>
      </c>
      <c r="G10" s="22" t="s">
        <v>49</v>
      </c>
      <c r="H10" s="22" t="s">
        <v>50</v>
      </c>
      <c r="I10" s="22" t="s">
        <v>51</v>
      </c>
      <c r="J10" s="22" t="s">
        <v>52</v>
      </c>
      <c r="K10" s="22" t="s">
        <v>53</v>
      </c>
      <c r="L10" s="22" t="s">
        <v>54</v>
      </c>
      <c r="M10" s="22" t="s">
        <v>55</v>
      </c>
      <c r="N10" s="22" t="s">
        <v>56</v>
      </c>
      <c r="O10" s="22"/>
      <c r="P10" s="23">
        <v>2003</v>
      </c>
      <c r="Q10" s="23">
        <v>2004</v>
      </c>
      <c r="R10" s="23">
        <v>2005</v>
      </c>
      <c r="S10" s="23">
        <v>2006</v>
      </c>
      <c r="T10" s="23">
        <v>2007</v>
      </c>
      <c r="U10" s="23">
        <v>2008</v>
      </c>
      <c r="V10" s="23">
        <v>2009</v>
      </c>
      <c r="W10" s="23">
        <v>2010</v>
      </c>
      <c r="X10" s="23">
        <v>2011</v>
      </c>
    </row>
    <row r="11" spans="1:24" s="27" customFormat="1" x14ac:dyDescent="0.2">
      <c r="B11" s="25" t="s">
        <v>57</v>
      </c>
      <c r="C11" s="26">
        <v>43</v>
      </c>
      <c r="D11" s="26">
        <v>49</v>
      </c>
      <c r="E11" s="26">
        <v>47</v>
      </c>
      <c r="F11" s="26">
        <v>38</v>
      </c>
      <c r="G11" s="26">
        <v>39</v>
      </c>
      <c r="H11" s="26">
        <v>40</v>
      </c>
      <c r="I11" s="26">
        <v>43</v>
      </c>
      <c r="J11" s="26">
        <v>44</v>
      </c>
      <c r="K11" s="26">
        <v>37</v>
      </c>
      <c r="L11" s="26">
        <v>38.75</v>
      </c>
      <c r="M11" s="26">
        <v>38.75</v>
      </c>
      <c r="N11" s="26">
        <v>40.5</v>
      </c>
      <c r="O11" s="26"/>
      <c r="P11" s="26">
        <v>219</v>
      </c>
      <c r="Q11" s="26">
        <v>177</v>
      </c>
      <c r="R11" s="26">
        <v>166</v>
      </c>
      <c r="S11" s="26">
        <v>155</v>
      </c>
      <c r="T11" s="26">
        <v>147.25</v>
      </c>
      <c r="U11" s="26">
        <v>139.88749999999999</v>
      </c>
      <c r="V11" s="26">
        <v>132.893125</v>
      </c>
      <c r="W11" s="26">
        <v>126.24846874999996</v>
      </c>
      <c r="X11" s="26">
        <v>119.93604531249996</v>
      </c>
    </row>
    <row r="12" spans="1:24" s="27" customFormat="1" x14ac:dyDescent="0.2">
      <c r="B12" s="25" t="s">
        <v>58</v>
      </c>
      <c r="C12" s="26">
        <v>34</v>
      </c>
      <c r="D12" s="26">
        <v>34</v>
      </c>
      <c r="E12" s="26">
        <v>30</v>
      </c>
      <c r="F12" s="26">
        <v>32</v>
      </c>
      <c r="G12" s="26">
        <v>31</v>
      </c>
      <c r="H12" s="26">
        <v>32</v>
      </c>
      <c r="I12" s="26">
        <v>30</v>
      </c>
      <c r="J12" s="26">
        <v>30</v>
      </c>
      <c r="K12" s="26">
        <v>32</v>
      </c>
      <c r="L12" s="26">
        <v>31.25</v>
      </c>
      <c r="M12" s="26">
        <v>31.25</v>
      </c>
      <c r="N12" s="26">
        <v>30.5</v>
      </c>
      <c r="O12" s="26"/>
      <c r="P12" s="26">
        <v>142</v>
      </c>
      <c r="Q12" s="26">
        <v>130</v>
      </c>
      <c r="R12" s="26">
        <v>123</v>
      </c>
      <c r="S12" s="26">
        <v>125</v>
      </c>
      <c r="T12" s="26">
        <v>125</v>
      </c>
      <c r="U12" s="26">
        <v>125</v>
      </c>
      <c r="V12" s="26">
        <v>125</v>
      </c>
      <c r="W12" s="26">
        <v>125</v>
      </c>
      <c r="X12" s="26">
        <v>125</v>
      </c>
    </row>
    <row r="13" spans="1:24" s="27" customFormat="1" x14ac:dyDescent="0.2">
      <c r="B13" s="25" t="s">
        <v>59</v>
      </c>
      <c r="C13" s="26">
        <v>4</v>
      </c>
      <c r="D13" s="26">
        <v>4</v>
      </c>
      <c r="E13" s="26">
        <v>2</v>
      </c>
      <c r="F13" s="26">
        <v>5</v>
      </c>
      <c r="G13" s="26">
        <v>4</v>
      </c>
      <c r="H13" s="26">
        <v>3</v>
      </c>
      <c r="I13" s="26">
        <v>4</v>
      </c>
      <c r="J13" s="26">
        <v>3</v>
      </c>
      <c r="K13" s="26">
        <v>3</v>
      </c>
      <c r="L13" s="26">
        <v>3.5</v>
      </c>
      <c r="M13" s="26">
        <v>3.5</v>
      </c>
      <c r="N13" s="26">
        <v>4</v>
      </c>
      <c r="O13" s="26"/>
      <c r="P13" s="26">
        <v>14</v>
      </c>
      <c r="Q13" s="26">
        <v>15</v>
      </c>
      <c r="R13" s="26">
        <v>14</v>
      </c>
      <c r="S13" s="26">
        <v>14</v>
      </c>
      <c r="T13" s="26">
        <v>14</v>
      </c>
      <c r="U13" s="26">
        <v>14</v>
      </c>
      <c r="V13" s="26">
        <v>14</v>
      </c>
      <c r="W13" s="26">
        <v>14</v>
      </c>
      <c r="X13" s="26">
        <v>14</v>
      </c>
    </row>
    <row r="14" spans="1:24" x14ac:dyDescent="0.2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x14ac:dyDescent="0.2">
      <c r="Q15" s="30"/>
      <c r="R15" s="30"/>
      <c r="S15" s="30"/>
      <c r="T15" s="30"/>
      <c r="U15" s="30"/>
      <c r="V15" s="30"/>
      <c r="W15" s="30"/>
      <c r="X15" s="30"/>
    </row>
  </sheetData>
  <phoneticPr fontId="4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" t="s">
        <v>221</v>
      </c>
    </row>
    <row r="3" spans="1:3" x14ac:dyDescent="0.2">
      <c r="B3" s="1" t="s">
        <v>154</v>
      </c>
      <c r="C3" s="1" t="s">
        <v>222</v>
      </c>
    </row>
    <row r="4" spans="1:3" x14ac:dyDescent="0.2">
      <c r="B4" s="1" t="s">
        <v>0</v>
      </c>
      <c r="C4" s="1" t="s">
        <v>66</v>
      </c>
    </row>
    <row r="5" spans="1:3" x14ac:dyDescent="0.2">
      <c r="B5" s="1" t="s">
        <v>223</v>
      </c>
      <c r="C5" s="1" t="s">
        <v>228</v>
      </c>
    </row>
    <row r="6" spans="1:3" x14ac:dyDescent="0.2">
      <c r="B6" s="1" t="s">
        <v>2</v>
      </c>
      <c r="C6" s="1" t="s">
        <v>224</v>
      </c>
    </row>
    <row r="7" spans="1:3" x14ac:dyDescent="0.2">
      <c r="B7" s="1" t="s">
        <v>225</v>
      </c>
      <c r="C7" s="1" t="s">
        <v>226</v>
      </c>
    </row>
    <row r="8" spans="1:3" x14ac:dyDescent="0.2">
      <c r="B8" s="1" t="s">
        <v>169</v>
      </c>
    </row>
    <row r="9" spans="1:3" x14ac:dyDescent="0.2">
      <c r="C9" s="19" t="s">
        <v>229</v>
      </c>
    </row>
    <row r="10" spans="1:3" x14ac:dyDescent="0.2">
      <c r="C10" s="1" t="s">
        <v>230</v>
      </c>
    </row>
  </sheetData>
  <phoneticPr fontId="4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W7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217</v>
      </c>
      <c r="C3" s="12">
        <v>191</v>
      </c>
      <c r="D3" s="12">
        <v>168</v>
      </c>
      <c r="E3" s="12">
        <v>159</v>
      </c>
      <c r="F3" s="12">
        <v>160</v>
      </c>
      <c r="G3" s="12">
        <v>164</v>
      </c>
      <c r="H3" s="12">
        <v>187</v>
      </c>
      <c r="I3" s="12">
        <v>212</v>
      </c>
      <c r="J3" s="12">
        <v>213</v>
      </c>
      <c r="K3" s="12">
        <v>220</v>
      </c>
      <c r="L3" s="12">
        <v>225</v>
      </c>
      <c r="M3" s="12">
        <v>232</v>
      </c>
      <c r="N3" s="12"/>
      <c r="O3" s="12">
        <v>928</v>
      </c>
      <c r="P3" s="12">
        <v>735</v>
      </c>
      <c r="Q3" s="12">
        <v>723</v>
      </c>
      <c r="R3" s="12">
        <v>890</v>
      </c>
      <c r="S3" s="12">
        <v>952.3</v>
      </c>
      <c r="T3" s="12">
        <v>380.92</v>
      </c>
      <c r="U3" s="12">
        <v>152.36800000000002</v>
      </c>
      <c r="V3" s="12">
        <v>60.947200000000009</v>
      </c>
      <c r="W3" s="12">
        <v>24.378880000000006</v>
      </c>
    </row>
    <row r="4" spans="1:23" s="4" customFormat="1" x14ac:dyDescent="0.2">
      <c r="A4" s="8" t="s">
        <v>58</v>
      </c>
      <c r="B4" s="12">
        <v>0</v>
      </c>
      <c r="C4" s="12">
        <v>0</v>
      </c>
      <c r="D4" s="12">
        <v>0</v>
      </c>
      <c r="E4" s="12">
        <v>1</v>
      </c>
      <c r="F4" s="12">
        <v>0</v>
      </c>
      <c r="G4" s="12">
        <v>1</v>
      </c>
      <c r="H4" s="12">
        <v>0</v>
      </c>
      <c r="I4" s="12">
        <v>1</v>
      </c>
      <c r="J4" s="12">
        <v>1</v>
      </c>
      <c r="K4" s="12">
        <v>0.25</v>
      </c>
      <c r="L4" s="12">
        <v>0.25</v>
      </c>
      <c r="M4" s="12">
        <v>-0.5</v>
      </c>
      <c r="N4" s="12"/>
      <c r="O4" s="12">
        <v>0</v>
      </c>
      <c r="P4" s="12">
        <v>1</v>
      </c>
      <c r="Q4" s="12">
        <v>2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2</v>
      </c>
    </row>
    <row r="5" spans="1:23" s="4" customFormat="1" x14ac:dyDescent="0.2">
      <c r="A5" s="8" t="s">
        <v>59</v>
      </c>
      <c r="B5" s="12">
        <v>4</v>
      </c>
      <c r="C5" s="12">
        <v>2</v>
      </c>
      <c r="D5" s="12">
        <v>5</v>
      </c>
      <c r="E5" s="12">
        <v>4</v>
      </c>
      <c r="F5" s="12">
        <v>3</v>
      </c>
      <c r="G5" s="12">
        <v>2</v>
      </c>
      <c r="H5" s="12">
        <v>4</v>
      </c>
      <c r="I5" s="12">
        <v>4</v>
      </c>
      <c r="J5" s="12">
        <v>3</v>
      </c>
      <c r="K5" s="12">
        <v>3.75</v>
      </c>
      <c r="L5" s="12">
        <v>3.75</v>
      </c>
      <c r="M5" s="12">
        <v>4.5</v>
      </c>
      <c r="N5" s="12"/>
      <c r="O5" s="12">
        <v>25</v>
      </c>
      <c r="P5" s="12">
        <v>15</v>
      </c>
      <c r="Q5" s="12">
        <v>13</v>
      </c>
      <c r="R5" s="12">
        <v>15</v>
      </c>
      <c r="S5" s="12">
        <v>35.20675</v>
      </c>
      <c r="T5" s="12">
        <v>116.0170875</v>
      </c>
      <c r="U5" s="12">
        <v>216.86794187500001</v>
      </c>
      <c r="V5" s="12">
        <v>317.76133896875001</v>
      </c>
      <c r="W5" s="12">
        <v>316.76133896875001</v>
      </c>
    </row>
    <row r="6" spans="1:23" x14ac:dyDescent="0.2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2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W7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" customWidth="1"/>
    <col min="15" max="23" width="6.140625" customWidth="1"/>
  </cols>
  <sheetData>
    <row r="2" spans="1:23" s="7" customFormat="1" x14ac:dyDescent="0.2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">
      <c r="A3" s="8" t="s">
        <v>57</v>
      </c>
      <c r="B3" s="12">
        <v>148</v>
      </c>
      <c r="C3" s="12">
        <v>146</v>
      </c>
      <c r="D3" s="12">
        <v>117</v>
      </c>
      <c r="E3" s="12">
        <v>108</v>
      </c>
      <c r="F3" s="12">
        <v>50</v>
      </c>
      <c r="G3" s="12">
        <v>30</v>
      </c>
      <c r="H3" s="12">
        <v>21</v>
      </c>
      <c r="I3" s="12">
        <v>32</v>
      </c>
      <c r="J3" s="12">
        <v>53</v>
      </c>
      <c r="K3" s="12">
        <v>50</v>
      </c>
      <c r="L3" s="12">
        <v>52.5</v>
      </c>
      <c r="M3" s="12">
        <v>54.5</v>
      </c>
      <c r="N3" s="12"/>
      <c r="O3" s="12">
        <v>1179</v>
      </c>
      <c r="P3" s="12">
        <v>519</v>
      </c>
      <c r="Q3" s="12">
        <v>133</v>
      </c>
      <c r="R3" s="12">
        <v>210</v>
      </c>
      <c r="S3" s="12">
        <v>224.7</v>
      </c>
      <c r="T3" s="12">
        <v>240.42900000000003</v>
      </c>
      <c r="U3" s="12">
        <v>257.25903000000005</v>
      </c>
      <c r="V3" s="12">
        <v>275.26716210000006</v>
      </c>
      <c r="W3" s="12">
        <v>294.53586344700011</v>
      </c>
    </row>
    <row r="4" spans="1:23" s="4" customFormat="1" x14ac:dyDescent="0.2">
      <c r="A4" s="8" t="s">
        <v>58</v>
      </c>
      <c r="B4" s="12">
        <v>71</v>
      </c>
      <c r="C4" s="12">
        <v>67</v>
      </c>
      <c r="D4" s="12">
        <v>58</v>
      </c>
      <c r="E4" s="12">
        <v>55</v>
      </c>
      <c r="F4" s="12">
        <v>52</v>
      </c>
      <c r="G4" s="12">
        <v>46</v>
      </c>
      <c r="H4" s="12">
        <v>49</v>
      </c>
      <c r="I4" s="12">
        <v>40</v>
      </c>
      <c r="J4" s="12">
        <v>41</v>
      </c>
      <c r="K4" s="12">
        <v>40</v>
      </c>
      <c r="L4" s="12">
        <v>38</v>
      </c>
      <c r="M4" s="12">
        <v>36</v>
      </c>
      <c r="N4" s="12"/>
      <c r="O4" s="12">
        <v>369</v>
      </c>
      <c r="P4" s="12">
        <v>251</v>
      </c>
      <c r="Q4" s="12">
        <v>187</v>
      </c>
      <c r="R4" s="12">
        <v>155</v>
      </c>
      <c r="S4" s="12">
        <v>147.25</v>
      </c>
      <c r="T4" s="12">
        <v>139.88749999999999</v>
      </c>
      <c r="U4" s="12">
        <v>132.893125</v>
      </c>
      <c r="V4" s="12">
        <v>126.24846874999996</v>
      </c>
      <c r="W4" s="12">
        <v>119.93604531249996</v>
      </c>
    </row>
    <row r="5" spans="1:23" s="4" customFormat="1" x14ac:dyDescent="0.2">
      <c r="A5" s="8" t="s">
        <v>59</v>
      </c>
      <c r="B5" s="12">
        <v>72</v>
      </c>
      <c r="C5" s="12">
        <v>71</v>
      </c>
      <c r="D5" s="12">
        <v>71</v>
      </c>
      <c r="E5" s="12">
        <v>79</v>
      </c>
      <c r="F5" s="12">
        <v>61</v>
      </c>
      <c r="G5" s="12">
        <v>76</v>
      </c>
      <c r="H5" s="12">
        <v>72</v>
      </c>
      <c r="I5" s="12">
        <v>86</v>
      </c>
      <c r="J5" s="12">
        <v>67</v>
      </c>
      <c r="K5" s="12">
        <v>70</v>
      </c>
      <c r="L5" s="12">
        <v>70</v>
      </c>
      <c r="M5" s="12">
        <v>73</v>
      </c>
      <c r="N5" s="12"/>
      <c r="O5" s="12">
        <v>329</v>
      </c>
      <c r="P5" s="12">
        <v>293</v>
      </c>
      <c r="Q5" s="12">
        <v>295</v>
      </c>
      <c r="R5" s="12">
        <v>280</v>
      </c>
      <c r="S5" s="12">
        <v>252</v>
      </c>
      <c r="T5" s="12">
        <v>226.8</v>
      </c>
      <c r="U5" s="12">
        <v>204.12</v>
      </c>
      <c r="V5" s="12">
        <v>183.708</v>
      </c>
      <c r="W5" s="12">
        <v>165.3372</v>
      </c>
    </row>
    <row r="6" spans="1:23" x14ac:dyDescent="0.2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2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11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  <col min="3" max="3" width="10.85546875" bestFit="1" customWidth="1"/>
    <col min="4" max="12" width="6.7109375" bestFit="1" customWidth="1"/>
    <col min="13" max="15" width="6.5703125" bestFit="1" customWidth="1"/>
    <col min="16" max="16" width="2" customWidth="1"/>
    <col min="17" max="25" width="6.140625" customWidth="1"/>
  </cols>
  <sheetData>
    <row r="1" spans="1:25" x14ac:dyDescent="0.2">
      <c r="A1" s="20" t="s">
        <v>135</v>
      </c>
    </row>
    <row r="2" spans="1:25" x14ac:dyDescent="0.2">
      <c r="B2" t="s">
        <v>153</v>
      </c>
      <c r="C2" t="s">
        <v>64</v>
      </c>
    </row>
    <row r="3" spans="1:25" x14ac:dyDescent="0.2">
      <c r="B3" t="s">
        <v>373</v>
      </c>
      <c r="C3" t="s">
        <v>411</v>
      </c>
    </row>
    <row r="6" spans="1:25" s="7" customFormat="1" x14ac:dyDescent="0.2">
      <c r="C6" s="6" t="s">
        <v>44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11" t="s">
        <v>50</v>
      </c>
      <c r="J6" s="11" t="s">
        <v>51</v>
      </c>
      <c r="K6" s="11" t="s">
        <v>52</v>
      </c>
      <c r="L6" s="11" t="s">
        <v>53</v>
      </c>
      <c r="M6" s="11" t="s">
        <v>54</v>
      </c>
      <c r="N6" s="11" t="s">
        <v>55</v>
      </c>
      <c r="O6" s="11" t="s">
        <v>56</v>
      </c>
      <c r="P6" s="11"/>
      <c r="Q6" s="9">
        <v>2003</v>
      </c>
      <c r="R6" s="9">
        <v>2004</v>
      </c>
      <c r="S6" s="9">
        <v>2005</v>
      </c>
      <c r="T6" s="9">
        <v>2006</v>
      </c>
      <c r="U6" s="9">
        <v>2007</v>
      </c>
      <c r="V6" s="9">
        <v>2008</v>
      </c>
      <c r="W6" s="9">
        <v>2009</v>
      </c>
      <c r="X6" s="9">
        <v>2010</v>
      </c>
      <c r="Y6" s="9">
        <v>2011</v>
      </c>
    </row>
    <row r="7" spans="1:25" s="4" customFormat="1" x14ac:dyDescent="0.2">
      <c r="C7" s="8" t="s">
        <v>57</v>
      </c>
      <c r="D7" s="12">
        <v>12</v>
      </c>
      <c r="E7" s="12">
        <v>13</v>
      </c>
      <c r="F7" s="12">
        <v>13</v>
      </c>
      <c r="G7" s="12">
        <v>15</v>
      </c>
      <c r="H7" s="12">
        <v>13</v>
      </c>
      <c r="I7" s="12">
        <v>15</v>
      </c>
      <c r="J7" s="12">
        <v>23</v>
      </c>
      <c r="K7" s="12">
        <v>29</v>
      </c>
      <c r="L7" s="12">
        <v>37</v>
      </c>
      <c r="M7" s="12">
        <v>46</v>
      </c>
      <c r="N7" s="12">
        <v>55</v>
      </c>
      <c r="O7" s="12">
        <v>67</v>
      </c>
      <c r="P7" s="12"/>
      <c r="Q7" s="12">
        <v>47</v>
      </c>
      <c r="R7" s="12">
        <v>53</v>
      </c>
      <c r="S7" s="12">
        <v>80</v>
      </c>
      <c r="T7" s="12">
        <v>205</v>
      </c>
      <c r="U7" s="12">
        <v>256.25</v>
      </c>
      <c r="V7" s="12">
        <v>307.5</v>
      </c>
      <c r="W7" s="12">
        <v>353.625</v>
      </c>
      <c r="X7" s="12">
        <v>406.66874999999999</v>
      </c>
      <c r="Y7" s="12">
        <v>467.66906249999994</v>
      </c>
    </row>
    <row r="8" spans="1:25" s="4" customFormat="1" x14ac:dyDescent="0.2">
      <c r="C8" s="8" t="s">
        <v>58</v>
      </c>
      <c r="D8" s="12">
        <v>13</v>
      </c>
      <c r="E8" s="12">
        <v>14</v>
      </c>
      <c r="F8" s="12">
        <v>14</v>
      </c>
      <c r="G8" s="12">
        <v>15</v>
      </c>
      <c r="H8" s="12">
        <v>15</v>
      </c>
      <c r="I8" s="12">
        <v>17</v>
      </c>
      <c r="J8" s="12">
        <v>17</v>
      </c>
      <c r="K8" s="12">
        <v>19</v>
      </c>
      <c r="L8" s="12">
        <v>19</v>
      </c>
      <c r="M8" s="12">
        <v>22.5</v>
      </c>
      <c r="N8" s="12">
        <v>22.5</v>
      </c>
      <c r="O8" s="12">
        <v>26</v>
      </c>
      <c r="P8" s="12"/>
      <c r="Q8" s="12">
        <v>46</v>
      </c>
      <c r="R8" s="12">
        <v>56</v>
      </c>
      <c r="S8" s="12">
        <v>68</v>
      </c>
      <c r="T8" s="12">
        <v>90</v>
      </c>
      <c r="U8" s="12">
        <v>120</v>
      </c>
      <c r="V8" s="12">
        <v>150</v>
      </c>
      <c r="W8" s="12">
        <v>165</v>
      </c>
      <c r="X8" s="12">
        <v>181.5</v>
      </c>
      <c r="Y8" s="12">
        <v>199.65</v>
      </c>
    </row>
    <row r="9" spans="1:25" s="4" customFormat="1" x14ac:dyDescent="0.2">
      <c r="C9" s="8" t="s">
        <v>59</v>
      </c>
      <c r="D9" s="12">
        <v>1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3</v>
      </c>
      <c r="N9" s="12">
        <v>3</v>
      </c>
      <c r="O9" s="12">
        <v>4</v>
      </c>
      <c r="P9" s="12"/>
      <c r="Q9" s="12">
        <v>5</v>
      </c>
      <c r="R9" s="12">
        <v>7</v>
      </c>
      <c r="S9" s="12">
        <v>8</v>
      </c>
      <c r="T9" s="12">
        <v>12</v>
      </c>
      <c r="U9" s="12">
        <v>12.84</v>
      </c>
      <c r="V9" s="12">
        <v>13.738800000000001</v>
      </c>
      <c r="W9" s="12">
        <v>14.150964000000002</v>
      </c>
      <c r="X9" s="12">
        <v>14.292473640000003</v>
      </c>
      <c r="Y9" s="12">
        <v>14.435398376400002</v>
      </c>
    </row>
    <row r="10" spans="1:25" x14ac:dyDescent="0.2"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">
      <c r="R11" s="14"/>
      <c r="S11" s="14"/>
      <c r="T11" s="14"/>
      <c r="U11" s="14"/>
      <c r="V11" s="14"/>
      <c r="W11" s="14"/>
      <c r="X11" s="14"/>
      <c r="Y11" s="14"/>
    </row>
  </sheetData>
  <phoneticPr fontId="4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W7"/>
  <sheetViews>
    <sheetView workbookViewId="0"/>
  </sheetViews>
  <sheetFormatPr defaultRowHeight="12.75" x14ac:dyDescent="0.2"/>
  <cols>
    <col min="1" max="1" width="10.85546875" bestFit="1" customWidth="1"/>
    <col min="2" max="10" width="6.7109375" bestFit="1" customWidth="1"/>
    <col min="11" max="13" width="6.5703125" bestFit="1" customWidth="1"/>
    <col min="14" max="14" width="2.5703125" customWidth="1"/>
    <col min="15" max="23" width="5.28515625" customWidth="1"/>
  </cols>
  <sheetData>
    <row r="4" spans="1:23" s="7" customFormat="1" x14ac:dyDescent="0.2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">
      <c r="A5" s="8" t="s">
        <v>57</v>
      </c>
      <c r="B5" s="12">
        <v>126</v>
      </c>
      <c r="C5" s="12">
        <v>100</v>
      </c>
      <c r="D5" s="12">
        <v>119</v>
      </c>
      <c r="E5" s="12">
        <v>105</v>
      </c>
      <c r="F5" s="12">
        <v>120</v>
      </c>
      <c r="G5" s="12">
        <v>113</v>
      </c>
      <c r="H5" s="12">
        <v>139</v>
      </c>
      <c r="I5" s="12">
        <v>134</v>
      </c>
      <c r="J5" s="12">
        <v>94</v>
      </c>
      <c r="K5" s="12">
        <v>30</v>
      </c>
      <c r="L5" s="12">
        <v>20</v>
      </c>
      <c r="M5" s="12">
        <v>6</v>
      </c>
      <c r="N5" s="12"/>
      <c r="O5" s="12">
        <v>461</v>
      </c>
      <c r="P5" s="12">
        <v>450</v>
      </c>
      <c r="Q5" s="12">
        <v>506</v>
      </c>
      <c r="R5" s="12">
        <v>150</v>
      </c>
      <c r="S5" s="12">
        <v>30</v>
      </c>
      <c r="T5" s="12">
        <v>12</v>
      </c>
      <c r="U5" s="12">
        <v>4.8</v>
      </c>
      <c r="V5" s="12">
        <v>1.92</v>
      </c>
      <c r="W5" s="12">
        <v>0.76800000000000024</v>
      </c>
    </row>
    <row r="6" spans="1:23" s="4" customFormat="1" x14ac:dyDescent="0.2">
      <c r="A6" s="8" t="s">
        <v>58</v>
      </c>
      <c r="B6" s="12">
        <v>14</v>
      </c>
      <c r="C6" s="12">
        <v>19</v>
      </c>
      <c r="D6" s="12">
        <v>12</v>
      </c>
      <c r="E6" s="12">
        <v>14</v>
      </c>
      <c r="F6" s="12">
        <v>14</v>
      </c>
      <c r="G6" s="12">
        <v>19</v>
      </c>
      <c r="H6" s="12">
        <v>14</v>
      </c>
      <c r="I6" s="12">
        <v>13</v>
      </c>
      <c r="J6" s="12">
        <v>13</v>
      </c>
      <c r="K6" s="12">
        <v>14.25</v>
      </c>
      <c r="L6" s="12">
        <v>14.25</v>
      </c>
      <c r="M6" s="12">
        <v>15.5</v>
      </c>
      <c r="N6" s="12"/>
      <c r="O6" s="12">
        <v>56</v>
      </c>
      <c r="P6" s="12">
        <v>59</v>
      </c>
      <c r="Q6" s="12">
        <v>60</v>
      </c>
      <c r="R6" s="12">
        <v>57</v>
      </c>
      <c r="S6" s="12">
        <v>54.15</v>
      </c>
      <c r="T6" s="12">
        <v>43.32</v>
      </c>
      <c r="U6" s="12">
        <v>34.655999999999999</v>
      </c>
      <c r="V6" s="12">
        <v>27.724800000000002</v>
      </c>
      <c r="W6" s="12">
        <v>22.179840000000002</v>
      </c>
    </row>
    <row r="7" spans="1:23" s="4" customFormat="1" x14ac:dyDescent="0.2">
      <c r="A7" s="8" t="s">
        <v>59</v>
      </c>
      <c r="B7" s="12">
        <v>17</v>
      </c>
      <c r="C7" s="12">
        <v>14</v>
      </c>
      <c r="D7" s="12">
        <v>14</v>
      </c>
      <c r="E7" s="12">
        <v>24</v>
      </c>
      <c r="F7" s="12">
        <v>37</v>
      </c>
      <c r="G7" s="12">
        <v>16</v>
      </c>
      <c r="H7" s="12">
        <v>13</v>
      </c>
      <c r="I7" s="12">
        <v>24</v>
      </c>
      <c r="J7" s="12">
        <v>24</v>
      </c>
      <c r="K7" s="12">
        <v>22.5</v>
      </c>
      <c r="L7" s="12">
        <v>22.5</v>
      </c>
      <c r="M7" s="12">
        <v>21</v>
      </c>
      <c r="N7" s="12"/>
      <c r="O7" s="12">
        <v>77</v>
      </c>
      <c r="P7" s="12">
        <v>69</v>
      </c>
      <c r="Q7" s="12">
        <v>90</v>
      </c>
      <c r="R7" s="12">
        <v>90</v>
      </c>
      <c r="S7" s="12">
        <v>90</v>
      </c>
      <c r="T7" s="12">
        <v>63</v>
      </c>
      <c r="U7" s="12">
        <v>44.1</v>
      </c>
      <c r="V7" s="12">
        <v>30.87</v>
      </c>
      <c r="W7" s="12">
        <v>21.608999999999995</v>
      </c>
    </row>
  </sheetData>
  <phoneticPr fontId="4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G14"/>
  <sheetViews>
    <sheetView workbookViewId="0"/>
  </sheetViews>
  <sheetFormatPr defaultRowHeight="12.75" x14ac:dyDescent="0.2"/>
  <cols>
    <col min="1" max="1" width="10.85546875" bestFit="1" customWidth="1"/>
    <col min="2" max="7" width="6.140625" customWidth="1"/>
  </cols>
  <sheetData>
    <row r="2" spans="1:7" s="7" customFormat="1" x14ac:dyDescent="0.2">
      <c r="A2" s="6" t="s">
        <v>44</v>
      </c>
      <c r="B2" s="9">
        <v>2006</v>
      </c>
      <c r="C2" s="9">
        <v>2007</v>
      </c>
      <c r="D2" s="9">
        <v>2008</v>
      </c>
      <c r="E2" s="9">
        <v>2009</v>
      </c>
      <c r="F2" s="9">
        <v>2010</v>
      </c>
      <c r="G2" s="9">
        <v>2011</v>
      </c>
    </row>
    <row r="3" spans="1:7" s="4" customFormat="1" x14ac:dyDescent="0.2">
      <c r="A3" s="8" t="s">
        <v>57</v>
      </c>
      <c r="B3" s="12"/>
      <c r="C3" s="12">
        <v>10</v>
      </c>
      <c r="D3" s="12">
        <v>25</v>
      </c>
      <c r="E3" s="12">
        <v>40</v>
      </c>
      <c r="F3" s="12">
        <v>55</v>
      </c>
      <c r="G3" s="12">
        <v>70</v>
      </c>
    </row>
    <row r="4" spans="1:7" s="4" customFormat="1" x14ac:dyDescent="0.2">
      <c r="A4" s="8" t="s">
        <v>58</v>
      </c>
      <c r="B4" s="12"/>
      <c r="C4" s="12">
        <v>5</v>
      </c>
      <c r="D4" s="12">
        <v>15</v>
      </c>
      <c r="E4" s="12">
        <v>25</v>
      </c>
      <c r="F4" s="12">
        <v>35</v>
      </c>
      <c r="G4" s="12">
        <v>45</v>
      </c>
    </row>
    <row r="5" spans="1:7" s="4" customFormat="1" x14ac:dyDescent="0.2">
      <c r="A5" s="8" t="s">
        <v>59</v>
      </c>
      <c r="B5" s="12"/>
      <c r="C5" s="12"/>
      <c r="D5" s="12">
        <v>0</v>
      </c>
      <c r="E5" s="12">
        <v>15</v>
      </c>
      <c r="F5" s="12">
        <v>30</v>
      </c>
      <c r="G5" s="12">
        <v>35</v>
      </c>
    </row>
    <row r="6" spans="1:7" x14ac:dyDescent="0.2">
      <c r="A6" s="5"/>
      <c r="B6" s="13"/>
      <c r="C6" s="13"/>
      <c r="D6" s="13"/>
      <c r="E6" s="13"/>
      <c r="F6" s="13"/>
      <c r="G6" s="13"/>
    </row>
    <row r="7" spans="1:7" x14ac:dyDescent="0.2">
      <c r="B7" s="14"/>
      <c r="C7" s="14"/>
      <c r="D7" s="14"/>
      <c r="E7" s="14"/>
      <c r="F7" s="14"/>
      <c r="G7" s="14"/>
    </row>
    <row r="8" spans="1:7" x14ac:dyDescent="0.2">
      <c r="A8" s="10" t="s">
        <v>96</v>
      </c>
    </row>
    <row r="9" spans="1:7" x14ac:dyDescent="0.2">
      <c r="A9" t="s">
        <v>97</v>
      </c>
    </row>
    <row r="11" spans="1:7" x14ac:dyDescent="0.2">
      <c r="A11" t="s">
        <v>98</v>
      </c>
    </row>
    <row r="12" spans="1:7" x14ac:dyDescent="0.2">
      <c r="A12" t="s">
        <v>99</v>
      </c>
    </row>
    <row r="14" spans="1:7" x14ac:dyDescent="0.2">
      <c r="A14" t="s">
        <v>100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K219"/>
  <sheetViews>
    <sheetView tabSelected="1" zoomScale="190" zoomScaleNormal="190" workbookViewId="0">
      <pane xSplit="2" ySplit="2" topLeftCell="DG3" activePane="bottomRight" state="frozen"/>
      <selection pane="topRight"/>
      <selection pane="bottomLeft"/>
      <selection pane="bottomRight" activeCell="DV20" sqref="DV20"/>
    </sheetView>
  </sheetViews>
  <sheetFormatPr defaultColWidth="8.140625" defaultRowHeight="12.75" x14ac:dyDescent="0.2"/>
  <cols>
    <col min="1" max="1" width="5" style="65" bestFit="1" customWidth="1"/>
    <col min="2" max="2" width="19.28515625" style="65" customWidth="1"/>
    <col min="3" max="6" width="6.140625" style="151" customWidth="1"/>
    <col min="7" max="14" width="6.140625" style="73" customWidth="1"/>
    <col min="15" max="66" width="6.5703125" style="73" customWidth="1"/>
    <col min="67" max="74" width="7" style="73" customWidth="1"/>
    <col min="75" max="79" width="7.5703125" style="73" customWidth="1"/>
    <col min="80" max="82" width="7.28515625" style="73" customWidth="1"/>
    <col min="83" max="87" width="6.5703125" style="73" customWidth="1"/>
    <col min="88" max="88" width="7.5703125" style="155" customWidth="1"/>
    <col min="89" max="89" width="6.5703125" style="155" customWidth="1"/>
    <col min="90" max="91" width="6.5703125" style="73" customWidth="1"/>
    <col min="92" max="93" width="6.5703125" style="152" customWidth="1" collapsed="1"/>
    <col min="94" max="105" width="6.5703125" style="152" customWidth="1"/>
    <col min="106" max="109" width="6.5703125" style="65" customWidth="1"/>
    <col min="110" max="110" width="7.140625" style="65" customWidth="1"/>
    <col min="111" max="123" width="6.7109375" style="65" customWidth="1"/>
    <col min="124" max="16384" width="8.140625" style="65"/>
  </cols>
  <sheetData>
    <row r="1" spans="1:124" x14ac:dyDescent="0.2">
      <c r="A1" s="130" t="s">
        <v>135</v>
      </c>
    </row>
    <row r="2" spans="1:124" x14ac:dyDescent="0.2">
      <c r="B2" s="65" t="s">
        <v>376</v>
      </c>
      <c r="C2" s="73" t="s">
        <v>802</v>
      </c>
      <c r="D2" s="73" t="s">
        <v>803</v>
      </c>
      <c r="E2" s="73" t="s">
        <v>804</v>
      </c>
      <c r="F2" s="73" t="s">
        <v>805</v>
      </c>
      <c r="G2" s="73" t="s">
        <v>802</v>
      </c>
      <c r="H2" s="73" t="s">
        <v>803</v>
      </c>
      <c r="I2" s="73" t="s">
        <v>804</v>
      </c>
      <c r="J2" s="73" t="s">
        <v>805</v>
      </c>
      <c r="K2" s="73" t="s">
        <v>790</v>
      </c>
      <c r="L2" s="73" t="s">
        <v>787</v>
      </c>
      <c r="M2" s="73" t="s">
        <v>788</v>
      </c>
      <c r="N2" s="73" t="s">
        <v>789</v>
      </c>
      <c r="O2" s="73" t="s">
        <v>786</v>
      </c>
      <c r="P2" s="73" t="s">
        <v>785</v>
      </c>
      <c r="Q2" s="73" t="s">
        <v>784</v>
      </c>
      <c r="R2" s="73" t="s">
        <v>783</v>
      </c>
      <c r="S2" s="73" t="s">
        <v>614</v>
      </c>
      <c r="T2" s="73" t="s">
        <v>615</v>
      </c>
      <c r="U2" s="73" t="s">
        <v>616</v>
      </c>
      <c r="V2" s="73" t="s">
        <v>617</v>
      </c>
      <c r="W2" s="73" t="s">
        <v>618</v>
      </c>
      <c r="X2" s="73" t="s">
        <v>619</v>
      </c>
      <c r="Y2" s="73" t="s">
        <v>620</v>
      </c>
      <c r="Z2" s="73" t="s">
        <v>601</v>
      </c>
      <c r="AA2" s="73" t="s">
        <v>608</v>
      </c>
      <c r="AB2" s="73" t="s">
        <v>621</v>
      </c>
      <c r="AC2" s="73" t="s">
        <v>622</v>
      </c>
      <c r="AD2" s="73" t="s">
        <v>623</v>
      </c>
      <c r="AE2" s="73" t="s">
        <v>806</v>
      </c>
      <c r="AF2" s="73" t="s">
        <v>807</v>
      </c>
      <c r="AG2" s="73" t="s">
        <v>808</v>
      </c>
      <c r="AH2" s="73" t="s">
        <v>809</v>
      </c>
      <c r="AI2" s="162" t="s">
        <v>1325</v>
      </c>
      <c r="AJ2" s="162" t="s">
        <v>1326</v>
      </c>
      <c r="AK2" s="162" t="s">
        <v>1327</v>
      </c>
      <c r="AL2" s="162" t="s">
        <v>1328</v>
      </c>
      <c r="AM2" s="162" t="s">
        <v>1335</v>
      </c>
      <c r="AN2" s="162" t="s">
        <v>1336</v>
      </c>
      <c r="AO2" s="162" t="s">
        <v>1337</v>
      </c>
      <c r="AP2" s="162" t="s">
        <v>1334</v>
      </c>
      <c r="AQ2" s="162" t="s">
        <v>1338</v>
      </c>
      <c r="AR2" s="162" t="s">
        <v>1339</v>
      </c>
      <c r="AS2" s="162" t="s">
        <v>1340</v>
      </c>
      <c r="AT2" s="162" t="s">
        <v>1341</v>
      </c>
      <c r="AU2" s="162" t="s">
        <v>1347</v>
      </c>
      <c r="AV2" s="162" t="s">
        <v>1348</v>
      </c>
      <c r="AW2" s="162" t="s">
        <v>1349</v>
      </c>
      <c r="AX2" s="162" t="s">
        <v>1350</v>
      </c>
      <c r="AY2" s="162" t="s">
        <v>1351</v>
      </c>
      <c r="AZ2" s="162" t="s">
        <v>1352</v>
      </c>
      <c r="BA2" s="162" t="s">
        <v>1353</v>
      </c>
      <c r="BB2" s="162" t="s">
        <v>1354</v>
      </c>
      <c r="BC2" s="162" t="s">
        <v>1355</v>
      </c>
      <c r="BD2" s="162" t="s">
        <v>1356</v>
      </c>
      <c r="BE2" s="162" t="s">
        <v>1357</v>
      </c>
      <c r="BF2" s="162" t="s">
        <v>1358</v>
      </c>
      <c r="BG2" s="162" t="s">
        <v>1359</v>
      </c>
      <c r="BH2" s="162" t="s">
        <v>1360</v>
      </c>
      <c r="BI2" s="162" t="s">
        <v>1361</v>
      </c>
      <c r="BJ2" s="162" t="s">
        <v>1362</v>
      </c>
      <c r="BK2" s="162" t="s">
        <v>1363</v>
      </c>
      <c r="BL2" s="162" t="s">
        <v>1364</v>
      </c>
      <c r="BM2" s="162" t="s">
        <v>1365</v>
      </c>
      <c r="BN2" s="162" t="s">
        <v>1366</v>
      </c>
      <c r="BO2" s="162" t="s">
        <v>1367</v>
      </c>
      <c r="BP2" s="162" t="s">
        <v>1368</v>
      </c>
      <c r="BQ2" s="162" t="s">
        <v>1369</v>
      </c>
      <c r="BR2" s="162" t="s">
        <v>1370</v>
      </c>
      <c r="BS2" s="162" t="s">
        <v>1371</v>
      </c>
      <c r="BT2" s="162" t="s">
        <v>1372</v>
      </c>
      <c r="BU2" s="162" t="s">
        <v>1373</v>
      </c>
      <c r="BV2" s="162" t="s">
        <v>1374</v>
      </c>
      <c r="BW2" s="162" t="s">
        <v>1375</v>
      </c>
      <c r="BX2" s="162" t="s">
        <v>1376</v>
      </c>
      <c r="BY2" s="162" t="s">
        <v>1377</v>
      </c>
      <c r="BZ2" s="162" t="s">
        <v>1378</v>
      </c>
      <c r="CA2" s="162" t="s">
        <v>1424</v>
      </c>
      <c r="CB2" s="162" t="s">
        <v>1425</v>
      </c>
      <c r="CC2" s="162" t="s">
        <v>1426</v>
      </c>
      <c r="CD2" s="162" t="s">
        <v>1427</v>
      </c>
      <c r="CE2" s="162"/>
      <c r="CF2" s="162"/>
      <c r="CG2" s="162"/>
      <c r="CH2" s="203">
        <v>1998</v>
      </c>
      <c r="CI2" s="203">
        <v>1999</v>
      </c>
      <c r="CJ2" s="150">
        <v>2000</v>
      </c>
      <c r="CK2" s="150">
        <v>2001</v>
      </c>
      <c r="CL2" s="150">
        <v>2002</v>
      </c>
      <c r="CM2" s="150">
        <v>2003</v>
      </c>
      <c r="CN2" s="150">
        <v>2004</v>
      </c>
      <c r="CO2" s="150">
        <v>2005</v>
      </c>
      <c r="CP2" s="150">
        <v>2006</v>
      </c>
      <c r="CQ2" s="150">
        <v>2007</v>
      </c>
      <c r="CR2" s="150">
        <f>CQ2+1</f>
        <v>2008</v>
      </c>
      <c r="CS2" s="150">
        <f t="shared" ref="CS2:CX2" si="0">CR2+1</f>
        <v>2009</v>
      </c>
      <c r="CT2" s="150">
        <f t="shared" si="0"/>
        <v>2010</v>
      </c>
      <c r="CU2" s="150">
        <f t="shared" si="0"/>
        <v>2011</v>
      </c>
      <c r="CV2" s="150">
        <f t="shared" si="0"/>
        <v>2012</v>
      </c>
      <c r="CW2" s="150">
        <f t="shared" si="0"/>
        <v>2013</v>
      </c>
      <c r="CX2" s="150">
        <f t="shared" si="0"/>
        <v>2014</v>
      </c>
      <c r="CY2" s="150">
        <v>2015</v>
      </c>
      <c r="CZ2" s="150">
        <v>2016</v>
      </c>
      <c r="DA2" s="150">
        <v>2017</v>
      </c>
      <c r="DB2" s="150">
        <v>2018</v>
      </c>
      <c r="DC2" s="150">
        <v>2019</v>
      </c>
      <c r="DD2" s="150">
        <v>2020</v>
      </c>
      <c r="DE2" s="150">
        <v>2021</v>
      </c>
      <c r="DF2" s="150">
        <v>2022</v>
      </c>
      <c r="DG2" s="150">
        <v>2023</v>
      </c>
      <c r="DH2" s="150">
        <v>2024</v>
      </c>
      <c r="DI2" s="150">
        <v>2025</v>
      </c>
      <c r="DJ2" s="150">
        <f>+DI2+1</f>
        <v>2026</v>
      </c>
      <c r="DK2" s="150">
        <f t="shared" ref="DK2:DS2" si="1">+DJ2+1</f>
        <v>2027</v>
      </c>
      <c r="DL2" s="150">
        <f t="shared" si="1"/>
        <v>2028</v>
      </c>
      <c r="DM2" s="150">
        <f t="shared" si="1"/>
        <v>2029</v>
      </c>
      <c r="DN2" s="150">
        <f t="shared" si="1"/>
        <v>2030</v>
      </c>
      <c r="DO2" s="150">
        <f t="shared" si="1"/>
        <v>2031</v>
      </c>
      <c r="DP2" s="150">
        <f t="shared" si="1"/>
        <v>2032</v>
      </c>
      <c r="DQ2" s="150">
        <f t="shared" si="1"/>
        <v>2033</v>
      </c>
      <c r="DR2" s="150">
        <f t="shared" si="1"/>
        <v>2034</v>
      </c>
      <c r="DS2" s="150">
        <f t="shared" si="1"/>
        <v>2035</v>
      </c>
      <c r="DT2" s="150"/>
    </row>
    <row r="3" spans="1:124" x14ac:dyDescent="0.2">
      <c r="B3" s="65" t="s">
        <v>657</v>
      </c>
      <c r="C3" s="171">
        <v>577</v>
      </c>
      <c r="D3" s="171">
        <v>598</v>
      </c>
      <c r="E3" s="171">
        <v>604</v>
      </c>
      <c r="F3" s="171">
        <v>662</v>
      </c>
      <c r="G3" s="146">
        <v>689</v>
      </c>
      <c r="H3" s="147">
        <v>725</v>
      </c>
      <c r="I3" s="146">
        <v>737</v>
      </c>
      <c r="J3" s="146">
        <v>851</v>
      </c>
      <c r="K3" s="146">
        <v>816</v>
      </c>
      <c r="L3" s="73">
        <v>822</v>
      </c>
      <c r="M3" s="73">
        <v>813</v>
      </c>
      <c r="N3" s="73">
        <v>862</v>
      </c>
      <c r="O3" s="73">
        <v>835</v>
      </c>
      <c r="P3" s="73">
        <v>871</v>
      </c>
      <c r="Q3" s="73">
        <v>835</v>
      </c>
      <c r="R3" s="73">
        <v>958</v>
      </c>
      <c r="S3" s="73">
        <v>954</v>
      </c>
      <c r="T3" s="73">
        <v>964</v>
      </c>
      <c r="U3" s="73">
        <v>982</v>
      </c>
      <c r="V3" s="73">
        <v>1237</v>
      </c>
      <c r="W3" s="73">
        <v>1214</v>
      </c>
      <c r="X3" s="73">
        <v>1245</v>
      </c>
      <c r="Y3" s="73">
        <v>1152</v>
      </c>
      <c r="Z3" s="73">
        <v>1366</v>
      </c>
      <c r="AA3" s="73">
        <f>630+423+211</f>
        <v>1264</v>
      </c>
      <c r="AB3" s="73">
        <v>1286</v>
      </c>
      <c r="AC3" s="73">
        <f>649+370+77+147</f>
        <v>1243</v>
      </c>
      <c r="AD3" s="73">
        <v>1346</v>
      </c>
      <c r="AE3" s="73">
        <v>1223</v>
      </c>
      <c r="AF3" s="73">
        <v>1270</v>
      </c>
      <c r="AG3" s="73">
        <v>1217</v>
      </c>
      <c r="AH3" s="73">
        <v>1351</v>
      </c>
      <c r="AI3" s="73">
        <v>1252</v>
      </c>
      <c r="AJ3" s="73">
        <v>1269</v>
      </c>
      <c r="AK3" s="73">
        <v>1216</v>
      </c>
      <c r="AP3" s="73">
        <v>1398</v>
      </c>
      <c r="AR3" s="73">
        <v>1095</v>
      </c>
      <c r="BO3" s="73">
        <v>395</v>
      </c>
      <c r="BP3" s="73">
        <v>421</v>
      </c>
      <c r="BQ3" s="73">
        <v>368</v>
      </c>
      <c r="BR3" s="73">
        <v>351</v>
      </c>
      <c r="BS3" s="73">
        <v>351</v>
      </c>
      <c r="BT3" s="73">
        <v>347</v>
      </c>
      <c r="BU3" s="73">
        <v>324</v>
      </c>
      <c r="BV3" s="73">
        <v>335</v>
      </c>
      <c r="BW3" s="73">
        <v>302</v>
      </c>
      <c r="BX3" s="73">
        <v>262</v>
      </c>
      <c r="BY3" s="73">
        <v>265</v>
      </c>
      <c r="BZ3" s="73">
        <v>330</v>
      </c>
      <c r="CA3" s="73">
        <f t="shared" ref="CA3:CD3" si="2">+BW3*0.7</f>
        <v>211.39999999999998</v>
      </c>
      <c r="CB3" s="73">
        <f t="shared" si="2"/>
        <v>183.39999999999998</v>
      </c>
      <c r="CC3" s="73">
        <f t="shared" si="2"/>
        <v>185.5</v>
      </c>
      <c r="CD3" s="73">
        <f t="shared" si="2"/>
        <v>230.99999999999997</v>
      </c>
      <c r="CI3" s="73">
        <v>48</v>
      </c>
      <c r="CJ3" s="73">
        <v>208</v>
      </c>
      <c r="CL3" s="146">
        <v>1631</v>
      </c>
      <c r="CM3" s="146">
        <v>2192</v>
      </c>
      <c r="CN3" s="146">
        <v>2441</v>
      </c>
      <c r="CO3" s="146">
        <v>3002</v>
      </c>
      <c r="CP3" s="146">
        <f t="shared" ref="CP3:CP4" si="3">SUM(K3:N3)</f>
        <v>3313</v>
      </c>
      <c r="CQ3" s="146">
        <f t="shared" ref="CQ3:CQ4" si="4">SUM(O3:R3)</f>
        <v>3499</v>
      </c>
      <c r="CR3" s="146">
        <f>SUM(S3:V3)</f>
        <v>4137</v>
      </c>
      <c r="CS3" s="146">
        <f>SUM(W3:Z3)</f>
        <v>4977</v>
      </c>
      <c r="CT3" s="146">
        <f>SUM(AA3:AD3)</f>
        <v>5139</v>
      </c>
      <c r="CU3" s="146">
        <f>SUM(AE3:AH3)</f>
        <v>5061</v>
      </c>
      <c r="CV3" s="146">
        <f>+CU3*0.98</f>
        <v>4959.78</v>
      </c>
      <c r="CW3" s="146">
        <f t="shared" ref="CW3:CY3" si="5">+CV3*0.98</f>
        <v>4860.5843999999997</v>
      </c>
      <c r="CX3" s="146">
        <f t="shared" si="5"/>
        <v>4763.3727119999994</v>
      </c>
      <c r="CY3" s="146">
        <f t="shared" si="5"/>
        <v>4668.1052577599994</v>
      </c>
      <c r="CZ3" s="146">
        <f>+CY3*0.96</f>
        <v>4481.3810474495995</v>
      </c>
      <c r="DA3" s="146">
        <f>+CZ3*0.95</f>
        <v>4257.3119950771197</v>
      </c>
      <c r="DB3" s="146"/>
      <c r="DC3" s="146"/>
      <c r="DD3" s="146">
        <f>SUM(BO3:BR3)</f>
        <v>1535</v>
      </c>
      <c r="DE3" s="146">
        <f>SUM(BS3:BV3)</f>
        <v>1357</v>
      </c>
      <c r="DF3" s="146">
        <f>SUM(BW3:BZ3)</f>
        <v>1159</v>
      </c>
      <c r="DG3" s="146">
        <f>SUM(CA3:CD3)</f>
        <v>811.3</v>
      </c>
      <c r="DH3" s="146">
        <f t="shared" ref="DH3:DI3" si="6">+DG3*0.95</f>
        <v>770.7349999999999</v>
      </c>
      <c r="DI3" s="146">
        <f t="shared" si="6"/>
        <v>732.19824999999992</v>
      </c>
      <c r="DJ3" s="146">
        <f t="shared" ref="DJ3" si="7">+DI3*0.95</f>
        <v>695.58833749999985</v>
      </c>
      <c r="DK3" s="146">
        <f t="shared" ref="DK3" si="8">+DJ3*0.95</f>
        <v>660.80892062499981</v>
      </c>
      <c r="DL3" s="146">
        <f t="shared" ref="DL3" si="9">+DK3*0.95</f>
        <v>627.76847459374983</v>
      </c>
      <c r="DM3" s="146">
        <f t="shared" ref="DM3" si="10">+DL3*0.95</f>
        <v>596.38005086406235</v>
      </c>
      <c r="DN3" s="146">
        <f t="shared" ref="DN3" si="11">+DM3*0.95</f>
        <v>566.56104832085919</v>
      </c>
      <c r="DO3" s="146">
        <f t="shared" ref="DO3" si="12">+DN3*0.95</f>
        <v>538.23299590481622</v>
      </c>
      <c r="DP3" s="146">
        <f t="shared" ref="DP3" si="13">+DO3*0.95</f>
        <v>511.32134610957536</v>
      </c>
      <c r="DQ3" s="146">
        <f t="shared" ref="DQ3" si="14">+DP3*0.95</f>
        <v>485.75527880409658</v>
      </c>
      <c r="DR3" s="146">
        <f t="shared" ref="DR3" si="15">+DQ3*0.95</f>
        <v>461.46751486389172</v>
      </c>
      <c r="DS3" s="146">
        <f t="shared" ref="DS3" si="16">+DR3*0.95</f>
        <v>438.3941391206971</v>
      </c>
    </row>
    <row r="4" spans="1:124" x14ac:dyDescent="0.2">
      <c r="B4" s="65" t="s">
        <v>369</v>
      </c>
      <c r="C4" s="172">
        <v>687</v>
      </c>
      <c r="D4" s="172">
        <v>716</v>
      </c>
      <c r="E4" s="172">
        <v>722</v>
      </c>
      <c r="F4" s="172">
        <v>761</v>
      </c>
      <c r="G4" s="147">
        <v>697</v>
      </c>
      <c r="H4" s="147">
        <v>741</v>
      </c>
      <c r="I4" s="147">
        <v>762</v>
      </c>
      <c r="J4" s="147">
        <v>799</v>
      </c>
      <c r="K4" s="147">
        <v>768</v>
      </c>
      <c r="L4" s="73">
        <v>790</v>
      </c>
      <c r="M4" s="73">
        <v>766</v>
      </c>
      <c r="N4" s="73">
        <v>823</v>
      </c>
      <c r="O4" s="73">
        <v>786</v>
      </c>
      <c r="P4" s="73">
        <v>899</v>
      </c>
      <c r="Q4" s="73">
        <v>871</v>
      </c>
      <c r="R4" s="73">
        <v>927</v>
      </c>
      <c r="S4" s="73">
        <v>893</v>
      </c>
      <c r="T4" s="73">
        <v>951</v>
      </c>
      <c r="U4" s="73">
        <v>994</v>
      </c>
      <c r="V4" s="73">
        <v>1107</v>
      </c>
      <c r="W4" s="73">
        <v>1146</v>
      </c>
      <c r="X4" s="73">
        <v>1165</v>
      </c>
      <c r="Y4" s="73">
        <v>1165</v>
      </c>
      <c r="Z4" s="73">
        <v>1178</v>
      </c>
      <c r="AA4" s="73">
        <v>1231</v>
      </c>
      <c r="AB4" s="73">
        <v>1252</v>
      </c>
      <c r="AC4" s="73">
        <f>249+491+520</f>
        <v>1260</v>
      </c>
      <c r="AD4" s="73">
        <v>1267</v>
      </c>
      <c r="AE4" s="73">
        <v>1321</v>
      </c>
      <c r="AF4" s="73">
        <v>1277</v>
      </c>
      <c r="AG4" s="73">
        <v>1329</v>
      </c>
      <c r="AH4" s="73">
        <v>1268</v>
      </c>
      <c r="AI4" s="73">
        <v>1336</v>
      </c>
      <c r="AJ4" s="73">
        <v>1257</v>
      </c>
      <c r="AK4" s="73">
        <v>1269</v>
      </c>
      <c r="AR4" s="73">
        <v>1022</v>
      </c>
      <c r="BL4" s="73">
        <v>1917</v>
      </c>
      <c r="BO4" s="176" t="s">
        <v>1440</v>
      </c>
      <c r="BP4" s="176" t="s">
        <v>1441</v>
      </c>
      <c r="BQ4" s="176" t="s">
        <v>1423</v>
      </c>
      <c r="BR4" s="176" t="s">
        <v>1439</v>
      </c>
      <c r="BS4" s="176" t="s">
        <v>1438</v>
      </c>
      <c r="BT4" s="176" t="s">
        <v>1428</v>
      </c>
      <c r="BU4" s="176" t="s">
        <v>1437</v>
      </c>
      <c r="BV4" s="176" t="s">
        <v>1436</v>
      </c>
      <c r="BW4" s="176" t="s">
        <v>1435</v>
      </c>
      <c r="BX4" s="73">
        <v>0</v>
      </c>
      <c r="BY4" s="73">
        <v>0</v>
      </c>
      <c r="BZ4" s="73">
        <v>0</v>
      </c>
      <c r="CL4" s="147">
        <v>3217</v>
      </c>
      <c r="CM4" s="147">
        <v>3260</v>
      </c>
      <c r="CN4" s="147">
        <v>2886</v>
      </c>
      <c r="CO4" s="147">
        <v>2999</v>
      </c>
      <c r="CP4" s="146">
        <f t="shared" si="3"/>
        <v>3147</v>
      </c>
      <c r="CQ4" s="146">
        <f t="shared" si="4"/>
        <v>3483</v>
      </c>
      <c r="CR4" s="147">
        <f>SUM(S4:V4)</f>
        <v>3945</v>
      </c>
      <c r="CS4" s="146">
        <f>SUM(W4:Z4)</f>
        <v>4654</v>
      </c>
      <c r="CT4" s="146">
        <f>SUM(AA4:AD4)</f>
        <v>5010</v>
      </c>
      <c r="CU4" s="147">
        <f>SUM(AE4:AH4)</f>
        <v>5195</v>
      </c>
      <c r="CV4" s="147">
        <f>CU4*1.05</f>
        <v>5454.75</v>
      </c>
      <c r="CW4" s="147">
        <f>CV4*1.05</f>
        <v>5727.4875000000002</v>
      </c>
      <c r="CX4" s="147">
        <f t="shared" ref="CX4:DA4" si="17">CW4*1.03</f>
        <v>5899.3121250000004</v>
      </c>
      <c r="CY4" s="147">
        <f t="shared" si="17"/>
        <v>6076.2914887500001</v>
      </c>
      <c r="CZ4" s="147">
        <f t="shared" si="17"/>
        <v>6258.5802334125001</v>
      </c>
      <c r="DA4" s="147">
        <f t="shared" si="17"/>
        <v>6446.3376404148748</v>
      </c>
      <c r="DB4" s="147"/>
      <c r="DC4" s="147"/>
      <c r="DD4" s="146"/>
      <c r="DE4" s="146"/>
      <c r="DF4" s="146"/>
      <c r="DG4" s="146"/>
      <c r="DH4" s="147"/>
      <c r="DI4" s="147"/>
      <c r="DJ4" s="147"/>
      <c r="DK4" s="147"/>
      <c r="DL4" s="147"/>
      <c r="DM4" s="147"/>
      <c r="DN4" s="147"/>
      <c r="DO4" s="147"/>
      <c r="DP4" s="147"/>
      <c r="DQ4" s="147"/>
      <c r="DR4" s="147"/>
      <c r="DS4" s="147"/>
    </row>
    <row r="5" spans="1:124" x14ac:dyDescent="0.2">
      <c r="B5" s="112" t="s">
        <v>1391</v>
      </c>
      <c r="C5" s="172"/>
      <c r="D5" s="172"/>
      <c r="E5" s="172"/>
      <c r="F5" s="172"/>
      <c r="G5" s="147"/>
      <c r="H5" s="147"/>
      <c r="I5" s="147"/>
      <c r="J5" s="147"/>
      <c r="K5" s="147"/>
      <c r="BO5" s="73">
        <v>647</v>
      </c>
      <c r="BP5" s="73">
        <v>323</v>
      </c>
      <c r="BQ5" s="73">
        <v>374</v>
      </c>
      <c r="BR5" s="73">
        <v>645</v>
      </c>
      <c r="BS5" s="73">
        <v>327</v>
      </c>
      <c r="BT5" s="73">
        <v>295</v>
      </c>
      <c r="BU5" s="73">
        <v>502</v>
      </c>
      <c r="BV5" s="73">
        <v>597</v>
      </c>
      <c r="BW5" s="73">
        <v>698</v>
      </c>
      <c r="BX5" s="73">
        <v>731</v>
      </c>
      <c r="BY5" s="73">
        <v>760</v>
      </c>
      <c r="BZ5" s="73">
        <v>769</v>
      </c>
      <c r="CA5" s="73">
        <f>+BW5*1.1</f>
        <v>767.80000000000007</v>
      </c>
      <c r="CB5" s="73">
        <f t="shared" ref="CB5:CD5" si="18">+BX5*1.1</f>
        <v>804.1</v>
      </c>
      <c r="CC5" s="73">
        <f t="shared" si="18"/>
        <v>836.00000000000011</v>
      </c>
      <c r="CD5" s="73">
        <f t="shared" si="18"/>
        <v>845.90000000000009</v>
      </c>
      <c r="CL5" s="147"/>
      <c r="CM5" s="147"/>
      <c r="CN5" s="147"/>
      <c r="CO5" s="147"/>
      <c r="CP5" s="146"/>
      <c r="CQ5" s="146"/>
      <c r="CR5" s="147"/>
      <c r="CS5" s="146"/>
      <c r="CT5" s="146"/>
      <c r="CU5" s="147"/>
      <c r="CV5" s="147"/>
      <c r="CW5" s="147"/>
      <c r="CX5" s="147"/>
      <c r="CY5" s="147"/>
      <c r="CZ5" s="147"/>
      <c r="DA5" s="147"/>
      <c r="DB5" s="147"/>
      <c r="DC5" s="147"/>
      <c r="DD5" s="146">
        <f t="shared" ref="DD5:DD49" si="19">SUM(BO5:BR5)</f>
        <v>1989</v>
      </c>
      <c r="DE5" s="146">
        <f t="shared" ref="DE5:DE14" si="20">SUM(BS5:BV5)</f>
        <v>1721</v>
      </c>
      <c r="DF5" s="146">
        <f t="shared" ref="DF5:DF14" si="21">SUM(BW5:BZ5)</f>
        <v>2958</v>
      </c>
      <c r="DG5" s="146">
        <f t="shared" ref="DG5:DG14" si="22">SUM(CA5:CD5)</f>
        <v>3253.8</v>
      </c>
      <c r="DH5" s="147">
        <f>+DG5*1.1</f>
        <v>3579.1800000000003</v>
      </c>
      <c r="DI5" s="147">
        <f>+DH5*1.1</f>
        <v>3937.0980000000004</v>
      </c>
      <c r="DJ5" s="147">
        <f>+DI5*1.1</f>
        <v>4330.8078000000005</v>
      </c>
      <c r="DK5" s="147">
        <f>+DJ5*1.1</f>
        <v>4763.8885800000007</v>
      </c>
      <c r="DL5" s="147">
        <f t="shared" ref="DJ5:DS5" si="23">+DK5*1.03</f>
        <v>4906.8052374000008</v>
      </c>
      <c r="DM5" s="147">
        <f t="shared" si="23"/>
        <v>5054.0093945220005</v>
      </c>
      <c r="DN5" s="147">
        <f t="shared" si="23"/>
        <v>5205.6296763576611</v>
      </c>
      <c r="DO5" s="147">
        <f t="shared" si="23"/>
        <v>5361.798566648391</v>
      </c>
      <c r="DP5" s="147">
        <f t="shared" si="23"/>
        <v>5522.6525236478428</v>
      </c>
      <c r="DQ5" s="147">
        <f t="shared" si="23"/>
        <v>5688.3320993572779</v>
      </c>
      <c r="DR5" s="147">
        <f t="shared" si="23"/>
        <v>5858.9820623379965</v>
      </c>
      <c r="DS5" s="147">
        <f t="shared" si="23"/>
        <v>6034.7515242081363</v>
      </c>
    </row>
    <row r="6" spans="1:124" x14ac:dyDescent="0.2">
      <c r="B6" s="112" t="s">
        <v>1380</v>
      </c>
      <c r="C6" s="172"/>
      <c r="D6" s="172"/>
      <c r="E6" s="172"/>
      <c r="F6" s="172"/>
      <c r="G6" s="147"/>
      <c r="H6" s="147"/>
      <c r="I6" s="147"/>
      <c r="J6" s="147"/>
      <c r="K6" s="147"/>
      <c r="BO6" s="73">
        <v>563</v>
      </c>
      <c r="BP6" s="73">
        <v>586</v>
      </c>
      <c r="BQ6" s="73">
        <v>577</v>
      </c>
      <c r="BR6" s="73">
        <v>580</v>
      </c>
      <c r="BS6" s="73">
        <v>436</v>
      </c>
      <c r="BT6" s="73">
        <v>466</v>
      </c>
      <c r="BU6" s="73">
        <v>504</v>
      </c>
      <c r="BV6" s="73">
        <v>476</v>
      </c>
      <c r="BW6" s="73">
        <v>392</v>
      </c>
      <c r="BX6" s="73">
        <v>461</v>
      </c>
      <c r="BY6" s="73">
        <v>467</v>
      </c>
      <c r="BZ6" s="73">
        <v>479</v>
      </c>
      <c r="CA6" s="73">
        <f t="shared" ref="CA6:CA8" si="24">AVERAGE(BX6:BZ6)</f>
        <v>469</v>
      </c>
      <c r="CB6" s="73">
        <f t="shared" ref="CB6:CB8" si="25">AVERAGE(BY6:CA6)</f>
        <v>471.66666666666669</v>
      </c>
      <c r="CC6" s="73">
        <f t="shared" ref="CC6:CC8" si="26">AVERAGE(BZ6:CB6)</f>
        <v>473.22222222222223</v>
      </c>
      <c r="CD6" s="73">
        <f t="shared" ref="CD6:CD8" si="27">AVERAGE(CA6:CC6)</f>
        <v>471.2962962962963</v>
      </c>
      <c r="CL6" s="147"/>
      <c r="CM6" s="147"/>
      <c r="CN6" s="147"/>
      <c r="CO6" s="147"/>
      <c r="CP6" s="146"/>
      <c r="CQ6" s="146"/>
      <c r="CR6" s="147"/>
      <c r="CS6" s="146"/>
      <c r="CT6" s="146"/>
      <c r="CU6" s="147"/>
      <c r="CV6" s="147"/>
      <c r="CW6" s="147"/>
      <c r="CX6" s="147"/>
      <c r="CY6" s="147"/>
      <c r="CZ6" s="147"/>
      <c r="DA6" s="147"/>
      <c r="DB6" s="147"/>
      <c r="DC6" s="147"/>
      <c r="DD6" s="146">
        <f>SUM(BO6:BR6)</f>
        <v>2306</v>
      </c>
      <c r="DE6" s="146">
        <f>SUM(BS6:BV6)</f>
        <v>1882</v>
      </c>
      <c r="DF6" s="146">
        <f>SUM(BW6:BZ6)</f>
        <v>1799</v>
      </c>
      <c r="DG6" s="146">
        <f>SUM(CA6:CD6)</f>
        <v>1885.1851851851852</v>
      </c>
      <c r="DH6" s="147">
        <f t="shared" ref="DH6:DJ6" si="28">+DG6*1.01</f>
        <v>1904.0370370370372</v>
      </c>
      <c r="DI6" s="147">
        <f t="shared" si="28"/>
        <v>1923.0774074074075</v>
      </c>
      <c r="DJ6" s="147">
        <f t="shared" si="28"/>
        <v>1942.3081814814816</v>
      </c>
      <c r="DK6" s="147">
        <f t="shared" ref="DK6:DK7" si="29">DJ6*0.8</f>
        <v>1553.8465451851853</v>
      </c>
      <c r="DL6" s="147">
        <f t="shared" ref="DL6:DO7" si="30">DK6*0.1</f>
        <v>155.38465451851854</v>
      </c>
      <c r="DM6" s="147">
        <f t="shared" si="30"/>
        <v>15.538465451851856</v>
      </c>
      <c r="DN6" s="147">
        <f t="shared" si="30"/>
        <v>1.5538465451851857</v>
      </c>
      <c r="DO6" s="147">
        <f t="shared" si="30"/>
        <v>0.15538465451851857</v>
      </c>
      <c r="DP6" s="147"/>
      <c r="DQ6" s="147"/>
      <c r="DR6" s="147"/>
      <c r="DS6" s="147"/>
    </row>
    <row r="7" spans="1:124" x14ac:dyDescent="0.2">
      <c r="B7" s="112" t="s">
        <v>1379</v>
      </c>
      <c r="C7" s="172"/>
      <c r="D7" s="172"/>
      <c r="E7" s="172"/>
      <c r="F7" s="172"/>
      <c r="G7" s="147"/>
      <c r="H7" s="147"/>
      <c r="I7" s="147"/>
      <c r="J7" s="147"/>
      <c r="K7" s="147"/>
      <c r="BO7" s="73">
        <v>412</v>
      </c>
      <c r="BP7" s="73">
        <v>373</v>
      </c>
      <c r="BQ7" s="73">
        <v>377</v>
      </c>
      <c r="BR7" s="73">
        <v>365</v>
      </c>
      <c r="BS7" s="73">
        <v>301</v>
      </c>
      <c r="BT7" s="73">
        <v>407</v>
      </c>
      <c r="BU7" s="73">
        <v>352</v>
      </c>
      <c r="BV7" s="73">
        <v>321</v>
      </c>
      <c r="BW7" s="73">
        <v>320</v>
      </c>
      <c r="BX7" s="73">
        <v>346</v>
      </c>
      <c r="BY7" s="73">
        <v>342</v>
      </c>
      <c r="BZ7" s="73">
        <v>373</v>
      </c>
      <c r="CA7" s="73">
        <f t="shared" si="24"/>
        <v>353.66666666666669</v>
      </c>
      <c r="CB7" s="73">
        <f t="shared" si="25"/>
        <v>356.22222222222223</v>
      </c>
      <c r="CC7" s="73">
        <f t="shared" si="26"/>
        <v>360.96296296296299</v>
      </c>
      <c r="CD7" s="73">
        <f t="shared" si="27"/>
        <v>356.95061728395063</v>
      </c>
      <c r="CL7" s="147"/>
      <c r="CM7" s="147"/>
      <c r="CN7" s="147"/>
      <c r="CO7" s="147"/>
      <c r="CP7" s="146"/>
      <c r="CQ7" s="146"/>
      <c r="CR7" s="147"/>
      <c r="CS7" s="146"/>
      <c r="CT7" s="146"/>
      <c r="CU7" s="147"/>
      <c r="CV7" s="147"/>
      <c r="CW7" s="147"/>
      <c r="CX7" s="147"/>
      <c r="CY7" s="147"/>
      <c r="CZ7" s="147"/>
      <c r="DA7" s="147"/>
      <c r="DB7" s="147"/>
      <c r="DC7" s="147"/>
      <c r="DD7" s="146">
        <f t="shared" si="19"/>
        <v>1527</v>
      </c>
      <c r="DE7" s="146">
        <f t="shared" si="20"/>
        <v>1381</v>
      </c>
      <c r="DF7" s="146">
        <f t="shared" si="21"/>
        <v>1381</v>
      </c>
      <c r="DG7" s="146">
        <f t="shared" si="22"/>
        <v>1427.8024691358025</v>
      </c>
      <c r="DH7" s="147">
        <f t="shared" ref="DH7:DJ7" si="31">+DG7*1.01</f>
        <v>1442.0804938271606</v>
      </c>
      <c r="DI7" s="147">
        <f t="shared" si="31"/>
        <v>1456.5012987654322</v>
      </c>
      <c r="DJ7" s="147">
        <f t="shared" si="31"/>
        <v>1471.0663117530867</v>
      </c>
      <c r="DK7" s="147">
        <f t="shared" si="29"/>
        <v>1176.8530494024694</v>
      </c>
      <c r="DL7" s="147">
        <f t="shared" si="30"/>
        <v>117.68530494024695</v>
      </c>
      <c r="DM7" s="147">
        <f t="shared" si="30"/>
        <v>11.768530494024695</v>
      </c>
      <c r="DN7" s="147">
        <f t="shared" si="30"/>
        <v>1.1768530494024696</v>
      </c>
      <c r="DO7" s="147">
        <f t="shared" si="30"/>
        <v>0.11768530494024697</v>
      </c>
      <c r="DP7" s="147"/>
      <c r="DQ7" s="147"/>
      <c r="DR7" s="147"/>
      <c r="DS7" s="147"/>
    </row>
    <row r="8" spans="1:124" x14ac:dyDescent="0.2">
      <c r="B8" s="112" t="s">
        <v>1381</v>
      </c>
      <c r="C8" s="172"/>
      <c r="D8" s="172"/>
      <c r="E8" s="172"/>
      <c r="F8" s="172"/>
      <c r="G8" s="147"/>
      <c r="H8" s="147"/>
      <c r="I8" s="147"/>
      <c r="J8" s="147"/>
      <c r="K8" s="147"/>
      <c r="BO8" s="73">
        <v>120</v>
      </c>
      <c r="BP8" s="73">
        <v>113</v>
      </c>
      <c r="BQ8" s="73">
        <v>123</v>
      </c>
      <c r="BR8" s="73">
        <v>139</v>
      </c>
      <c r="BS8" s="73">
        <v>112</v>
      </c>
      <c r="BT8" s="73">
        <v>132</v>
      </c>
      <c r="BU8" s="73">
        <v>130</v>
      </c>
      <c r="BV8" s="73">
        <v>143</v>
      </c>
      <c r="BW8" s="73">
        <v>133</v>
      </c>
      <c r="BX8" s="73">
        <v>152</v>
      </c>
      <c r="BY8" s="73">
        <v>159</v>
      </c>
      <c r="BZ8" s="73">
        <v>192</v>
      </c>
      <c r="CA8" s="73">
        <f t="shared" si="24"/>
        <v>167.66666666666666</v>
      </c>
      <c r="CB8" s="73">
        <f t="shared" si="25"/>
        <v>172.88888888888889</v>
      </c>
      <c r="CC8" s="73">
        <f t="shared" si="26"/>
        <v>177.5185185185185</v>
      </c>
      <c r="CD8" s="73">
        <f t="shared" si="27"/>
        <v>172.69135802469134</v>
      </c>
      <c r="CL8" s="147"/>
      <c r="CM8" s="147"/>
      <c r="CN8" s="147"/>
      <c r="CO8" s="147"/>
      <c r="CP8" s="146"/>
      <c r="CQ8" s="146"/>
      <c r="CR8" s="147"/>
      <c r="CS8" s="146"/>
      <c r="CT8" s="146"/>
      <c r="CU8" s="147"/>
      <c r="CV8" s="147"/>
      <c r="CW8" s="147"/>
      <c r="CX8" s="147"/>
      <c r="CY8" s="147"/>
      <c r="CZ8" s="147"/>
      <c r="DA8" s="147"/>
      <c r="DB8" s="147"/>
      <c r="DC8" s="147"/>
      <c r="DD8" s="146">
        <f t="shared" si="19"/>
        <v>495</v>
      </c>
      <c r="DE8" s="146">
        <f t="shared" si="20"/>
        <v>517</v>
      </c>
      <c r="DF8" s="146">
        <f t="shared" si="21"/>
        <v>636</v>
      </c>
      <c r="DG8" s="146">
        <f t="shared" si="22"/>
        <v>690.76543209876536</v>
      </c>
      <c r="DH8" s="147">
        <f>+DG8*1.01</f>
        <v>697.67308641975296</v>
      </c>
      <c r="DI8" s="147">
        <f t="shared" ref="DI8:DJ9" si="32">+DH8*1.01</f>
        <v>704.64981728395048</v>
      </c>
      <c r="DJ8" s="147">
        <f t="shared" si="32"/>
        <v>711.69631545678999</v>
      </c>
      <c r="DK8" s="147">
        <f>DJ8*0.8</f>
        <v>569.35705236543197</v>
      </c>
      <c r="DL8" s="147">
        <f>DK8*0.1</f>
        <v>56.9357052365432</v>
      </c>
      <c r="DM8" s="147">
        <f t="shared" ref="DM8:DO8" si="33">DL8*0.1</f>
        <v>5.6935705236543201</v>
      </c>
      <c r="DN8" s="147">
        <f t="shared" si="33"/>
        <v>0.56935705236543199</v>
      </c>
      <c r="DO8" s="147">
        <f t="shared" si="33"/>
        <v>5.6935705236543205E-2</v>
      </c>
      <c r="DP8" s="147"/>
      <c r="DQ8" s="147"/>
      <c r="DR8" s="147"/>
      <c r="DS8" s="147"/>
    </row>
    <row r="9" spans="1:124" x14ac:dyDescent="0.2">
      <c r="B9" s="112" t="s">
        <v>1382</v>
      </c>
      <c r="C9" s="172"/>
      <c r="D9" s="172"/>
      <c r="E9" s="172"/>
      <c r="F9" s="172"/>
      <c r="G9" s="147"/>
      <c r="H9" s="147"/>
      <c r="I9" s="147"/>
      <c r="J9" s="147"/>
      <c r="K9" s="147"/>
      <c r="BO9" s="73">
        <v>66</v>
      </c>
      <c r="BP9" s="73">
        <v>68</v>
      </c>
      <c r="BQ9" s="73">
        <v>99</v>
      </c>
      <c r="BR9" s="73">
        <v>141</v>
      </c>
      <c r="BS9" s="73">
        <v>141</v>
      </c>
      <c r="BT9" s="73">
        <v>184</v>
      </c>
      <c r="BU9" s="73">
        <v>208</v>
      </c>
      <c r="BV9" s="73">
        <v>254</v>
      </c>
      <c r="BW9" s="73">
        <v>257</v>
      </c>
      <c r="BX9" s="73">
        <v>320</v>
      </c>
      <c r="BY9" s="73">
        <v>360</v>
      </c>
      <c r="BZ9" s="73">
        <v>438</v>
      </c>
      <c r="CA9" s="73">
        <f>+BW9*1.1</f>
        <v>282.70000000000005</v>
      </c>
      <c r="CB9" s="73">
        <f t="shared" ref="CB9:CD9" si="34">+BX9*1.1</f>
        <v>352</v>
      </c>
      <c r="CC9" s="73">
        <f t="shared" si="34"/>
        <v>396.00000000000006</v>
      </c>
      <c r="CD9" s="73">
        <f t="shared" si="34"/>
        <v>481.8</v>
      </c>
      <c r="CL9" s="147"/>
      <c r="CM9" s="147"/>
      <c r="CN9" s="147"/>
      <c r="CO9" s="147"/>
      <c r="CP9" s="146"/>
      <c r="CQ9" s="146"/>
      <c r="CR9" s="147"/>
      <c r="CS9" s="146"/>
      <c r="CT9" s="146"/>
      <c r="CU9" s="147"/>
      <c r="CV9" s="147"/>
      <c r="CW9" s="147"/>
      <c r="CX9" s="147"/>
      <c r="CY9" s="147"/>
      <c r="CZ9" s="147"/>
      <c r="DA9" s="147"/>
      <c r="DB9" s="147"/>
      <c r="DC9" s="147"/>
      <c r="DD9" s="146">
        <f t="shared" si="19"/>
        <v>374</v>
      </c>
      <c r="DE9" s="146">
        <f t="shared" si="20"/>
        <v>787</v>
      </c>
      <c r="DF9" s="146">
        <f>SUM(BW9:BZ9)</f>
        <v>1375</v>
      </c>
      <c r="DG9" s="146">
        <f t="shared" si="22"/>
        <v>1512.5</v>
      </c>
      <c r="DH9" s="147">
        <f>+DG9*1.01</f>
        <v>1527.625</v>
      </c>
      <c r="DI9" s="147">
        <f t="shared" si="32"/>
        <v>1542.9012500000001</v>
      </c>
      <c r="DJ9" s="147">
        <f t="shared" si="32"/>
        <v>1558.3302625000001</v>
      </c>
      <c r="DK9" s="147">
        <f>DJ9*0.8</f>
        <v>1246.6642100000001</v>
      </c>
      <c r="DL9" s="147">
        <f>DK9*0.1</f>
        <v>124.66642100000001</v>
      </c>
      <c r="DM9" s="147">
        <f t="shared" ref="DM9:DO9" si="35">DL9*0.1</f>
        <v>12.466642100000001</v>
      </c>
      <c r="DN9" s="147">
        <f t="shared" si="35"/>
        <v>1.2466642100000003</v>
      </c>
      <c r="DO9" s="147">
        <f t="shared" si="35"/>
        <v>0.12466642100000003</v>
      </c>
      <c r="DP9" s="147"/>
      <c r="DQ9" s="147"/>
      <c r="DR9" s="147"/>
      <c r="DS9" s="147"/>
    </row>
    <row r="10" spans="1:124" x14ac:dyDescent="0.2">
      <c r="B10" s="65" t="s">
        <v>368</v>
      </c>
      <c r="C10" s="172">
        <v>190</v>
      </c>
      <c r="D10" s="172">
        <v>178</v>
      </c>
      <c r="E10" s="172">
        <v>163</v>
      </c>
      <c r="F10" s="172">
        <v>223</v>
      </c>
      <c r="G10" s="147">
        <v>192</v>
      </c>
      <c r="H10" s="147">
        <v>205</v>
      </c>
      <c r="I10" s="147">
        <v>194</v>
      </c>
      <c r="J10" s="147">
        <v>205</v>
      </c>
      <c r="K10" s="73">
        <f>249-K99</f>
        <v>184</v>
      </c>
      <c r="L10" s="73">
        <f>238-L99</f>
        <v>177</v>
      </c>
      <c r="M10" s="73">
        <f>229-M99</f>
        <v>178</v>
      </c>
      <c r="N10" s="73">
        <f>257-N99</f>
        <v>202</v>
      </c>
      <c r="O10" s="73">
        <f>240-O99</f>
        <v>192</v>
      </c>
      <c r="P10" s="73">
        <f>239-P99</f>
        <v>199</v>
      </c>
      <c r="Q10" s="73">
        <f>207-Q99</f>
        <v>170</v>
      </c>
      <c r="R10" s="73">
        <f>271-43</f>
        <v>228</v>
      </c>
      <c r="S10" s="73">
        <v>284</v>
      </c>
      <c r="T10" s="73">
        <v>228</v>
      </c>
      <c r="U10" s="73">
        <v>210</v>
      </c>
      <c r="V10" s="73">
        <v>259</v>
      </c>
      <c r="W10" s="73">
        <v>233</v>
      </c>
      <c r="X10" s="73">
        <v>261</v>
      </c>
      <c r="Y10" s="73">
        <v>258</v>
      </c>
      <c r="Z10" s="73">
        <v>311</v>
      </c>
      <c r="AA10" s="73">
        <v>211</v>
      </c>
      <c r="AB10" s="73">
        <v>239</v>
      </c>
      <c r="AC10" s="73">
        <v>238</v>
      </c>
      <c r="AD10" s="73">
        <v>306</v>
      </c>
      <c r="AE10" s="73">
        <v>233</v>
      </c>
      <c r="AF10" s="73">
        <v>281</v>
      </c>
      <c r="AG10" s="73">
        <v>239</v>
      </c>
      <c r="AH10" s="73">
        <v>275</v>
      </c>
      <c r="AI10" s="73">
        <f>209-9-33</f>
        <v>167</v>
      </c>
      <c r="AJ10" s="73">
        <f>190-AJ90</f>
        <v>160</v>
      </c>
      <c r="AP10" s="73">
        <v>255</v>
      </c>
      <c r="AR10" s="73">
        <f>175+272+1</f>
        <v>448</v>
      </c>
      <c r="BO10" s="73">
        <v>465</v>
      </c>
      <c r="BP10" s="73">
        <v>423</v>
      </c>
      <c r="BQ10" s="73">
        <v>453</v>
      </c>
      <c r="BR10" s="73">
        <v>455</v>
      </c>
      <c r="BS10" s="73">
        <v>345</v>
      </c>
      <c r="BT10" s="73">
        <v>363</v>
      </c>
      <c r="BU10" s="73">
        <v>383</v>
      </c>
      <c r="BV10" s="73">
        <v>379</v>
      </c>
      <c r="BW10" s="73">
        <v>386</v>
      </c>
      <c r="BX10" s="162">
        <f>399+(861-91-130-81-127-399)</f>
        <v>432</v>
      </c>
      <c r="BY10" s="73">
        <v>457</v>
      </c>
      <c r="BZ10" s="73">
        <v>459</v>
      </c>
      <c r="CA10" s="73">
        <f t="shared" ref="CA10:CD10" si="36">+BZ10</f>
        <v>459</v>
      </c>
      <c r="CB10" s="73">
        <f t="shared" si="36"/>
        <v>459</v>
      </c>
      <c r="CC10" s="73">
        <f t="shared" si="36"/>
        <v>459</v>
      </c>
      <c r="CD10" s="73">
        <f t="shared" si="36"/>
        <v>459</v>
      </c>
      <c r="CL10" s="147">
        <v>0</v>
      </c>
      <c r="CM10" s="147">
        <v>837</v>
      </c>
      <c r="CN10" s="147">
        <v>754</v>
      </c>
      <c r="CO10" s="147">
        <v>796</v>
      </c>
      <c r="CP10" s="147">
        <f>SUM(K10:N10)</f>
        <v>741</v>
      </c>
      <c r="CQ10" s="147">
        <f>SUM(O10:R10)</f>
        <v>789</v>
      </c>
      <c r="CR10" s="147">
        <f>SUM(S10:V10)</f>
        <v>981</v>
      </c>
      <c r="CS10" s="146">
        <f>SUM(W10:Z10)</f>
        <v>1063</v>
      </c>
      <c r="CT10" s="146">
        <f>SUM(AA10:AD10)</f>
        <v>994</v>
      </c>
      <c r="CU10" s="147">
        <f>CT10*0.9</f>
        <v>894.6</v>
      </c>
      <c r="CV10" s="147">
        <f t="shared" ref="CV10:DA10" si="37">CU10*0.9</f>
        <v>805.14</v>
      </c>
      <c r="CW10" s="147">
        <f t="shared" si="37"/>
        <v>724.62599999999998</v>
      </c>
      <c r="CX10" s="147">
        <f t="shared" si="37"/>
        <v>652.16340000000002</v>
      </c>
      <c r="CY10" s="147">
        <f t="shared" si="37"/>
        <v>586.94706000000008</v>
      </c>
      <c r="CZ10" s="147">
        <f t="shared" si="37"/>
        <v>528.25235400000008</v>
      </c>
      <c r="DA10" s="147">
        <f t="shared" si="37"/>
        <v>475.42711860000009</v>
      </c>
      <c r="DB10" s="147"/>
      <c r="DC10" s="147"/>
      <c r="DD10" s="146">
        <f t="shared" si="19"/>
        <v>1796</v>
      </c>
      <c r="DE10" s="146">
        <f t="shared" si="20"/>
        <v>1470</v>
      </c>
      <c r="DF10" s="146">
        <f t="shared" si="21"/>
        <v>1734</v>
      </c>
      <c r="DG10" s="146">
        <f t="shared" si="22"/>
        <v>1836</v>
      </c>
      <c r="DH10" s="147">
        <f t="shared" ref="DH10:DI10" si="38">DG10*0.9</f>
        <v>1652.4</v>
      </c>
      <c r="DI10" s="147">
        <f t="shared" si="38"/>
        <v>1487.16</v>
      </c>
      <c r="DJ10" s="147">
        <f t="shared" ref="DJ10" si="39">DI10*0.9</f>
        <v>1338.4440000000002</v>
      </c>
      <c r="DK10" s="147">
        <f t="shared" ref="DK10" si="40">DJ10*0.9</f>
        <v>1204.5996000000002</v>
      </c>
      <c r="DL10" s="147">
        <f t="shared" ref="DL10" si="41">DK10*0.9</f>
        <v>1084.1396400000003</v>
      </c>
      <c r="DM10" s="147">
        <f t="shared" ref="DM10" si="42">DL10*0.9</f>
        <v>975.72567600000036</v>
      </c>
      <c r="DN10" s="147">
        <f t="shared" ref="DN10" si="43">DM10*0.9</f>
        <v>878.15310840000029</v>
      </c>
      <c r="DO10" s="147">
        <f t="shared" ref="DO10" si="44">DN10*0.9</f>
        <v>790.33779756000024</v>
      </c>
      <c r="DP10" s="147">
        <f t="shared" ref="DP10" si="45">DO10*0.9</f>
        <v>711.30401780400018</v>
      </c>
      <c r="DQ10" s="147">
        <f t="shared" ref="DQ10" si="46">DP10*0.9</f>
        <v>640.17361602360018</v>
      </c>
      <c r="DR10" s="147">
        <f t="shared" ref="DR10" si="47">DQ10*0.9</f>
        <v>576.15625442124019</v>
      </c>
      <c r="DS10" s="147">
        <f t="shared" ref="DS10" si="48">DR10*0.9</f>
        <v>518.54062897911615</v>
      </c>
    </row>
    <row r="11" spans="1:124" x14ac:dyDescent="0.2">
      <c r="B11" s="112" t="s">
        <v>1397</v>
      </c>
      <c r="C11" s="172"/>
      <c r="D11" s="172"/>
      <c r="E11" s="172"/>
      <c r="F11" s="172"/>
      <c r="G11" s="147"/>
      <c r="H11" s="147"/>
      <c r="I11" s="147"/>
      <c r="J11" s="147"/>
      <c r="BO11" s="73">
        <v>193</v>
      </c>
      <c r="BP11" s="73">
        <v>194</v>
      </c>
      <c r="BQ11" s="73">
        <v>194</v>
      </c>
      <c r="BR11" s="73">
        <v>238</v>
      </c>
      <c r="BS11" s="73">
        <v>248</v>
      </c>
      <c r="BT11" s="73">
        <v>291</v>
      </c>
      <c r="BU11" s="73">
        <v>326</v>
      </c>
      <c r="BV11" s="73">
        <v>352</v>
      </c>
      <c r="BW11" s="73">
        <v>340</v>
      </c>
      <c r="BX11" s="73">
        <v>467</v>
      </c>
      <c r="BY11" s="73">
        <v>465</v>
      </c>
      <c r="BZ11" s="73">
        <v>457</v>
      </c>
      <c r="CA11" s="73">
        <f>+BW11*1.1</f>
        <v>374.00000000000006</v>
      </c>
      <c r="CB11" s="73">
        <f t="shared" ref="CB11:CD11" si="49">+BX11*1.1</f>
        <v>513.70000000000005</v>
      </c>
      <c r="CC11" s="73">
        <f t="shared" si="49"/>
        <v>511.50000000000006</v>
      </c>
      <c r="CD11" s="73">
        <f t="shared" si="49"/>
        <v>502.70000000000005</v>
      </c>
      <c r="CL11" s="147"/>
      <c r="CM11" s="147"/>
      <c r="CN11" s="147"/>
      <c r="CO11" s="147"/>
      <c r="CP11" s="147"/>
      <c r="CQ11" s="147"/>
      <c r="CR11" s="147"/>
      <c r="CS11" s="146"/>
      <c r="CT11" s="146"/>
      <c r="CU11" s="147"/>
      <c r="CV11" s="147"/>
      <c r="CW11" s="147"/>
      <c r="CX11" s="147"/>
      <c r="CY11" s="147"/>
      <c r="CZ11" s="147"/>
      <c r="DA11" s="147"/>
      <c r="DB11" s="147"/>
      <c r="DC11" s="147"/>
      <c r="DD11" s="146">
        <f t="shared" si="19"/>
        <v>819</v>
      </c>
      <c r="DE11" s="146">
        <f t="shared" si="20"/>
        <v>1217</v>
      </c>
      <c r="DF11" s="146">
        <f t="shared" si="21"/>
        <v>1729</v>
      </c>
      <c r="DG11" s="146">
        <f t="shared" si="22"/>
        <v>1901.9</v>
      </c>
      <c r="DH11" s="147">
        <f>+DG11*1.03</f>
        <v>1958.9570000000001</v>
      </c>
      <c r="DI11" s="147">
        <f t="shared" ref="DI11:DS11" si="50">+DH11*1.03</f>
        <v>2017.7257100000002</v>
      </c>
      <c r="DJ11" s="147">
        <f t="shared" si="50"/>
        <v>2078.2574813000001</v>
      </c>
      <c r="DK11" s="147">
        <f t="shared" si="50"/>
        <v>2140.6052057390002</v>
      </c>
      <c r="DL11" s="147">
        <f t="shared" si="50"/>
        <v>2204.8233619111702</v>
      </c>
      <c r="DM11" s="147">
        <f t="shared" si="50"/>
        <v>2270.9680627685052</v>
      </c>
      <c r="DN11" s="147">
        <f t="shared" si="50"/>
        <v>2339.0971046515606</v>
      </c>
      <c r="DO11" s="147">
        <f t="shared" si="50"/>
        <v>2409.2700177911074</v>
      </c>
      <c r="DP11" s="147">
        <f t="shared" si="50"/>
        <v>2481.5481183248407</v>
      </c>
      <c r="DQ11" s="147">
        <f t="shared" si="50"/>
        <v>2555.994561874586</v>
      </c>
      <c r="DR11" s="147">
        <f t="shared" si="50"/>
        <v>2632.6743987308237</v>
      </c>
      <c r="DS11" s="147">
        <f t="shared" si="50"/>
        <v>2711.6546306927485</v>
      </c>
    </row>
    <row r="12" spans="1:124" x14ac:dyDescent="0.2">
      <c r="B12" s="112" t="s">
        <v>1390</v>
      </c>
      <c r="C12" s="172"/>
      <c r="D12" s="172"/>
      <c r="E12" s="172"/>
      <c r="F12" s="172"/>
      <c r="G12" s="147"/>
      <c r="H12" s="147"/>
      <c r="I12" s="147"/>
      <c r="J12" s="147"/>
      <c r="BO12" s="73">
        <v>0</v>
      </c>
      <c r="BP12" s="73">
        <v>0</v>
      </c>
      <c r="BQ12" s="73">
        <v>0</v>
      </c>
      <c r="BR12" s="73">
        <v>0</v>
      </c>
      <c r="BS12" s="73">
        <v>0</v>
      </c>
      <c r="BT12" s="73">
        <v>16</v>
      </c>
      <c r="BU12" s="73">
        <v>114</v>
      </c>
      <c r="BV12" s="73">
        <v>828</v>
      </c>
      <c r="BW12" s="73">
        <v>1307</v>
      </c>
      <c r="BX12" s="73">
        <v>466</v>
      </c>
      <c r="BY12" s="73">
        <v>411</v>
      </c>
      <c r="BZ12" s="73">
        <v>125</v>
      </c>
      <c r="CA12" s="73">
        <f>+BZ12-50</f>
        <v>75</v>
      </c>
      <c r="CB12" s="73">
        <f t="shared" ref="CB12" si="51">+CA12-50</f>
        <v>25</v>
      </c>
      <c r="CC12" s="73">
        <v>0</v>
      </c>
      <c r="CD12" s="73">
        <v>0</v>
      </c>
      <c r="CL12" s="147"/>
      <c r="CM12" s="147"/>
      <c r="CN12" s="147"/>
      <c r="CO12" s="146"/>
      <c r="CP12" s="146"/>
      <c r="CQ12" s="147"/>
      <c r="CR12" s="147"/>
      <c r="CS12" s="146"/>
      <c r="CT12" s="167"/>
      <c r="CU12" s="146"/>
      <c r="CV12" s="146"/>
      <c r="CW12" s="146"/>
      <c r="CX12" s="146"/>
      <c r="CY12" s="146"/>
      <c r="CZ12" s="146"/>
      <c r="DA12" s="146"/>
      <c r="DB12" s="146"/>
      <c r="DC12" s="146"/>
      <c r="DD12" s="146">
        <f t="shared" si="19"/>
        <v>0</v>
      </c>
      <c r="DE12" s="146">
        <f t="shared" si="20"/>
        <v>958</v>
      </c>
      <c r="DF12" s="146">
        <f t="shared" si="21"/>
        <v>2309</v>
      </c>
      <c r="DG12" s="146">
        <f t="shared" si="22"/>
        <v>100</v>
      </c>
      <c r="DH12" s="146">
        <v>0</v>
      </c>
      <c r="DI12" s="146"/>
      <c r="DJ12" s="146"/>
      <c r="DK12" s="112"/>
    </row>
    <row r="13" spans="1:124" x14ac:dyDescent="0.2">
      <c r="B13" s="112" t="s">
        <v>1389</v>
      </c>
      <c r="C13" s="172"/>
      <c r="D13" s="172"/>
      <c r="E13" s="172"/>
      <c r="F13" s="172"/>
      <c r="G13" s="147"/>
      <c r="H13" s="147"/>
      <c r="I13" s="147"/>
      <c r="J13" s="147"/>
      <c r="BO13" s="73">
        <v>210</v>
      </c>
      <c r="BP13" s="73">
        <v>241</v>
      </c>
      <c r="BQ13" s="73">
        <v>251</v>
      </c>
      <c r="BR13" s="73">
        <v>292</v>
      </c>
      <c r="BS13" s="73">
        <v>254</v>
      </c>
      <c r="BT13" s="73">
        <v>292</v>
      </c>
      <c r="BU13" s="73">
        <v>285</v>
      </c>
      <c r="BV13" s="73">
        <v>311</v>
      </c>
      <c r="BW13" s="73">
        <v>295</v>
      </c>
      <c r="BX13" s="73">
        <v>367</v>
      </c>
      <c r="BY13" s="73">
        <v>366</v>
      </c>
      <c r="BZ13" s="73">
        <v>395</v>
      </c>
      <c r="CA13" s="73">
        <f t="shared" ref="CA13:CA15" si="52">+BW13*1.1</f>
        <v>324.5</v>
      </c>
      <c r="CB13" s="73">
        <f t="shared" ref="CB13:CB15" si="53">+BX13*1.1</f>
        <v>403.70000000000005</v>
      </c>
      <c r="CC13" s="73">
        <f t="shared" ref="CC13:CC15" si="54">+BY13*1.1</f>
        <v>402.6</v>
      </c>
      <c r="CD13" s="73">
        <f t="shared" ref="CD13:CD15" si="55">+BZ13*1.1</f>
        <v>434.50000000000006</v>
      </c>
      <c r="CL13" s="147"/>
      <c r="CM13" s="147"/>
      <c r="CN13" s="147"/>
      <c r="CO13" s="146"/>
      <c r="CP13" s="146"/>
      <c r="CQ13" s="147"/>
      <c r="CR13" s="147"/>
      <c r="CS13" s="146"/>
      <c r="CT13" s="167"/>
      <c r="CU13" s="146"/>
      <c r="CV13" s="146"/>
      <c r="CW13" s="146"/>
      <c r="CX13" s="146"/>
      <c r="CY13" s="146"/>
      <c r="CZ13" s="146"/>
      <c r="DA13" s="146"/>
      <c r="DB13" s="146"/>
      <c r="DC13" s="146"/>
      <c r="DD13" s="146">
        <f t="shared" si="19"/>
        <v>994</v>
      </c>
      <c r="DE13" s="146">
        <f t="shared" si="20"/>
        <v>1142</v>
      </c>
      <c r="DF13" s="146">
        <f t="shared" si="21"/>
        <v>1423</v>
      </c>
      <c r="DG13" s="146">
        <f t="shared" si="22"/>
        <v>1565.3000000000002</v>
      </c>
      <c r="DH13" s="146">
        <f>+DG13*1.05</f>
        <v>1643.5650000000003</v>
      </c>
      <c r="DI13" s="146">
        <f t="shared" ref="DI13:DS13" si="56">+DH13*1.05</f>
        <v>1725.7432500000004</v>
      </c>
      <c r="DJ13" s="146">
        <f t="shared" si="56"/>
        <v>1812.0304125000005</v>
      </c>
      <c r="DK13" s="146">
        <f t="shared" si="56"/>
        <v>1902.6319331250006</v>
      </c>
      <c r="DL13" s="146">
        <f t="shared" si="56"/>
        <v>1997.7635297812508</v>
      </c>
      <c r="DM13" s="146">
        <f t="shared" si="56"/>
        <v>2097.6517062703133</v>
      </c>
      <c r="DN13" s="146">
        <f t="shared" si="56"/>
        <v>2202.5342915838291</v>
      </c>
      <c r="DO13" s="146">
        <f t="shared" si="56"/>
        <v>2312.6610061630208</v>
      </c>
      <c r="DP13" s="146">
        <f t="shared" si="56"/>
        <v>2428.2940564711721</v>
      </c>
      <c r="DQ13" s="146">
        <f t="shared" si="56"/>
        <v>2549.708759294731</v>
      </c>
      <c r="DR13" s="146">
        <f t="shared" si="56"/>
        <v>2677.1941972594677</v>
      </c>
      <c r="DS13" s="146">
        <f t="shared" si="56"/>
        <v>2811.0539071224412</v>
      </c>
    </row>
    <row r="14" spans="1:124" x14ac:dyDescent="0.2">
      <c r="B14" s="112" t="s">
        <v>1343</v>
      </c>
      <c r="C14" s="172"/>
      <c r="D14" s="172"/>
      <c r="E14" s="172"/>
      <c r="F14" s="172"/>
      <c r="G14" s="147"/>
      <c r="H14" s="147"/>
      <c r="I14" s="147"/>
      <c r="J14" s="147"/>
      <c r="AR14" s="73">
        <v>11</v>
      </c>
      <c r="BO14" s="73">
        <v>285</v>
      </c>
      <c r="BP14" s="73">
        <v>242</v>
      </c>
      <c r="BQ14" s="73">
        <v>323</v>
      </c>
      <c r="BR14" s="73">
        <v>274</v>
      </c>
      <c r="BS14" s="73">
        <v>268</v>
      </c>
      <c r="BT14" s="73">
        <v>312</v>
      </c>
      <c r="BU14" s="73">
        <v>261</v>
      </c>
      <c r="BV14" s="73">
        <v>280</v>
      </c>
      <c r="BW14" s="73">
        <v>275</v>
      </c>
      <c r="BX14" s="73">
        <v>309</v>
      </c>
      <c r="BY14" s="73">
        <v>312</v>
      </c>
      <c r="BZ14" s="73">
        <v>249</v>
      </c>
      <c r="CA14" s="73">
        <f t="shared" si="52"/>
        <v>302.5</v>
      </c>
      <c r="CB14" s="73">
        <f t="shared" si="53"/>
        <v>339.90000000000003</v>
      </c>
      <c r="CC14" s="73">
        <f t="shared" si="54"/>
        <v>343.20000000000005</v>
      </c>
      <c r="CD14" s="73">
        <f t="shared" si="55"/>
        <v>273.90000000000003</v>
      </c>
      <c r="CL14" s="147"/>
      <c r="CM14" s="147"/>
      <c r="CN14" s="147"/>
      <c r="CO14" s="146"/>
      <c r="CP14" s="146"/>
      <c r="CQ14" s="147"/>
      <c r="CR14" s="147"/>
      <c r="CS14" s="146"/>
      <c r="CT14" s="146"/>
      <c r="CU14" s="146"/>
      <c r="CV14" s="146"/>
      <c r="CW14" s="146"/>
      <c r="CX14" s="146"/>
      <c r="CY14" s="146"/>
      <c r="CZ14" s="146"/>
      <c r="DD14" s="146">
        <f t="shared" si="19"/>
        <v>1124</v>
      </c>
      <c r="DE14" s="146">
        <f t="shared" si="20"/>
        <v>1121</v>
      </c>
      <c r="DF14" s="146">
        <f t="shared" si="21"/>
        <v>1145</v>
      </c>
      <c r="DG14" s="146">
        <f t="shared" si="22"/>
        <v>1259.5000000000002</v>
      </c>
      <c r="DH14" s="151">
        <f>+DG14*1.03</f>
        <v>1297.2850000000003</v>
      </c>
      <c r="DI14" s="151">
        <f t="shared" ref="DI14:DS14" si="57">+DH14*1.03</f>
        <v>1336.2035500000004</v>
      </c>
      <c r="DJ14" s="151">
        <f t="shared" si="57"/>
        <v>1376.2896565000005</v>
      </c>
      <c r="DK14" s="151">
        <f t="shared" si="57"/>
        <v>1417.5783461950007</v>
      </c>
      <c r="DL14" s="151">
        <f t="shared" si="57"/>
        <v>1460.1056965808507</v>
      </c>
      <c r="DM14" s="151">
        <f t="shared" si="57"/>
        <v>1503.9088674782763</v>
      </c>
      <c r="DN14" s="151">
        <f t="shared" si="57"/>
        <v>1549.0261335026246</v>
      </c>
      <c r="DO14" s="151">
        <f t="shared" si="57"/>
        <v>1595.4969175077033</v>
      </c>
      <c r="DP14" s="151">
        <f t="shared" si="57"/>
        <v>1643.3618250329343</v>
      </c>
      <c r="DQ14" s="151">
        <f t="shared" si="57"/>
        <v>1692.6626797839224</v>
      </c>
      <c r="DR14" s="151">
        <f t="shared" si="57"/>
        <v>1743.4425601774401</v>
      </c>
      <c r="DS14" s="151">
        <f t="shared" si="57"/>
        <v>1795.7458369827634</v>
      </c>
    </row>
    <row r="15" spans="1:124" x14ac:dyDescent="0.2">
      <c r="B15" s="65" t="s">
        <v>569</v>
      </c>
      <c r="C15" s="172"/>
      <c r="D15" s="172"/>
      <c r="E15" s="172"/>
      <c r="F15" s="172"/>
      <c r="G15" s="147"/>
      <c r="H15" s="147"/>
      <c r="I15" s="147"/>
      <c r="J15" s="147"/>
      <c r="AF15" s="73">
        <v>0</v>
      </c>
      <c r="AG15" s="73">
        <v>0</v>
      </c>
      <c r="AH15" s="73">
        <v>0</v>
      </c>
      <c r="AI15" s="73">
        <v>9</v>
      </c>
      <c r="AJ15" s="73">
        <v>12</v>
      </c>
      <c r="AP15" s="73">
        <v>37</v>
      </c>
      <c r="AR15" s="73">
        <v>41</v>
      </c>
      <c r="BO15" s="73">
        <v>151</v>
      </c>
      <c r="BP15" s="73">
        <v>177</v>
      </c>
      <c r="BQ15" s="73">
        <v>186</v>
      </c>
      <c r="BR15" s="73">
        <v>205</v>
      </c>
      <c r="BS15" s="73">
        <v>178</v>
      </c>
      <c r="BT15" s="73">
        <v>214</v>
      </c>
      <c r="BU15" s="73">
        <v>238</v>
      </c>
      <c r="BV15" s="73">
        <v>244</v>
      </c>
      <c r="BW15" s="73">
        <v>215</v>
      </c>
      <c r="BX15" s="73">
        <v>297</v>
      </c>
      <c r="BY15" s="73">
        <v>308</v>
      </c>
      <c r="BZ15" s="73">
        <v>326</v>
      </c>
      <c r="CA15" s="73">
        <f t="shared" si="52"/>
        <v>236.50000000000003</v>
      </c>
      <c r="CB15" s="73">
        <f t="shared" si="53"/>
        <v>326.70000000000005</v>
      </c>
      <c r="CC15" s="73">
        <f t="shared" si="54"/>
        <v>338.8</v>
      </c>
      <c r="CD15" s="73">
        <f t="shared" si="55"/>
        <v>358.6</v>
      </c>
      <c r="CL15" s="147"/>
      <c r="CM15" s="147"/>
      <c r="CN15" s="147"/>
      <c r="CO15" s="146"/>
      <c r="CP15" s="146"/>
      <c r="CQ15" s="147" t="s">
        <v>449</v>
      </c>
      <c r="CR15" s="147" t="s">
        <v>449</v>
      </c>
      <c r="CS15" s="146" t="s">
        <v>449</v>
      </c>
      <c r="CT15" s="167" t="s">
        <v>449</v>
      </c>
      <c r="CU15" s="146">
        <v>300</v>
      </c>
      <c r="CV15" s="146">
        <v>800</v>
      </c>
      <c r="CW15" s="146">
        <v>1100</v>
      </c>
      <c r="CX15" s="146">
        <v>1400</v>
      </c>
      <c r="CY15" s="146">
        <v>1500</v>
      </c>
      <c r="CZ15" s="146">
        <v>1600</v>
      </c>
      <c r="DA15" s="146">
        <v>1700</v>
      </c>
      <c r="DB15" s="146"/>
      <c r="DC15" s="146"/>
      <c r="DD15" s="146">
        <f t="shared" si="19"/>
        <v>719</v>
      </c>
      <c r="DE15" s="146">
        <f t="shared" ref="DE15" si="58">SUM(BS15:BV15)</f>
        <v>874</v>
      </c>
      <c r="DF15" s="146">
        <f t="shared" ref="DF15" si="59">SUM(BW15:BZ15)</f>
        <v>1146</v>
      </c>
      <c r="DG15" s="146">
        <f t="shared" ref="DG15" si="60">SUM(CA15:CD15)</f>
        <v>1260.5999999999999</v>
      </c>
      <c r="DH15" s="146">
        <f>+DG15*1.05</f>
        <v>1323.6299999999999</v>
      </c>
      <c r="DI15" s="146">
        <f t="shared" ref="DI15:DS15" si="61">+DH15*1.05</f>
        <v>1389.8115</v>
      </c>
      <c r="DJ15" s="146">
        <f t="shared" si="61"/>
        <v>1459.3020750000001</v>
      </c>
      <c r="DK15" s="146">
        <f t="shared" si="61"/>
        <v>1532.2671787500001</v>
      </c>
      <c r="DL15" s="146">
        <f t="shared" si="61"/>
        <v>1608.8805376875002</v>
      </c>
      <c r="DM15" s="146">
        <f t="shared" si="61"/>
        <v>1689.3245645718753</v>
      </c>
      <c r="DN15" s="146">
        <f t="shared" si="61"/>
        <v>1773.790792800469</v>
      </c>
      <c r="DO15" s="146">
        <f t="shared" si="61"/>
        <v>1862.4803324404925</v>
      </c>
      <c r="DP15" s="146">
        <f t="shared" si="61"/>
        <v>1955.6043490625173</v>
      </c>
      <c r="DQ15" s="146">
        <f t="shared" si="61"/>
        <v>2053.3845665156432</v>
      </c>
      <c r="DR15" s="146">
        <f t="shared" si="61"/>
        <v>2156.0537948414253</v>
      </c>
      <c r="DS15" s="146">
        <f t="shared" si="61"/>
        <v>2263.8564845834967</v>
      </c>
    </row>
    <row r="16" spans="1:124" x14ac:dyDescent="0.2">
      <c r="B16" s="65" t="s">
        <v>590</v>
      </c>
      <c r="C16" s="171"/>
      <c r="D16" s="171"/>
      <c r="E16" s="171"/>
      <c r="F16" s="171"/>
      <c r="G16" s="147"/>
      <c r="H16" s="147"/>
      <c r="I16" s="147"/>
      <c r="J16" s="147"/>
      <c r="K16" s="147"/>
      <c r="W16" s="73">
        <v>116</v>
      </c>
      <c r="X16" s="73">
        <v>112</v>
      </c>
      <c r="Y16" s="73">
        <v>110</v>
      </c>
      <c r="Z16" s="73">
        <v>139</v>
      </c>
      <c r="AA16" s="73">
        <v>116</v>
      </c>
      <c r="AB16" s="73">
        <v>134</v>
      </c>
      <c r="AC16" s="73">
        <v>130</v>
      </c>
      <c r="AD16" s="73">
        <v>142</v>
      </c>
      <c r="AE16" s="73">
        <v>146</v>
      </c>
      <c r="AF16" s="73">
        <v>149</v>
      </c>
      <c r="AG16" s="73">
        <v>136</v>
      </c>
      <c r="AH16" s="73">
        <v>171</v>
      </c>
      <c r="AI16" s="73">
        <v>155</v>
      </c>
      <c r="AJ16" s="73">
        <v>147</v>
      </c>
      <c r="AK16" s="73">
        <v>152</v>
      </c>
      <c r="AP16" s="73">
        <v>175</v>
      </c>
      <c r="AR16" s="73">
        <v>155</v>
      </c>
      <c r="BO16" s="73">
        <v>253</v>
      </c>
      <c r="BP16" s="73">
        <v>144</v>
      </c>
      <c r="BQ16" s="73">
        <v>177</v>
      </c>
      <c r="BR16" s="73">
        <v>211</v>
      </c>
      <c r="BS16" s="73">
        <v>189</v>
      </c>
      <c r="BT16" s="73">
        <v>167</v>
      </c>
      <c r="BU16" s="73">
        <v>178</v>
      </c>
      <c r="BV16" s="73">
        <v>184</v>
      </c>
      <c r="BW16" s="73">
        <v>201</v>
      </c>
      <c r="BX16" s="73">
        <v>174</v>
      </c>
      <c r="BY16" s="73">
        <v>190</v>
      </c>
      <c r="BZ16" s="73">
        <v>206</v>
      </c>
      <c r="CA16" s="73">
        <f t="shared" ref="CA16:CA25" si="62">+BW16*0.9</f>
        <v>180.9</v>
      </c>
      <c r="CB16" s="73">
        <f t="shared" ref="CB16:CB25" si="63">+BX16*0.9</f>
        <v>156.6</v>
      </c>
      <c r="CC16" s="73">
        <f t="shared" ref="CC16:CC25" si="64">+BY16*0.9</f>
        <v>171</v>
      </c>
      <c r="CD16" s="73">
        <f t="shared" ref="CD16:CD25" si="65">+BZ16*0.9</f>
        <v>185.4</v>
      </c>
      <c r="CL16" s="146">
        <v>0</v>
      </c>
      <c r="CM16" s="146"/>
      <c r="CN16" s="146"/>
      <c r="CO16" s="146"/>
      <c r="CP16" s="147"/>
      <c r="CQ16" s="147"/>
      <c r="CR16" s="147"/>
      <c r="CS16" s="146">
        <f>SUM(W16:AA16)</f>
        <v>593</v>
      </c>
      <c r="CT16" s="146">
        <f>SUM(AA16:AD16)</f>
        <v>522</v>
      </c>
      <c r="CU16" s="147">
        <f>+CT16*1.05</f>
        <v>548.1</v>
      </c>
      <c r="CV16" s="147">
        <f t="shared" ref="CV16:DA16" si="66">+CU16*1.05</f>
        <v>575.505</v>
      </c>
      <c r="CW16" s="147">
        <f t="shared" si="66"/>
        <v>604.28025000000002</v>
      </c>
      <c r="CX16" s="147">
        <f t="shared" si="66"/>
        <v>634.4942625000001</v>
      </c>
      <c r="CY16" s="147">
        <f t="shared" si="66"/>
        <v>666.2189756250001</v>
      </c>
      <c r="CZ16" s="147">
        <f t="shared" si="66"/>
        <v>699.52992440625019</v>
      </c>
      <c r="DA16" s="147">
        <f t="shared" si="66"/>
        <v>734.50642062656277</v>
      </c>
      <c r="DB16" s="147"/>
      <c r="DC16" s="147"/>
      <c r="DD16" s="146">
        <f t="shared" si="19"/>
        <v>785</v>
      </c>
      <c r="DE16" s="146">
        <f t="shared" ref="DE16:DE18" si="67">SUM(BS16:BV16)</f>
        <v>718</v>
      </c>
      <c r="DF16" s="146">
        <f t="shared" ref="DF16:DF18" si="68">SUM(BW16:BZ16)</f>
        <v>771</v>
      </c>
      <c r="DG16" s="146">
        <f t="shared" ref="DG16:DG18" si="69">SUM(CA16:CD16)</f>
        <v>693.9</v>
      </c>
      <c r="DH16" s="147">
        <f t="shared" ref="DH16:DI16" si="70">+DG16*1.05</f>
        <v>728.59500000000003</v>
      </c>
      <c r="DI16" s="147">
        <f t="shared" si="70"/>
        <v>765.02475000000004</v>
      </c>
      <c r="DJ16" s="147">
        <f>+DI16*0.9</f>
        <v>688.52227500000004</v>
      </c>
      <c r="DK16" s="147">
        <f t="shared" ref="DK16:DS16" si="71">+DJ16*0.9</f>
        <v>619.67004750000001</v>
      </c>
      <c r="DL16" s="147">
        <f t="shared" si="71"/>
        <v>557.70304275000001</v>
      </c>
      <c r="DM16" s="147">
        <f t="shared" si="71"/>
        <v>501.93273847500001</v>
      </c>
      <c r="DN16" s="147">
        <f t="shared" si="71"/>
        <v>451.73946462750001</v>
      </c>
      <c r="DO16" s="147">
        <f t="shared" si="71"/>
        <v>406.56551816475002</v>
      </c>
      <c r="DP16" s="147">
        <f t="shared" si="71"/>
        <v>365.90896634827504</v>
      </c>
      <c r="DQ16" s="147">
        <f t="shared" si="71"/>
        <v>329.31806971344753</v>
      </c>
      <c r="DR16" s="147">
        <f t="shared" si="71"/>
        <v>296.38626274210276</v>
      </c>
      <c r="DS16" s="147">
        <f t="shared" si="71"/>
        <v>266.74763646789251</v>
      </c>
    </row>
    <row r="17" spans="2:123" x14ac:dyDescent="0.2">
      <c r="B17" s="65" t="s">
        <v>364</v>
      </c>
      <c r="C17" s="171">
        <v>76</v>
      </c>
      <c r="D17" s="171">
        <v>86</v>
      </c>
      <c r="E17" s="171">
        <v>95</v>
      </c>
      <c r="F17" s="171">
        <v>99</v>
      </c>
      <c r="G17" s="147">
        <v>83</v>
      </c>
      <c r="H17" s="147">
        <v>102</v>
      </c>
      <c r="I17" s="147">
        <v>140</v>
      </c>
      <c r="J17" s="147">
        <v>121</v>
      </c>
      <c r="K17" s="147">
        <v>124</v>
      </c>
      <c r="L17" s="73">
        <v>129</v>
      </c>
      <c r="M17" s="73">
        <v>122</v>
      </c>
      <c r="N17" s="73">
        <v>136</v>
      </c>
      <c r="O17" s="73">
        <v>134</v>
      </c>
      <c r="P17" s="73">
        <v>135</v>
      </c>
      <c r="Q17" s="73">
        <v>137</v>
      </c>
      <c r="R17" s="73">
        <v>137</v>
      </c>
      <c r="S17" s="73">
        <v>153</v>
      </c>
      <c r="T17" s="73">
        <v>167</v>
      </c>
      <c r="U17" s="73">
        <v>168</v>
      </c>
      <c r="V17" s="73">
        <v>194</v>
      </c>
      <c r="W17" s="73">
        <v>175</v>
      </c>
      <c r="X17" s="73">
        <v>154</v>
      </c>
      <c r="Y17" s="73">
        <v>167</v>
      </c>
      <c r="Z17" s="73">
        <v>153</v>
      </c>
      <c r="AA17" s="73">
        <v>166</v>
      </c>
      <c r="AB17" s="73">
        <v>176</v>
      </c>
      <c r="AC17" s="73">
        <v>168</v>
      </c>
      <c r="AD17" s="73">
        <v>190</v>
      </c>
      <c r="AE17" s="73">
        <v>161</v>
      </c>
      <c r="AF17" s="73">
        <v>156</v>
      </c>
      <c r="AG17" s="73">
        <v>192</v>
      </c>
      <c r="AH17" s="73">
        <v>181</v>
      </c>
      <c r="AI17" s="73">
        <v>161</v>
      </c>
      <c r="AJ17" s="73">
        <v>179</v>
      </c>
      <c r="AK17" s="73">
        <v>200</v>
      </c>
      <c r="AP17" s="73">
        <v>208</v>
      </c>
      <c r="AR17" s="73">
        <v>202</v>
      </c>
      <c r="BO17" s="73">
        <v>180</v>
      </c>
      <c r="BP17" s="73">
        <v>119</v>
      </c>
      <c r="BQ17" s="73">
        <v>158</v>
      </c>
      <c r="BR17" s="73">
        <v>172</v>
      </c>
      <c r="BS17" s="73">
        <v>136</v>
      </c>
      <c r="BT17" s="73">
        <v>136</v>
      </c>
      <c r="BU17" s="73">
        <v>156</v>
      </c>
      <c r="BV17" s="73">
        <v>115</v>
      </c>
      <c r="BW17" s="73">
        <v>175</v>
      </c>
      <c r="BX17" s="73">
        <v>120</v>
      </c>
      <c r="BY17" s="73">
        <v>188</v>
      </c>
      <c r="BZ17" s="73">
        <v>111</v>
      </c>
      <c r="CA17" s="73">
        <f t="shared" si="62"/>
        <v>157.5</v>
      </c>
      <c r="CB17" s="73">
        <f t="shared" si="63"/>
        <v>108</v>
      </c>
      <c r="CC17" s="73">
        <f t="shared" si="64"/>
        <v>169.20000000000002</v>
      </c>
      <c r="CD17" s="73">
        <f t="shared" si="65"/>
        <v>99.9</v>
      </c>
      <c r="CL17" s="146">
        <v>254</v>
      </c>
      <c r="CM17" s="146">
        <v>336</v>
      </c>
      <c r="CN17" s="146">
        <v>356</v>
      </c>
      <c r="CO17" s="146">
        <v>431</v>
      </c>
      <c r="CP17" s="147">
        <f>SUM(K17:N17)</f>
        <v>511</v>
      </c>
      <c r="CQ17" s="147">
        <f>SUM(O17:R17)</f>
        <v>543</v>
      </c>
      <c r="CR17" s="147">
        <f>SUM(S17:V17)</f>
        <v>682</v>
      </c>
      <c r="CS17" s="146">
        <f>SUM(W17:Z17)</f>
        <v>649</v>
      </c>
      <c r="CT17" s="146">
        <f>SUM(AA17:AD17)</f>
        <v>700</v>
      </c>
      <c r="CU17" s="147">
        <f>SUM(AE17:AH17)</f>
        <v>690</v>
      </c>
      <c r="CV17" s="147">
        <f>CU17*0.99</f>
        <v>683.1</v>
      </c>
      <c r="CW17" s="147">
        <f t="shared" ref="CW17:DI17" si="72">CV17*0.99</f>
        <v>676.26900000000001</v>
      </c>
      <c r="CX17" s="147">
        <f t="shared" si="72"/>
        <v>669.50630999999998</v>
      </c>
      <c r="CY17" s="147">
        <f t="shared" si="72"/>
        <v>662.81124690000001</v>
      </c>
      <c r="CZ17" s="147">
        <f t="shared" si="72"/>
        <v>656.18313443099998</v>
      </c>
      <c r="DA17" s="147">
        <f t="shared" si="72"/>
        <v>649.62130308668998</v>
      </c>
      <c r="DB17" s="147"/>
      <c r="DC17" s="147"/>
      <c r="DD17" s="146">
        <f t="shared" si="19"/>
        <v>629</v>
      </c>
      <c r="DE17" s="146">
        <f t="shared" si="67"/>
        <v>543</v>
      </c>
      <c r="DF17" s="146">
        <f t="shared" si="68"/>
        <v>594</v>
      </c>
      <c r="DG17" s="146">
        <f t="shared" si="69"/>
        <v>534.6</v>
      </c>
      <c r="DH17" s="147">
        <f t="shared" si="72"/>
        <v>529.25400000000002</v>
      </c>
      <c r="DI17" s="147">
        <f t="shared" si="72"/>
        <v>523.96145999999999</v>
      </c>
      <c r="DJ17" s="147">
        <f t="shared" ref="DJ17:DS17" si="73">+DI17*0.9</f>
        <v>471.565314</v>
      </c>
      <c r="DK17" s="147">
        <f t="shared" si="73"/>
        <v>424.40878259999999</v>
      </c>
      <c r="DL17" s="147">
        <f t="shared" si="73"/>
        <v>381.96790434000002</v>
      </c>
      <c r="DM17" s="147">
        <f t="shared" si="73"/>
        <v>343.77111390600004</v>
      </c>
      <c r="DN17" s="147">
        <f t="shared" si="73"/>
        <v>309.39400251540002</v>
      </c>
      <c r="DO17" s="147">
        <f t="shared" si="73"/>
        <v>278.45460226386001</v>
      </c>
      <c r="DP17" s="147">
        <f t="shared" si="73"/>
        <v>250.60914203747402</v>
      </c>
      <c r="DQ17" s="147">
        <f t="shared" si="73"/>
        <v>225.54822783372663</v>
      </c>
      <c r="DR17" s="147">
        <f t="shared" si="73"/>
        <v>202.99340505035397</v>
      </c>
      <c r="DS17" s="147">
        <f t="shared" si="73"/>
        <v>182.69406454531858</v>
      </c>
    </row>
    <row r="18" spans="2:123" x14ac:dyDescent="0.2">
      <c r="B18" s="112" t="s">
        <v>1392</v>
      </c>
      <c r="C18" s="171"/>
      <c r="D18" s="171"/>
      <c r="E18" s="171"/>
      <c r="F18" s="171"/>
      <c r="G18" s="147"/>
      <c r="H18" s="147"/>
      <c r="I18" s="147"/>
      <c r="J18" s="147"/>
      <c r="K18" s="147"/>
      <c r="BO18" s="73">
        <v>164</v>
      </c>
      <c r="BP18" s="73">
        <v>108</v>
      </c>
      <c r="BQ18" s="73">
        <v>219</v>
      </c>
      <c r="BR18" s="73">
        <v>159</v>
      </c>
      <c r="BS18" s="73">
        <v>134</v>
      </c>
      <c r="BT18" s="73">
        <v>165</v>
      </c>
      <c r="BU18" s="73">
        <v>224</v>
      </c>
      <c r="BV18" s="73">
        <v>127</v>
      </c>
      <c r="BW18" s="73">
        <v>163</v>
      </c>
      <c r="BX18" s="73">
        <v>165</v>
      </c>
      <c r="BY18" s="73">
        <v>275</v>
      </c>
      <c r="BZ18" s="73">
        <v>150</v>
      </c>
      <c r="CA18" s="73">
        <f t="shared" si="62"/>
        <v>146.70000000000002</v>
      </c>
      <c r="CB18" s="73">
        <f t="shared" si="63"/>
        <v>148.5</v>
      </c>
      <c r="CC18" s="73">
        <f t="shared" si="64"/>
        <v>247.5</v>
      </c>
      <c r="CD18" s="73">
        <f t="shared" si="65"/>
        <v>135</v>
      </c>
      <c r="CL18" s="146"/>
      <c r="CM18" s="146"/>
      <c r="CN18" s="146"/>
      <c r="CO18" s="146"/>
      <c r="CP18" s="147"/>
      <c r="CQ18" s="147"/>
      <c r="CR18" s="147"/>
      <c r="CS18" s="146"/>
      <c r="CT18" s="146"/>
      <c r="CU18" s="147"/>
      <c r="CV18" s="147"/>
      <c r="CW18" s="147"/>
      <c r="CX18" s="147"/>
      <c r="CY18" s="147"/>
      <c r="CZ18" s="147"/>
      <c r="DA18" s="147"/>
      <c r="DB18" s="147"/>
      <c r="DC18" s="147"/>
      <c r="DD18" s="146">
        <f t="shared" si="19"/>
        <v>650</v>
      </c>
      <c r="DE18" s="146">
        <f t="shared" si="67"/>
        <v>650</v>
      </c>
      <c r="DF18" s="146">
        <f t="shared" si="68"/>
        <v>753</v>
      </c>
      <c r="DG18" s="146">
        <f t="shared" si="69"/>
        <v>677.7</v>
      </c>
      <c r="DH18" s="147">
        <f>+DG18*0.9</f>
        <v>609.93000000000006</v>
      </c>
      <c r="DI18" s="147">
        <f>+DH18*0.9</f>
        <v>548.93700000000013</v>
      </c>
      <c r="DJ18" s="147">
        <f t="shared" ref="DJ18:DS18" si="74">+DI18*0.9</f>
        <v>494.0433000000001</v>
      </c>
      <c r="DK18" s="147">
        <f t="shared" si="74"/>
        <v>444.63897000000009</v>
      </c>
      <c r="DL18" s="147">
        <f t="shared" si="74"/>
        <v>400.17507300000011</v>
      </c>
      <c r="DM18" s="147">
        <f t="shared" si="74"/>
        <v>360.15756570000013</v>
      </c>
      <c r="DN18" s="147">
        <f t="shared" si="74"/>
        <v>324.14180913000013</v>
      </c>
      <c r="DO18" s="147">
        <f t="shared" si="74"/>
        <v>291.72762821700013</v>
      </c>
      <c r="DP18" s="147">
        <f t="shared" si="74"/>
        <v>262.55486539530011</v>
      </c>
      <c r="DQ18" s="147">
        <f t="shared" si="74"/>
        <v>236.2993788557701</v>
      </c>
      <c r="DR18" s="147">
        <f t="shared" si="74"/>
        <v>212.66944097019311</v>
      </c>
      <c r="DS18" s="147">
        <f t="shared" si="74"/>
        <v>191.40249687317379</v>
      </c>
    </row>
    <row r="19" spans="2:123" x14ac:dyDescent="0.2">
      <c r="B19" s="65" t="s">
        <v>77</v>
      </c>
      <c r="C19" s="171">
        <v>0</v>
      </c>
      <c r="D19" s="171">
        <v>0</v>
      </c>
      <c r="E19" s="171">
        <v>0</v>
      </c>
      <c r="F19" s="171">
        <v>0</v>
      </c>
      <c r="G19" s="147">
        <v>0</v>
      </c>
      <c r="H19" s="147">
        <v>0</v>
      </c>
      <c r="I19" s="147">
        <v>11</v>
      </c>
      <c r="J19" s="147">
        <v>0</v>
      </c>
      <c r="K19" s="146">
        <v>10</v>
      </c>
      <c r="L19" s="73">
        <v>15</v>
      </c>
      <c r="M19" s="73">
        <v>18</v>
      </c>
      <c r="N19" s="73">
        <v>18</v>
      </c>
      <c r="O19" s="73">
        <v>13</v>
      </c>
      <c r="P19" s="73">
        <v>14</v>
      </c>
      <c r="Q19" s="73">
        <v>26</v>
      </c>
      <c r="R19" s="73">
        <v>13</v>
      </c>
      <c r="S19" s="73">
        <v>13</v>
      </c>
      <c r="T19" s="73">
        <v>18</v>
      </c>
      <c r="U19" s="73">
        <v>22</v>
      </c>
      <c r="V19" s="73">
        <v>17</v>
      </c>
      <c r="W19" s="73">
        <v>26</v>
      </c>
      <c r="X19" s="73">
        <v>39</v>
      </c>
      <c r="Y19" s="73">
        <v>39</v>
      </c>
      <c r="Z19" s="73">
        <v>35</v>
      </c>
      <c r="AA19" s="73">
        <v>30</v>
      </c>
      <c r="AB19" s="73">
        <v>43</v>
      </c>
      <c r="AC19" s="73">
        <v>59</v>
      </c>
      <c r="AD19" s="73">
        <v>49</v>
      </c>
      <c r="AE19" s="73">
        <v>32</v>
      </c>
      <c r="AF19" s="73">
        <v>53</v>
      </c>
      <c r="AG19" s="73">
        <v>62</v>
      </c>
      <c r="AH19" s="73">
        <v>45</v>
      </c>
      <c r="AI19" s="73">
        <v>47</v>
      </c>
      <c r="AJ19" s="73">
        <v>58</v>
      </c>
      <c r="AP19" s="73">
        <v>91</v>
      </c>
      <c r="AR19" s="73">
        <v>94</v>
      </c>
      <c r="BO19" s="73">
        <v>112</v>
      </c>
      <c r="BP19" s="73">
        <v>76</v>
      </c>
      <c r="BQ19" s="73">
        <v>163</v>
      </c>
      <c r="BR19" s="73">
        <v>125</v>
      </c>
      <c r="BS19" s="73">
        <v>94</v>
      </c>
      <c r="BT19" s="73">
        <v>146</v>
      </c>
      <c r="BU19" s="73">
        <v>167</v>
      </c>
      <c r="BV19" s="73">
        <v>114</v>
      </c>
      <c r="BW19" s="73">
        <v>126</v>
      </c>
      <c r="BX19" s="73">
        <v>158</v>
      </c>
      <c r="BY19" s="73">
        <v>179</v>
      </c>
      <c r="BZ19" s="73">
        <v>131</v>
      </c>
      <c r="CA19" s="73">
        <f t="shared" si="62"/>
        <v>113.4</v>
      </c>
      <c r="CB19" s="73">
        <f t="shared" si="63"/>
        <v>142.20000000000002</v>
      </c>
      <c r="CC19" s="73">
        <f t="shared" si="64"/>
        <v>161.1</v>
      </c>
      <c r="CD19" s="73">
        <f t="shared" si="65"/>
        <v>117.9</v>
      </c>
      <c r="CL19" s="146"/>
      <c r="CM19" s="146">
        <v>0</v>
      </c>
      <c r="CN19" s="146">
        <v>0</v>
      </c>
      <c r="CO19" s="146">
        <v>11</v>
      </c>
      <c r="CP19" s="147">
        <f>SUM(K19:N19)</f>
        <v>61</v>
      </c>
      <c r="CQ19" s="147">
        <f>SUM(O19:R19)</f>
        <v>66</v>
      </c>
      <c r="CR19" s="147">
        <f>SUM(S19:V19)</f>
        <v>70</v>
      </c>
      <c r="CS19" s="146">
        <f>SUM(W19:Z19)</f>
        <v>139</v>
      </c>
      <c r="CT19" s="146">
        <f t="shared" ref="CT19:CZ19" si="75">CS19*1.05</f>
        <v>145.95000000000002</v>
      </c>
      <c r="CU19" s="146">
        <f>CT19*1.05</f>
        <v>153.24750000000003</v>
      </c>
      <c r="CV19" s="146">
        <f t="shared" si="75"/>
        <v>160.90987500000003</v>
      </c>
      <c r="CW19" s="146">
        <f t="shared" si="75"/>
        <v>168.95536875000005</v>
      </c>
      <c r="CX19" s="146">
        <f t="shared" si="75"/>
        <v>177.40313718750005</v>
      </c>
      <c r="CY19" s="146">
        <f t="shared" si="75"/>
        <v>186.27329404687507</v>
      </c>
      <c r="CZ19" s="146">
        <f t="shared" si="75"/>
        <v>195.58695874921884</v>
      </c>
      <c r="DA19" s="146">
        <f>CZ19*1.05</f>
        <v>205.36630668667979</v>
      </c>
      <c r="DB19" s="146">
        <f>DA19*1.05</f>
        <v>215.6346220210138</v>
      </c>
      <c r="DC19" s="146"/>
      <c r="DD19" s="146">
        <f t="shared" si="19"/>
        <v>476</v>
      </c>
      <c r="DE19" s="146">
        <f t="shared" ref="DE19:DE27" si="76">SUM(BS19:BV19)</f>
        <v>521</v>
      </c>
      <c r="DF19" s="146">
        <f t="shared" ref="DF19:DF27" si="77">SUM(BW19:BZ19)</f>
        <v>594</v>
      </c>
      <c r="DG19" s="146">
        <f t="shared" ref="DG19:DG27" si="78">SUM(CA19:CD19)</f>
        <v>534.6</v>
      </c>
      <c r="DH19" s="146">
        <f t="shared" ref="DH19:DI19" si="79">DG19*1.05</f>
        <v>561.33000000000004</v>
      </c>
      <c r="DI19" s="146">
        <f t="shared" si="79"/>
        <v>589.39650000000006</v>
      </c>
      <c r="DJ19" s="147">
        <f t="shared" ref="DJ19:DS19" si="80">+DI19*0.9</f>
        <v>530.45685000000003</v>
      </c>
      <c r="DK19" s="147">
        <f t="shared" si="80"/>
        <v>477.41116500000004</v>
      </c>
      <c r="DL19" s="147">
        <f t="shared" si="80"/>
        <v>429.67004850000006</v>
      </c>
      <c r="DM19" s="147">
        <f t="shared" si="80"/>
        <v>386.70304365000004</v>
      </c>
      <c r="DN19" s="147">
        <f t="shared" si="80"/>
        <v>348.03273928500005</v>
      </c>
      <c r="DO19" s="147">
        <f t="shared" si="80"/>
        <v>313.22946535650004</v>
      </c>
      <c r="DP19" s="147">
        <f t="shared" si="80"/>
        <v>281.90651882085007</v>
      </c>
      <c r="DQ19" s="147">
        <f t="shared" si="80"/>
        <v>253.71586693876506</v>
      </c>
      <c r="DR19" s="147">
        <f t="shared" si="80"/>
        <v>228.34428024488855</v>
      </c>
      <c r="DS19" s="147">
        <f t="shared" si="80"/>
        <v>205.50985222039969</v>
      </c>
    </row>
    <row r="20" spans="2:123" x14ac:dyDescent="0.2">
      <c r="B20" s="65" t="s">
        <v>361</v>
      </c>
      <c r="C20" s="171">
        <v>90</v>
      </c>
      <c r="D20" s="171">
        <v>105</v>
      </c>
      <c r="E20" s="171">
        <v>101</v>
      </c>
      <c r="F20" s="171">
        <v>109</v>
      </c>
      <c r="G20" s="147">
        <v>94</v>
      </c>
      <c r="H20" s="147">
        <v>116</v>
      </c>
      <c r="I20" s="147">
        <v>121</v>
      </c>
      <c r="J20" s="147">
        <v>113</v>
      </c>
      <c r="K20" s="147">
        <v>116</v>
      </c>
      <c r="L20" s="73">
        <v>121</v>
      </c>
      <c r="M20" s="73">
        <v>114</v>
      </c>
      <c r="N20" s="73">
        <v>128</v>
      </c>
      <c r="O20" s="73">
        <v>113</v>
      </c>
      <c r="P20" s="73">
        <v>128</v>
      </c>
      <c r="Q20" s="73">
        <v>141</v>
      </c>
      <c r="R20" s="73">
        <v>147</v>
      </c>
      <c r="S20" s="73">
        <v>139</v>
      </c>
      <c r="T20" s="73">
        <v>167</v>
      </c>
      <c r="U20" s="73">
        <v>174</v>
      </c>
      <c r="V20" s="73">
        <v>185</v>
      </c>
      <c r="W20" s="73">
        <v>149</v>
      </c>
      <c r="X20" s="73">
        <v>195</v>
      </c>
      <c r="Y20" s="73">
        <v>170</v>
      </c>
      <c r="Z20" s="73">
        <v>151</v>
      </c>
      <c r="AA20" s="73">
        <v>197</v>
      </c>
      <c r="AB20" s="73">
        <v>170</v>
      </c>
      <c r="AC20" s="73">
        <v>189</v>
      </c>
      <c r="AD20" s="73">
        <v>164</v>
      </c>
      <c r="AE20" s="73">
        <v>158</v>
      </c>
      <c r="AF20" s="73">
        <v>191</v>
      </c>
      <c r="AG20" s="73">
        <v>178</v>
      </c>
      <c r="AH20" s="73">
        <v>161</v>
      </c>
      <c r="AI20" s="73">
        <v>153</v>
      </c>
      <c r="AJ20" s="73">
        <v>165</v>
      </c>
      <c r="AK20" s="73">
        <v>168</v>
      </c>
      <c r="AP20" s="73">
        <v>152</v>
      </c>
      <c r="AR20" s="73">
        <v>142</v>
      </c>
      <c r="BO20" s="73">
        <v>213</v>
      </c>
      <c r="BP20" s="73">
        <v>86</v>
      </c>
      <c r="BQ20" s="73">
        <v>138</v>
      </c>
      <c r="BR20" s="73">
        <v>139</v>
      </c>
      <c r="BS20" s="73">
        <v>95</v>
      </c>
      <c r="BT20" s="73">
        <v>110</v>
      </c>
      <c r="BU20" s="73">
        <v>142</v>
      </c>
      <c r="BV20" s="73">
        <v>113</v>
      </c>
      <c r="BW20" s="73">
        <v>122</v>
      </c>
      <c r="BX20" s="73">
        <v>159</v>
      </c>
      <c r="BY20" s="73">
        <v>164</v>
      </c>
      <c r="BZ20" s="73">
        <v>126</v>
      </c>
      <c r="CA20" s="73">
        <f t="shared" si="62"/>
        <v>109.8</v>
      </c>
      <c r="CB20" s="73">
        <f t="shared" si="63"/>
        <v>143.1</v>
      </c>
      <c r="CC20" s="73">
        <f t="shared" si="64"/>
        <v>147.6</v>
      </c>
      <c r="CD20" s="73">
        <f t="shared" si="65"/>
        <v>113.4</v>
      </c>
      <c r="CL20" s="146">
        <v>483</v>
      </c>
      <c r="CM20" s="146">
        <v>417</v>
      </c>
      <c r="CN20" s="146">
        <v>406</v>
      </c>
      <c r="CO20" s="146">
        <v>444</v>
      </c>
      <c r="CP20" s="147">
        <f>SUM(K20:N20)</f>
        <v>479</v>
      </c>
      <c r="CQ20" s="147">
        <f>SUM(O20:R20)</f>
        <v>529</v>
      </c>
      <c r="CR20" s="147">
        <f>SUM(S20:V20)</f>
        <v>665</v>
      </c>
      <c r="CS20" s="146">
        <f>SUM(W20:Z20)</f>
        <v>665</v>
      </c>
      <c r="CT20" s="146">
        <f>SUM(AA20:AD20)</f>
        <v>720</v>
      </c>
      <c r="CU20" s="147">
        <f>CT20*0.99</f>
        <v>712.8</v>
      </c>
      <c r="CV20" s="147">
        <f t="shared" ref="CV20:DA20" si="81">CU20*0.99</f>
        <v>705.67199999999991</v>
      </c>
      <c r="CW20" s="147">
        <f t="shared" si="81"/>
        <v>698.61527999999987</v>
      </c>
      <c r="CX20" s="147">
        <f t="shared" si="81"/>
        <v>691.62912719999986</v>
      </c>
      <c r="CY20" s="147">
        <f t="shared" si="81"/>
        <v>684.71283592799989</v>
      </c>
      <c r="CZ20" s="147">
        <f t="shared" si="81"/>
        <v>677.86570756871993</v>
      </c>
      <c r="DA20" s="147">
        <f t="shared" si="81"/>
        <v>671.08705049303273</v>
      </c>
      <c r="DB20" s="147">
        <f>DA20*0.99</f>
        <v>664.37617998810242</v>
      </c>
      <c r="DC20" s="147"/>
      <c r="DD20" s="146">
        <f t="shared" si="19"/>
        <v>576</v>
      </c>
      <c r="DE20" s="146">
        <f t="shared" si="76"/>
        <v>460</v>
      </c>
      <c r="DF20" s="146">
        <f t="shared" si="77"/>
        <v>571</v>
      </c>
      <c r="DG20" s="146">
        <f t="shared" si="78"/>
        <v>513.9</v>
      </c>
      <c r="DH20" s="147">
        <f t="shared" ref="DH20:DI20" si="82">DG20*0.99</f>
        <v>508.76099999999997</v>
      </c>
      <c r="DI20" s="147">
        <f t="shared" si="82"/>
        <v>503.67338999999998</v>
      </c>
      <c r="DJ20" s="147">
        <f t="shared" ref="DJ20:DS20" si="83">+DI20*0.9</f>
        <v>453.30605099999997</v>
      </c>
      <c r="DK20" s="147">
        <f t="shared" si="83"/>
        <v>407.97544589999995</v>
      </c>
      <c r="DL20" s="147">
        <f t="shared" si="83"/>
        <v>367.17790130999998</v>
      </c>
      <c r="DM20" s="147">
        <f t="shared" si="83"/>
        <v>330.46011117899997</v>
      </c>
      <c r="DN20" s="147">
        <f t="shared" si="83"/>
        <v>297.41410006109999</v>
      </c>
      <c r="DO20" s="147">
        <f t="shared" si="83"/>
        <v>267.67269005498997</v>
      </c>
      <c r="DP20" s="147">
        <f t="shared" si="83"/>
        <v>240.90542104949097</v>
      </c>
      <c r="DQ20" s="147">
        <f t="shared" si="83"/>
        <v>216.81487894454187</v>
      </c>
      <c r="DR20" s="147">
        <f t="shared" si="83"/>
        <v>195.13339105008768</v>
      </c>
      <c r="DS20" s="147">
        <f t="shared" si="83"/>
        <v>175.62005194507893</v>
      </c>
    </row>
    <row r="21" spans="2:123" x14ac:dyDescent="0.2">
      <c r="B21" s="65" t="s">
        <v>25</v>
      </c>
      <c r="C21" s="172"/>
      <c r="D21" s="172"/>
      <c r="E21" s="172"/>
      <c r="F21" s="172"/>
      <c r="G21" s="147"/>
      <c r="H21" s="147"/>
      <c r="I21" s="147"/>
      <c r="J21" s="147"/>
      <c r="W21" s="73">
        <v>57</v>
      </c>
      <c r="X21" s="73">
        <v>71</v>
      </c>
      <c r="Y21" s="73">
        <v>84</v>
      </c>
      <c r="Z21" s="73">
        <f>+Y21+5</f>
        <v>89</v>
      </c>
      <c r="AA21" s="73">
        <v>65</v>
      </c>
      <c r="AB21" s="73">
        <v>39</v>
      </c>
      <c r="AC21" s="73">
        <v>52</v>
      </c>
      <c r="AD21" s="73">
        <v>79</v>
      </c>
      <c r="AE21" s="73">
        <v>77</v>
      </c>
      <c r="AF21" s="73">
        <v>75</v>
      </c>
      <c r="AG21" s="73">
        <v>75</v>
      </c>
      <c r="AH21" s="73">
        <v>73</v>
      </c>
      <c r="AI21" s="73">
        <v>76</v>
      </c>
      <c r="AJ21" s="73">
        <v>93</v>
      </c>
      <c r="AK21" s="73">
        <v>103</v>
      </c>
      <c r="AP21" s="73">
        <v>100</v>
      </c>
      <c r="AR21" s="73">
        <v>103</v>
      </c>
      <c r="BO21" s="73">
        <v>151</v>
      </c>
      <c r="BP21" s="73">
        <v>128</v>
      </c>
      <c r="BQ21" s="73">
        <v>132</v>
      </c>
      <c r="BR21" s="73">
        <v>148</v>
      </c>
      <c r="BS21" s="73">
        <v>114</v>
      </c>
      <c r="BT21" s="73">
        <v>132</v>
      </c>
      <c r="BU21" s="73">
        <v>153</v>
      </c>
      <c r="BV21" s="73">
        <v>142</v>
      </c>
      <c r="BW21" s="73">
        <v>117</v>
      </c>
      <c r="BX21" s="73">
        <v>120</v>
      </c>
      <c r="BY21" s="73">
        <v>143</v>
      </c>
      <c r="BZ21" s="73">
        <v>147</v>
      </c>
      <c r="CA21" s="73">
        <f t="shared" si="62"/>
        <v>105.3</v>
      </c>
      <c r="CB21" s="73">
        <f t="shared" si="63"/>
        <v>108</v>
      </c>
      <c r="CC21" s="73">
        <f t="shared" si="64"/>
        <v>128.70000000000002</v>
      </c>
      <c r="CD21" s="73">
        <f t="shared" si="65"/>
        <v>132.30000000000001</v>
      </c>
      <c r="CL21" s="147" t="s">
        <v>449</v>
      </c>
      <c r="CM21" s="147" t="s">
        <v>449</v>
      </c>
      <c r="CN21" s="147" t="s">
        <v>449</v>
      </c>
      <c r="CO21" s="146" t="s">
        <v>449</v>
      </c>
      <c r="CP21" s="146" t="s">
        <v>449</v>
      </c>
      <c r="CQ21" s="147" t="s">
        <v>449</v>
      </c>
      <c r="CR21" s="147" t="s">
        <v>449</v>
      </c>
      <c r="CS21" s="146">
        <f>SUM(W21:AA21)</f>
        <v>366</v>
      </c>
      <c r="CT21" s="146">
        <f t="shared" ref="CT21" si="84">SUM(AA21:AD21)</f>
        <v>235</v>
      </c>
      <c r="CU21" s="146">
        <f>CS21</f>
        <v>366</v>
      </c>
      <c r="CV21" s="146">
        <f t="shared" ref="CV21:DA21" si="85">+CU21*1.05</f>
        <v>384.3</v>
      </c>
      <c r="CW21" s="146">
        <f t="shared" si="85"/>
        <v>403.51500000000004</v>
      </c>
      <c r="CX21" s="146">
        <f t="shared" si="85"/>
        <v>423.69075000000004</v>
      </c>
      <c r="CY21" s="146">
        <f t="shared" si="85"/>
        <v>444.87528750000007</v>
      </c>
      <c r="CZ21" s="146">
        <f t="shared" si="85"/>
        <v>467.11905187500008</v>
      </c>
      <c r="DA21" s="146">
        <f t="shared" si="85"/>
        <v>490.47500446875011</v>
      </c>
      <c r="DB21" s="146">
        <f>+DA21*1.05</f>
        <v>514.99875469218762</v>
      </c>
      <c r="DC21" s="146"/>
      <c r="DD21" s="146">
        <f t="shared" si="19"/>
        <v>559</v>
      </c>
      <c r="DE21" s="146">
        <f t="shared" si="76"/>
        <v>541</v>
      </c>
      <c r="DF21" s="146">
        <f t="shared" si="77"/>
        <v>527</v>
      </c>
      <c r="DG21" s="146">
        <f t="shared" si="78"/>
        <v>474.3</v>
      </c>
      <c r="DH21" s="146">
        <f t="shared" ref="DH21:DI21" si="86">+DG21*1.05</f>
        <v>498.01500000000004</v>
      </c>
      <c r="DI21" s="146">
        <f t="shared" si="86"/>
        <v>522.91575000000012</v>
      </c>
      <c r="DJ21" s="147">
        <f t="shared" ref="DJ21:DS21" si="87">+DI21*0.9</f>
        <v>470.62417500000009</v>
      </c>
      <c r="DK21" s="147">
        <f t="shared" si="87"/>
        <v>423.56175750000011</v>
      </c>
      <c r="DL21" s="147">
        <f t="shared" si="87"/>
        <v>381.20558175000014</v>
      </c>
      <c r="DM21" s="147">
        <f t="shared" si="87"/>
        <v>343.08502357500015</v>
      </c>
      <c r="DN21" s="147">
        <f t="shared" si="87"/>
        <v>308.77652121750015</v>
      </c>
      <c r="DO21" s="147">
        <f t="shared" si="87"/>
        <v>277.89886909575011</v>
      </c>
      <c r="DP21" s="147">
        <f t="shared" si="87"/>
        <v>250.1089821861751</v>
      </c>
      <c r="DQ21" s="147">
        <f t="shared" si="87"/>
        <v>225.09808396755759</v>
      </c>
      <c r="DR21" s="147">
        <f t="shared" si="87"/>
        <v>202.58827557080184</v>
      </c>
      <c r="DS21" s="147">
        <f t="shared" si="87"/>
        <v>182.32944801372167</v>
      </c>
    </row>
    <row r="22" spans="2:123" x14ac:dyDescent="0.2">
      <c r="B22" s="112" t="s">
        <v>1384</v>
      </c>
      <c r="C22" s="172"/>
      <c r="D22" s="172"/>
      <c r="E22" s="172"/>
      <c r="F22" s="172"/>
      <c r="G22" s="147"/>
      <c r="H22" s="147"/>
      <c r="I22" s="147"/>
      <c r="J22" s="147"/>
      <c r="K22" s="147"/>
      <c r="BO22" s="73">
        <v>0</v>
      </c>
      <c r="BP22" s="73">
        <v>0</v>
      </c>
      <c r="BQ22" s="73">
        <v>0</v>
      </c>
      <c r="BR22" s="73">
        <v>0</v>
      </c>
      <c r="BS22" s="73">
        <v>2</v>
      </c>
      <c r="BT22" s="73">
        <v>4</v>
      </c>
      <c r="BU22" s="73">
        <v>12</v>
      </c>
      <c r="BV22" s="73">
        <v>20</v>
      </c>
      <c r="BW22" s="73">
        <v>38</v>
      </c>
      <c r="BX22" s="73">
        <v>72</v>
      </c>
      <c r="BY22" s="73">
        <v>101</v>
      </c>
      <c r="BZ22" s="73">
        <v>129</v>
      </c>
      <c r="CA22" s="73">
        <f t="shared" ref="CA22:CD22" si="88">+BZ22+10</f>
        <v>139</v>
      </c>
      <c r="CB22" s="73">
        <f t="shared" si="88"/>
        <v>149</v>
      </c>
      <c r="CC22" s="73">
        <f t="shared" si="88"/>
        <v>159</v>
      </c>
      <c r="CD22" s="73">
        <f t="shared" si="88"/>
        <v>169</v>
      </c>
      <c r="CL22" s="147"/>
      <c r="CM22" s="147"/>
      <c r="CN22" s="147"/>
      <c r="CO22" s="147"/>
      <c r="CP22" s="146"/>
      <c r="CQ22" s="146"/>
      <c r="CR22" s="147"/>
      <c r="CS22" s="146"/>
      <c r="CT22" s="146"/>
      <c r="CU22" s="147"/>
      <c r="CV22" s="147"/>
      <c r="CW22" s="147"/>
      <c r="CX22" s="147"/>
      <c r="CY22" s="147"/>
      <c r="CZ22" s="147"/>
      <c r="DA22" s="147"/>
      <c r="DB22" s="147"/>
      <c r="DC22" s="147"/>
      <c r="DD22" s="146">
        <f>SUM(BO22:BR22)</f>
        <v>0</v>
      </c>
      <c r="DE22" s="146">
        <f>SUM(BS22:BV22)</f>
        <v>38</v>
      </c>
      <c r="DF22" s="146">
        <f>SUM(BW22:BZ22)</f>
        <v>340</v>
      </c>
      <c r="DG22" s="146">
        <f>SUM(CA22:CD22)</f>
        <v>616</v>
      </c>
      <c r="DH22" s="147">
        <f>+DG22*1.01</f>
        <v>622.16</v>
      </c>
      <c r="DI22" s="147">
        <f t="shared" ref="DI22:DJ22" si="89">+DH22*1.01</f>
        <v>628.38159999999993</v>
      </c>
      <c r="DJ22" s="147">
        <f t="shared" si="89"/>
        <v>634.66541599999994</v>
      </c>
      <c r="DK22" s="147">
        <f>DJ22*0.8</f>
        <v>507.73233279999999</v>
      </c>
      <c r="DL22" s="147">
        <f>DK22*0.1</f>
        <v>50.773233279999999</v>
      </c>
      <c r="DM22" s="147">
        <f t="shared" ref="DM22:DO22" si="90">DL22*0.1</f>
        <v>5.0773233280000003</v>
      </c>
      <c r="DN22" s="147">
        <f t="shared" si="90"/>
        <v>0.50773233280000007</v>
      </c>
      <c r="DO22" s="147">
        <f t="shared" si="90"/>
        <v>5.077323328000001E-2</v>
      </c>
    </row>
    <row r="23" spans="2:123" x14ac:dyDescent="0.2">
      <c r="B23" s="65" t="s">
        <v>332</v>
      </c>
      <c r="C23" s="171">
        <v>154</v>
      </c>
      <c r="D23" s="171">
        <v>156</v>
      </c>
      <c r="E23" s="171">
        <v>141</v>
      </c>
      <c r="F23" s="171">
        <v>167</v>
      </c>
      <c r="G23" s="146">
        <v>154</v>
      </c>
      <c r="H23" s="146">
        <v>159</v>
      </c>
      <c r="I23" s="146">
        <v>151</v>
      </c>
      <c r="J23" s="146">
        <v>174</v>
      </c>
      <c r="K23" s="146">
        <v>178</v>
      </c>
      <c r="L23" s="73">
        <v>164</v>
      </c>
      <c r="M23" s="73">
        <v>145</v>
      </c>
      <c r="N23" s="73">
        <v>172</v>
      </c>
      <c r="O23" s="73">
        <v>155</v>
      </c>
      <c r="P23" s="73">
        <v>151</v>
      </c>
      <c r="Q23" s="73">
        <v>140</v>
      </c>
      <c r="R23" s="73">
        <v>175</v>
      </c>
      <c r="S23" s="73">
        <v>162</v>
      </c>
      <c r="T23" s="73">
        <v>158</v>
      </c>
      <c r="U23" s="73">
        <v>149</v>
      </c>
      <c r="V23" s="73">
        <v>208</v>
      </c>
      <c r="W23" s="73">
        <v>195</v>
      </c>
      <c r="X23" s="73">
        <v>189</v>
      </c>
      <c r="Y23" s="73">
        <v>169</v>
      </c>
      <c r="Z23" s="73">
        <v>222</v>
      </c>
      <c r="AA23" s="73">
        <v>196</v>
      </c>
      <c r="AB23" s="73">
        <v>201</v>
      </c>
      <c r="AC23" s="73">
        <f>105+33+10+39</f>
        <v>187</v>
      </c>
      <c r="AD23" s="73">
        <v>220</v>
      </c>
      <c r="AE23" s="73">
        <v>202</v>
      </c>
      <c r="AF23" s="73">
        <v>196</v>
      </c>
      <c r="AG23" s="73">
        <v>183</v>
      </c>
      <c r="AH23" s="73">
        <v>232</v>
      </c>
      <c r="AI23" s="73">
        <v>199</v>
      </c>
      <c r="AJ23" s="73">
        <v>189</v>
      </c>
      <c r="AK23" s="73">
        <v>185</v>
      </c>
      <c r="AP23" s="73">
        <v>209</v>
      </c>
      <c r="AR23" s="73">
        <v>172</v>
      </c>
      <c r="BO23" s="73">
        <v>123</v>
      </c>
      <c r="BP23" s="73">
        <v>117</v>
      </c>
      <c r="BQ23" s="73">
        <v>92</v>
      </c>
      <c r="BR23" s="73">
        <v>87</v>
      </c>
      <c r="BS23" s="73">
        <v>117</v>
      </c>
      <c r="BT23" s="73">
        <v>105</v>
      </c>
      <c r="BU23" s="73">
        <v>115</v>
      </c>
      <c r="BV23" s="73">
        <v>107</v>
      </c>
      <c r="BW23" s="73">
        <v>127</v>
      </c>
      <c r="BX23" s="73">
        <v>143</v>
      </c>
      <c r="BY23" s="73">
        <v>141</v>
      </c>
      <c r="BZ23" s="73">
        <v>134</v>
      </c>
      <c r="CA23" s="73">
        <f t="shared" si="62"/>
        <v>114.3</v>
      </c>
      <c r="CB23" s="73">
        <f t="shared" si="63"/>
        <v>128.70000000000002</v>
      </c>
      <c r="CC23" s="73">
        <f t="shared" si="64"/>
        <v>126.9</v>
      </c>
      <c r="CD23" s="73">
        <f t="shared" si="65"/>
        <v>120.60000000000001</v>
      </c>
      <c r="CL23" s="146">
        <v>783</v>
      </c>
      <c r="CM23" s="146">
        <v>704</v>
      </c>
      <c r="CN23" s="146">
        <v>618</v>
      </c>
      <c r="CO23" s="146">
        <v>638</v>
      </c>
      <c r="CP23" s="147">
        <f>SUM(K23:N23)</f>
        <v>659</v>
      </c>
      <c r="CQ23" s="146">
        <f>SUM(O23:R23)</f>
        <v>621</v>
      </c>
      <c r="CR23" s="147">
        <f t="shared" ref="CR23" si="91">SUM(S23:V23)</f>
        <v>677</v>
      </c>
      <c r="CS23" s="146">
        <f>SUM(W23:Z23)</f>
        <v>775</v>
      </c>
      <c r="CT23" s="146">
        <f>SUM(AA23:AD23)</f>
        <v>804</v>
      </c>
      <c r="CU23" s="146">
        <f>CT23*1</f>
        <v>804</v>
      </c>
      <c r="CV23" s="146">
        <f t="shared" ref="CV23:DA23" si="92">CU23*0.9</f>
        <v>723.6</v>
      </c>
      <c r="CW23" s="146">
        <f t="shared" si="92"/>
        <v>651.24</v>
      </c>
      <c r="CX23" s="146">
        <f t="shared" si="92"/>
        <v>586.11599999999999</v>
      </c>
      <c r="CY23" s="146">
        <f t="shared" si="92"/>
        <v>527.50440000000003</v>
      </c>
      <c r="CZ23" s="146">
        <f t="shared" si="92"/>
        <v>474.75396000000006</v>
      </c>
      <c r="DA23" s="146">
        <f t="shared" si="92"/>
        <v>427.27856400000007</v>
      </c>
      <c r="DB23" s="146">
        <f t="shared" ref="DB23" si="93">DA23*0.9</f>
        <v>384.55070760000007</v>
      </c>
      <c r="DC23" s="146"/>
      <c r="DD23" s="146">
        <f t="shared" si="19"/>
        <v>419</v>
      </c>
      <c r="DE23" s="146">
        <f t="shared" si="76"/>
        <v>444</v>
      </c>
      <c r="DF23" s="146">
        <f t="shared" si="77"/>
        <v>545</v>
      </c>
      <c r="DG23" s="146">
        <f t="shared" si="78"/>
        <v>490.5</v>
      </c>
      <c r="DH23" s="146">
        <f t="shared" ref="DH23:DI23" si="94">DG23*0.9</f>
        <v>441.45</v>
      </c>
      <c r="DI23" s="146">
        <f t="shared" si="94"/>
        <v>397.30500000000001</v>
      </c>
      <c r="DJ23" s="147">
        <f t="shared" ref="DJ23:DS23" si="95">+DI23*0.9</f>
        <v>357.5745</v>
      </c>
      <c r="DK23" s="147">
        <f t="shared" si="95"/>
        <v>321.81704999999999</v>
      </c>
      <c r="DL23" s="147">
        <f t="shared" si="95"/>
        <v>289.63534500000003</v>
      </c>
      <c r="DM23" s="147">
        <f t="shared" si="95"/>
        <v>260.67181050000005</v>
      </c>
      <c r="DN23" s="147">
        <f t="shared" si="95"/>
        <v>234.60462945000006</v>
      </c>
      <c r="DO23" s="147">
        <f t="shared" si="95"/>
        <v>211.14416650500007</v>
      </c>
      <c r="DP23" s="147">
        <f t="shared" si="95"/>
        <v>190.02974985450007</v>
      </c>
      <c r="DQ23" s="147">
        <f t="shared" si="95"/>
        <v>171.02677486905006</v>
      </c>
      <c r="DR23" s="147">
        <f t="shared" si="95"/>
        <v>153.92409738214505</v>
      </c>
      <c r="DS23" s="147">
        <f t="shared" si="95"/>
        <v>138.53168764393055</v>
      </c>
    </row>
    <row r="24" spans="2:123" x14ac:dyDescent="0.2">
      <c r="B24" s="65" t="s">
        <v>75</v>
      </c>
      <c r="C24" s="171">
        <v>204</v>
      </c>
      <c r="D24" s="171">
        <v>178</v>
      </c>
      <c r="E24" s="171">
        <v>156</v>
      </c>
      <c r="F24" s="171">
        <v>170</v>
      </c>
      <c r="G24" s="147">
        <v>192</v>
      </c>
      <c r="H24" s="147">
        <v>155</v>
      </c>
      <c r="I24" s="147">
        <v>149</v>
      </c>
      <c r="J24" s="147">
        <v>170</v>
      </c>
      <c r="K24" s="147">
        <v>170</v>
      </c>
      <c r="L24" s="73">
        <v>134</v>
      </c>
      <c r="M24" s="73">
        <v>121</v>
      </c>
      <c r="N24" s="73">
        <v>145</v>
      </c>
      <c r="O24" s="73">
        <v>147</v>
      </c>
      <c r="P24" s="73">
        <v>120</v>
      </c>
      <c r="Q24" s="73">
        <v>117</v>
      </c>
      <c r="R24" s="73">
        <v>146</v>
      </c>
      <c r="S24" s="73">
        <v>156</v>
      </c>
      <c r="T24" s="73">
        <v>129</v>
      </c>
      <c r="U24" s="73">
        <v>143</v>
      </c>
      <c r="V24" s="73">
        <v>159</v>
      </c>
      <c r="W24" s="73">
        <v>186</v>
      </c>
      <c r="X24" s="73">
        <f>11+61+74</f>
        <v>146</v>
      </c>
      <c r="Y24" s="73">
        <v>162</v>
      </c>
      <c r="Z24" s="73">
        <v>173</v>
      </c>
      <c r="AA24" s="73">
        <v>160</v>
      </c>
      <c r="AB24" s="73">
        <v>144</v>
      </c>
      <c r="AC24" s="73">
        <v>153</v>
      </c>
      <c r="AD24" s="73">
        <v>168</v>
      </c>
      <c r="AE24" s="73">
        <v>187</v>
      </c>
      <c r="AF24" s="73">
        <v>142</v>
      </c>
      <c r="AG24" s="73">
        <v>139</v>
      </c>
      <c r="AH24" s="73">
        <v>173</v>
      </c>
      <c r="AI24" s="73">
        <v>153</v>
      </c>
      <c r="AJ24" s="73">
        <v>149</v>
      </c>
      <c r="AK24" s="73">
        <v>139</v>
      </c>
      <c r="AP24" s="73">
        <v>165</v>
      </c>
      <c r="AR24" s="73">
        <v>147</v>
      </c>
      <c r="BO24" s="73">
        <v>169</v>
      </c>
      <c r="BP24" s="73">
        <v>100</v>
      </c>
      <c r="BQ24" s="73">
        <v>106</v>
      </c>
      <c r="BR24" s="73">
        <v>115</v>
      </c>
      <c r="BS24" s="73">
        <v>91</v>
      </c>
      <c r="BT24" s="73">
        <v>91</v>
      </c>
      <c r="BU24" s="73">
        <v>114</v>
      </c>
      <c r="BV24" s="73">
        <v>130</v>
      </c>
      <c r="BW24" s="73">
        <v>129</v>
      </c>
      <c r="BX24" s="73">
        <v>130</v>
      </c>
      <c r="BY24" s="73">
        <v>150</v>
      </c>
      <c r="BZ24" s="73">
        <v>167</v>
      </c>
      <c r="CA24" s="73">
        <f t="shared" si="62"/>
        <v>116.10000000000001</v>
      </c>
      <c r="CB24" s="73">
        <f t="shared" si="63"/>
        <v>117</v>
      </c>
      <c r="CC24" s="73">
        <f t="shared" si="64"/>
        <v>135</v>
      </c>
      <c r="CD24" s="73">
        <f t="shared" si="65"/>
        <v>150.30000000000001</v>
      </c>
      <c r="CL24" s="146">
        <v>1191</v>
      </c>
      <c r="CM24" s="146">
        <v>825</v>
      </c>
      <c r="CN24" s="146">
        <v>708</v>
      </c>
      <c r="CO24" s="146">
        <v>666</v>
      </c>
      <c r="CP24" s="147">
        <f>SUM(K24:N24)</f>
        <v>570</v>
      </c>
      <c r="CQ24" s="147">
        <f>SUM(O24:R24)</f>
        <v>530</v>
      </c>
      <c r="CR24" s="147">
        <f>SUM(S24:V24)</f>
        <v>587</v>
      </c>
      <c r="CS24" s="146">
        <f>SUM(W24:Z24)</f>
        <v>667</v>
      </c>
      <c r="CT24" s="146">
        <f t="shared" ref="CT24" si="96">SUM(AA24:AD24)</f>
        <v>625</v>
      </c>
      <c r="CU24" s="147">
        <f>+CT24*0.8</f>
        <v>500</v>
      </c>
      <c r="CV24" s="147">
        <f t="shared" ref="CV24:DA24" si="97">+CU24*0.8</f>
        <v>400</v>
      </c>
      <c r="CW24" s="147">
        <f t="shared" si="97"/>
        <v>320</v>
      </c>
      <c r="CX24" s="147">
        <f t="shared" si="97"/>
        <v>256</v>
      </c>
      <c r="CY24" s="147">
        <f t="shared" si="97"/>
        <v>204.8</v>
      </c>
      <c r="CZ24" s="147">
        <f t="shared" si="97"/>
        <v>163.84000000000003</v>
      </c>
      <c r="DA24" s="147">
        <f t="shared" si="97"/>
        <v>131.07200000000003</v>
      </c>
      <c r="DB24" s="147">
        <f>+DA24*0.8</f>
        <v>104.85760000000003</v>
      </c>
      <c r="DC24" s="147"/>
      <c r="DD24" s="146">
        <f t="shared" si="19"/>
        <v>490</v>
      </c>
      <c r="DE24" s="146">
        <f t="shared" si="76"/>
        <v>426</v>
      </c>
      <c r="DF24" s="146">
        <f t="shared" si="77"/>
        <v>576</v>
      </c>
      <c r="DG24" s="146">
        <f t="shared" si="78"/>
        <v>518.40000000000009</v>
      </c>
      <c r="DH24" s="147">
        <f t="shared" ref="DH24:DI24" si="98">+DG24*0.8</f>
        <v>414.72000000000008</v>
      </c>
      <c r="DI24" s="147">
        <f t="shared" si="98"/>
        <v>331.77600000000007</v>
      </c>
      <c r="DJ24" s="147">
        <f t="shared" ref="DJ24:DS24" si="99">+DI24*0.9</f>
        <v>298.59840000000008</v>
      </c>
      <c r="DK24" s="147">
        <f t="shared" si="99"/>
        <v>268.73856000000006</v>
      </c>
      <c r="DL24" s="147">
        <f t="shared" si="99"/>
        <v>241.86470400000007</v>
      </c>
      <c r="DM24" s="147">
        <f t="shared" si="99"/>
        <v>217.67823360000008</v>
      </c>
      <c r="DN24" s="147">
        <f t="shared" si="99"/>
        <v>195.91041024000009</v>
      </c>
      <c r="DO24" s="147">
        <f t="shared" si="99"/>
        <v>176.3193692160001</v>
      </c>
      <c r="DP24" s="147">
        <f t="shared" si="99"/>
        <v>158.68743229440008</v>
      </c>
      <c r="DQ24" s="147">
        <f t="shared" si="99"/>
        <v>142.81868906496007</v>
      </c>
      <c r="DR24" s="147">
        <f t="shared" si="99"/>
        <v>128.53682015846405</v>
      </c>
      <c r="DS24" s="147">
        <f t="shared" si="99"/>
        <v>115.68313814261765</v>
      </c>
    </row>
    <row r="25" spans="2:123" x14ac:dyDescent="0.2">
      <c r="B25" s="65" t="s">
        <v>63</v>
      </c>
      <c r="C25" s="171">
        <v>153</v>
      </c>
      <c r="D25" s="171">
        <v>171</v>
      </c>
      <c r="E25" s="171">
        <v>172</v>
      </c>
      <c r="F25" s="171">
        <v>181</v>
      </c>
      <c r="G25" s="147">
        <v>195</v>
      </c>
      <c r="H25" s="147">
        <v>216</v>
      </c>
      <c r="I25" s="147">
        <v>210</v>
      </c>
      <c r="J25" s="147">
        <v>228</v>
      </c>
      <c r="K25" s="147">
        <v>237</v>
      </c>
      <c r="L25" s="73">
        <v>245</v>
      </c>
      <c r="M25" s="73">
        <v>257</v>
      </c>
      <c r="N25" s="73">
        <v>257</v>
      </c>
      <c r="O25" s="73">
        <v>250</v>
      </c>
      <c r="P25" s="73">
        <v>271</v>
      </c>
      <c r="Q25" s="73">
        <v>275</v>
      </c>
      <c r="R25" s="73">
        <v>301</v>
      </c>
      <c r="S25" s="73">
        <v>290</v>
      </c>
      <c r="T25" s="73">
        <v>323</v>
      </c>
      <c r="U25" s="73">
        <v>136</v>
      </c>
      <c r="V25" s="73">
        <v>177</v>
      </c>
      <c r="W25" s="73">
        <v>144</v>
      </c>
      <c r="X25" s="73">
        <v>103</v>
      </c>
      <c r="Y25" s="73">
        <v>121</v>
      </c>
      <c r="Z25" s="73">
        <v>132</v>
      </c>
      <c r="AA25" s="73">
        <v>120</v>
      </c>
      <c r="AB25" s="73">
        <v>123</v>
      </c>
      <c r="AC25" s="73">
        <v>131</v>
      </c>
      <c r="AD25" s="73">
        <v>130</v>
      </c>
      <c r="AE25" s="73">
        <v>114</v>
      </c>
      <c r="AF25" s="73">
        <v>128</v>
      </c>
      <c r="AG25" s="73">
        <v>153</v>
      </c>
      <c r="AH25" s="73">
        <v>141</v>
      </c>
      <c r="AI25" s="73">
        <v>148</v>
      </c>
      <c r="AJ25" s="73">
        <v>147</v>
      </c>
      <c r="AK25" s="73">
        <v>151</v>
      </c>
      <c r="AP25" s="73">
        <v>152</v>
      </c>
      <c r="AR25" s="73">
        <v>124</v>
      </c>
      <c r="BO25" s="73">
        <v>137</v>
      </c>
      <c r="BP25" s="73">
        <v>135</v>
      </c>
      <c r="BQ25" s="73">
        <v>125</v>
      </c>
      <c r="BR25" s="73">
        <v>140</v>
      </c>
      <c r="BS25" s="73">
        <v>116</v>
      </c>
      <c r="BT25" s="73">
        <v>116</v>
      </c>
      <c r="BU25" s="73">
        <v>124</v>
      </c>
      <c r="BV25" s="73">
        <v>122</v>
      </c>
      <c r="BW25" s="73">
        <v>120</v>
      </c>
      <c r="BX25" s="73">
        <v>127</v>
      </c>
      <c r="BY25" s="73">
        <v>132</v>
      </c>
      <c r="BZ25" s="73">
        <v>132</v>
      </c>
      <c r="CA25" s="73">
        <f t="shared" si="62"/>
        <v>108</v>
      </c>
      <c r="CB25" s="73">
        <f t="shared" si="63"/>
        <v>114.3</v>
      </c>
      <c r="CC25" s="73">
        <f t="shared" si="64"/>
        <v>118.8</v>
      </c>
      <c r="CD25" s="73">
        <f t="shared" si="65"/>
        <v>118.8</v>
      </c>
      <c r="CL25" s="146">
        <v>438</v>
      </c>
      <c r="CM25" s="146">
        <v>549</v>
      </c>
      <c r="CN25" s="146">
        <v>677</v>
      </c>
      <c r="CO25" s="146">
        <v>849</v>
      </c>
      <c r="CP25" s="147">
        <f>SUM(K25:N25)</f>
        <v>996</v>
      </c>
      <c r="CQ25" s="147">
        <f>SUM(O25:R25)</f>
        <v>1097</v>
      </c>
      <c r="CR25" s="147">
        <f>SUM(S25:V25)</f>
        <v>926</v>
      </c>
      <c r="CS25" s="147">
        <f>SUM(W25:Z25)</f>
        <v>500</v>
      </c>
      <c r="CT25" s="146">
        <f>SUM(AA25:AD25)</f>
        <v>504</v>
      </c>
      <c r="CU25" s="147">
        <f>CT25*1.06</f>
        <v>534.24</v>
      </c>
      <c r="CV25" s="147">
        <f>CU25*1.06</f>
        <v>566.2944</v>
      </c>
      <c r="CW25" s="147">
        <f>CV25*1.06</f>
        <v>600.272064</v>
      </c>
      <c r="CX25" s="147">
        <f t="shared" ref="CX25:DB25" si="100">CW25*0.5</f>
        <v>300.136032</v>
      </c>
      <c r="CY25" s="147">
        <f t="shared" si="100"/>
        <v>150.068016</v>
      </c>
      <c r="CZ25" s="147">
        <f t="shared" si="100"/>
        <v>75.034008</v>
      </c>
      <c r="DA25" s="147">
        <f t="shared" si="100"/>
        <v>37.517004</v>
      </c>
      <c r="DB25" s="147">
        <f t="shared" si="100"/>
        <v>18.758502</v>
      </c>
      <c r="DC25" s="147"/>
      <c r="DD25" s="146">
        <f t="shared" si="19"/>
        <v>537</v>
      </c>
      <c r="DE25" s="146">
        <f t="shared" si="76"/>
        <v>478</v>
      </c>
      <c r="DF25" s="146">
        <f t="shared" si="77"/>
        <v>511</v>
      </c>
      <c r="DG25" s="146">
        <f t="shared" si="78"/>
        <v>459.90000000000003</v>
      </c>
      <c r="DH25" s="147">
        <f t="shared" ref="DH25" si="101">DG25*0.5</f>
        <v>229.95000000000002</v>
      </c>
      <c r="DI25" s="147">
        <f t="shared" ref="DI25" si="102">DH25*0.5</f>
        <v>114.97500000000001</v>
      </c>
      <c r="DJ25" s="147">
        <f t="shared" ref="DJ25:DS25" si="103">+DI25*0.9</f>
        <v>103.47750000000001</v>
      </c>
      <c r="DK25" s="147">
        <f t="shared" si="103"/>
        <v>93.129750000000001</v>
      </c>
      <c r="DL25" s="147">
        <f t="shared" si="103"/>
        <v>83.816775000000007</v>
      </c>
      <c r="DM25" s="147">
        <f t="shared" si="103"/>
        <v>75.435097500000012</v>
      </c>
      <c r="DN25" s="147">
        <f t="shared" si="103"/>
        <v>67.891587750000014</v>
      </c>
      <c r="DO25" s="147">
        <f t="shared" si="103"/>
        <v>61.102428975000016</v>
      </c>
      <c r="DP25" s="147">
        <f t="shared" si="103"/>
        <v>54.992186077500016</v>
      </c>
      <c r="DQ25" s="147">
        <f t="shared" si="103"/>
        <v>49.492967469750013</v>
      </c>
      <c r="DR25" s="147">
        <f t="shared" si="103"/>
        <v>44.543670722775012</v>
      </c>
      <c r="DS25" s="147">
        <f t="shared" si="103"/>
        <v>40.089303650497513</v>
      </c>
    </row>
    <row r="26" spans="2:123" x14ac:dyDescent="0.2">
      <c r="B26" s="112" t="s">
        <v>1386</v>
      </c>
      <c r="C26" s="172"/>
      <c r="D26" s="172"/>
      <c r="E26" s="172"/>
      <c r="F26" s="172"/>
      <c r="G26" s="147"/>
      <c r="H26" s="147"/>
      <c r="I26" s="147"/>
      <c r="J26" s="147"/>
      <c r="K26" s="147"/>
      <c r="BO26" s="73">
        <v>81</v>
      </c>
      <c r="BP26" s="73">
        <v>77</v>
      </c>
      <c r="BQ26" s="73">
        <v>92</v>
      </c>
      <c r="BR26" s="73">
        <v>89</v>
      </c>
      <c r="BS26" s="73">
        <v>88</v>
      </c>
      <c r="BT26" s="73">
        <v>98</v>
      </c>
      <c r="BU26" s="73">
        <v>101</v>
      </c>
      <c r="BV26" s="73">
        <v>108</v>
      </c>
      <c r="BW26" s="73">
        <v>98</v>
      </c>
      <c r="BX26" s="73">
        <v>120</v>
      </c>
      <c r="BY26" s="73">
        <v>120</v>
      </c>
      <c r="BZ26" s="73">
        <v>125</v>
      </c>
      <c r="CA26" s="73">
        <f t="shared" ref="CA26:CD26" si="104">+BW26*1.1</f>
        <v>107.80000000000001</v>
      </c>
      <c r="CB26" s="73">
        <f t="shared" si="104"/>
        <v>132</v>
      </c>
      <c r="CC26" s="73">
        <f t="shared" si="104"/>
        <v>132</v>
      </c>
      <c r="CD26" s="73">
        <f t="shared" si="104"/>
        <v>137.5</v>
      </c>
      <c r="CL26" s="147"/>
      <c r="CM26" s="147"/>
      <c r="CN26" s="147"/>
      <c r="CO26" s="147"/>
      <c r="CP26" s="146"/>
      <c r="CQ26" s="146"/>
      <c r="CR26" s="147"/>
      <c r="CS26" s="146"/>
      <c r="CT26" s="146"/>
      <c r="CU26" s="147"/>
      <c r="CV26" s="147"/>
      <c r="CW26" s="147"/>
      <c r="CX26" s="147"/>
      <c r="CY26" s="147"/>
      <c r="CZ26" s="147"/>
      <c r="DA26" s="147"/>
      <c r="DB26" s="147"/>
      <c r="DC26" s="147"/>
      <c r="DD26" s="146">
        <f t="shared" si="19"/>
        <v>339</v>
      </c>
      <c r="DE26" s="146">
        <f t="shared" si="76"/>
        <v>395</v>
      </c>
      <c r="DF26" s="146">
        <f t="shared" si="77"/>
        <v>463</v>
      </c>
      <c r="DG26" s="146">
        <f t="shared" si="78"/>
        <v>509.3</v>
      </c>
      <c r="DH26" s="147">
        <f>+DG26*1.03</f>
        <v>524.57900000000006</v>
      </c>
      <c r="DI26" s="147">
        <f>+DH26*1.03</f>
        <v>540.31637000000012</v>
      </c>
      <c r="DJ26" s="147">
        <f>+DI26*1.1</f>
        <v>594.34800700000017</v>
      </c>
      <c r="DK26" s="147">
        <f t="shared" ref="DK26:DO26" si="105">+DJ26*1.1</f>
        <v>653.78280770000026</v>
      </c>
      <c r="DL26" s="147">
        <f t="shared" si="105"/>
        <v>719.16108847000032</v>
      </c>
      <c r="DM26" s="147">
        <f t="shared" si="105"/>
        <v>791.07719731700047</v>
      </c>
      <c r="DN26" s="147">
        <f t="shared" si="105"/>
        <v>870.18491704870064</v>
      </c>
      <c r="DO26" s="147">
        <f t="shared" si="105"/>
        <v>957.20340875357078</v>
      </c>
      <c r="DP26" s="147">
        <f>+DO26*0.1</f>
        <v>95.720340875357081</v>
      </c>
      <c r="DQ26" s="147">
        <f t="shared" ref="DQ26:DS26" si="106">+DP26*0.1</f>
        <v>9.5720340875357088</v>
      </c>
      <c r="DR26" s="147">
        <f t="shared" si="106"/>
        <v>0.95720340875357091</v>
      </c>
      <c r="DS26" s="147">
        <f t="shared" si="106"/>
        <v>9.5720340875357093E-2</v>
      </c>
    </row>
    <row r="27" spans="2:123" x14ac:dyDescent="0.2">
      <c r="B27" s="112" t="s">
        <v>1394</v>
      </c>
      <c r="C27" s="171"/>
      <c r="D27" s="171"/>
      <c r="E27" s="171"/>
      <c r="F27" s="171"/>
      <c r="G27" s="147"/>
      <c r="H27" s="147"/>
      <c r="I27" s="147"/>
      <c r="J27" s="147"/>
      <c r="K27" s="147"/>
      <c r="BO27" s="73">
        <v>117</v>
      </c>
      <c r="BP27" s="73">
        <v>139</v>
      </c>
      <c r="BQ27" s="73">
        <v>140</v>
      </c>
      <c r="BR27" s="73">
        <v>151</v>
      </c>
      <c r="BS27" s="73">
        <v>117</v>
      </c>
      <c r="BT27" s="73">
        <v>134</v>
      </c>
      <c r="BU27" s="73">
        <v>130</v>
      </c>
      <c r="BV27" s="73">
        <v>123</v>
      </c>
      <c r="BW27" s="73">
        <v>98</v>
      </c>
      <c r="BX27" s="73">
        <v>118</v>
      </c>
      <c r="BY27" s="73">
        <v>129</v>
      </c>
      <c r="BZ27" s="73">
        <v>138</v>
      </c>
      <c r="CA27" s="73">
        <f t="shared" ref="CA27:CA35" si="107">+BW27*0.9</f>
        <v>88.2</v>
      </c>
      <c r="CB27" s="73">
        <f t="shared" ref="CB27:CB35" si="108">+BX27*0.9</f>
        <v>106.2</v>
      </c>
      <c r="CC27" s="73">
        <f t="shared" ref="CC27:CC35" si="109">+BY27*0.9</f>
        <v>116.10000000000001</v>
      </c>
      <c r="CD27" s="73">
        <f t="shared" ref="CD27:CD35" si="110">+BZ27*0.9</f>
        <v>124.2</v>
      </c>
      <c r="CL27" s="146"/>
      <c r="CM27" s="146"/>
      <c r="CN27" s="146"/>
      <c r="CO27" s="146"/>
      <c r="CP27" s="147"/>
      <c r="CQ27" s="147"/>
      <c r="CR27" s="147"/>
      <c r="CS27" s="147"/>
      <c r="CT27" s="146"/>
      <c r="CU27" s="147"/>
      <c r="CV27" s="147"/>
      <c r="CW27" s="147"/>
      <c r="CX27" s="147"/>
      <c r="CY27" s="147"/>
      <c r="CZ27" s="147"/>
      <c r="DA27" s="147"/>
      <c r="DB27" s="147"/>
      <c r="DC27" s="147"/>
      <c r="DD27" s="146">
        <f t="shared" si="19"/>
        <v>547</v>
      </c>
      <c r="DE27" s="146">
        <f t="shared" si="76"/>
        <v>504</v>
      </c>
      <c r="DF27" s="146">
        <f t="shared" si="77"/>
        <v>483</v>
      </c>
      <c r="DG27" s="146">
        <f t="shared" si="78"/>
        <v>434.7</v>
      </c>
      <c r="DH27" s="146">
        <f>+DG27*0.9</f>
        <v>391.23</v>
      </c>
      <c r="DI27" s="146">
        <f t="shared" ref="DI27:DS35" si="111">+DH27*0.9</f>
        <v>352.10700000000003</v>
      </c>
      <c r="DJ27" s="146">
        <f t="shared" si="111"/>
        <v>316.89630000000005</v>
      </c>
      <c r="DK27" s="146">
        <f t="shared" si="111"/>
        <v>285.20667000000003</v>
      </c>
      <c r="DL27" s="146">
        <f t="shared" si="111"/>
        <v>256.68600300000003</v>
      </c>
      <c r="DM27" s="146">
        <f t="shared" si="111"/>
        <v>231.01740270000002</v>
      </c>
      <c r="DN27" s="146">
        <f t="shared" si="111"/>
        <v>207.91566243000003</v>
      </c>
      <c r="DO27" s="146">
        <f t="shared" si="111"/>
        <v>187.12409618700002</v>
      </c>
      <c r="DP27" s="146">
        <f t="shared" si="111"/>
        <v>168.41168656830001</v>
      </c>
      <c r="DQ27" s="146">
        <f t="shared" si="111"/>
        <v>151.57051791147001</v>
      </c>
      <c r="DR27" s="146">
        <f t="shared" si="111"/>
        <v>136.41346612032302</v>
      </c>
      <c r="DS27" s="146">
        <f t="shared" si="111"/>
        <v>122.77211950829073</v>
      </c>
    </row>
    <row r="28" spans="2:123" x14ac:dyDescent="0.2">
      <c r="B28" s="112" t="s">
        <v>1395</v>
      </c>
      <c r="C28" s="171"/>
      <c r="D28" s="171"/>
      <c r="E28" s="171"/>
      <c r="F28" s="171"/>
      <c r="G28" s="147"/>
      <c r="H28" s="147"/>
      <c r="I28" s="147"/>
      <c r="J28" s="147"/>
      <c r="K28" s="146"/>
      <c r="S28" s="73">
        <v>13</v>
      </c>
      <c r="T28" s="73">
        <v>17</v>
      </c>
      <c r="U28" s="73">
        <v>17</v>
      </c>
      <c r="V28" s="73">
        <v>25</v>
      </c>
      <c r="W28" s="73">
        <v>31</v>
      </c>
      <c r="X28" s="73">
        <v>47</v>
      </c>
      <c r="Y28" s="73">
        <v>31</v>
      </c>
      <c r="Z28" s="73">
        <v>33</v>
      </c>
      <c r="AA28" s="73">
        <v>46</v>
      </c>
      <c r="AB28" s="73">
        <v>57</v>
      </c>
      <c r="AC28" s="73">
        <v>40</v>
      </c>
      <c r="AD28" s="73">
        <v>50</v>
      </c>
      <c r="AE28" s="73">
        <v>72</v>
      </c>
      <c r="AF28" s="73">
        <v>64</v>
      </c>
      <c r="AG28" s="73">
        <v>50</v>
      </c>
      <c r="AH28" s="73">
        <v>55</v>
      </c>
      <c r="AI28" s="73">
        <v>69</v>
      </c>
      <c r="AJ28" s="73">
        <v>64</v>
      </c>
      <c r="AK28" s="73">
        <v>53</v>
      </c>
      <c r="AP28" s="73">
        <v>54</v>
      </c>
      <c r="AR28" s="73">
        <v>58</v>
      </c>
      <c r="BO28" s="73">
        <v>109</v>
      </c>
      <c r="BP28" s="73">
        <v>62</v>
      </c>
      <c r="BQ28" s="73">
        <v>56</v>
      </c>
      <c r="BR28" s="73">
        <v>70</v>
      </c>
      <c r="BS28" s="73">
        <v>103</v>
      </c>
      <c r="BT28" s="73">
        <v>63</v>
      </c>
      <c r="BU28" s="73">
        <v>61</v>
      </c>
      <c r="BV28" s="73">
        <v>71</v>
      </c>
      <c r="BW28" s="73">
        <v>94</v>
      </c>
      <c r="BX28" s="73">
        <v>74</v>
      </c>
      <c r="BY28" s="73">
        <v>71</v>
      </c>
      <c r="BZ28" s="73">
        <v>82</v>
      </c>
      <c r="CA28" s="73">
        <f t="shared" si="107"/>
        <v>84.600000000000009</v>
      </c>
      <c r="CB28" s="73">
        <f t="shared" si="108"/>
        <v>66.600000000000009</v>
      </c>
      <c r="CC28" s="73">
        <f t="shared" si="109"/>
        <v>63.9</v>
      </c>
      <c r="CD28" s="73">
        <f t="shared" si="110"/>
        <v>73.8</v>
      </c>
      <c r="CL28" s="146"/>
      <c r="CM28" s="146"/>
      <c r="CN28" s="146"/>
      <c r="CO28" s="146"/>
      <c r="CP28" s="147"/>
      <c r="CQ28" s="147"/>
      <c r="CR28" s="147"/>
      <c r="CS28" s="146">
        <f>SUM(W28:Z28)</f>
        <v>142</v>
      </c>
      <c r="CT28" s="146">
        <f>SUM(AA28:AD28)</f>
        <v>193</v>
      </c>
      <c r="CU28" s="146">
        <v>350</v>
      </c>
      <c r="CV28" s="146">
        <f t="shared" ref="CV28:DA28" si="112">CU28*1.1</f>
        <v>385.00000000000006</v>
      </c>
      <c r="CW28" s="146">
        <f t="shared" si="112"/>
        <v>423.50000000000011</v>
      </c>
      <c r="CX28" s="146">
        <f t="shared" si="112"/>
        <v>465.85000000000014</v>
      </c>
      <c r="CY28" s="146">
        <f t="shared" si="112"/>
        <v>512.43500000000017</v>
      </c>
      <c r="CZ28" s="146">
        <f t="shared" si="112"/>
        <v>563.67850000000021</v>
      </c>
      <c r="DA28" s="146">
        <f t="shared" si="112"/>
        <v>620.0463500000003</v>
      </c>
      <c r="DB28" s="146">
        <v>200</v>
      </c>
      <c r="DC28" s="146"/>
      <c r="DD28" s="146">
        <f t="shared" si="19"/>
        <v>297</v>
      </c>
      <c r="DE28" s="146">
        <f t="shared" ref="DE28:DE32" si="113">SUM(BS28:BV28)</f>
        <v>298</v>
      </c>
      <c r="DF28" s="146">
        <f t="shared" ref="DF28:DF32" si="114">SUM(BW28:BZ28)</f>
        <v>321</v>
      </c>
      <c r="DG28" s="146">
        <f t="shared" ref="DG28:DG32" si="115">SUM(CA28:CD28)</f>
        <v>288.90000000000003</v>
      </c>
      <c r="DH28" s="146">
        <f>+DG28*0.9</f>
        <v>260.01000000000005</v>
      </c>
      <c r="DI28" s="146">
        <f t="shared" si="111"/>
        <v>234.00900000000004</v>
      </c>
      <c r="DJ28" s="146">
        <f t="shared" si="111"/>
        <v>210.60810000000004</v>
      </c>
      <c r="DK28" s="146">
        <f t="shared" si="111"/>
        <v>189.54729000000003</v>
      </c>
      <c r="DL28" s="146">
        <f t="shared" si="111"/>
        <v>170.59256100000005</v>
      </c>
      <c r="DM28" s="146">
        <f t="shared" si="111"/>
        <v>153.53330490000005</v>
      </c>
      <c r="DN28" s="146">
        <f t="shared" si="111"/>
        <v>138.17997441000006</v>
      </c>
      <c r="DO28" s="146">
        <f t="shared" si="111"/>
        <v>124.36197696900005</v>
      </c>
      <c r="DP28" s="146">
        <f t="shared" si="111"/>
        <v>111.92577927210004</v>
      </c>
      <c r="DQ28" s="146">
        <f t="shared" si="111"/>
        <v>100.73320134489005</v>
      </c>
      <c r="DR28" s="146">
        <f t="shared" si="111"/>
        <v>90.659881210401039</v>
      </c>
      <c r="DS28" s="146">
        <f t="shared" si="111"/>
        <v>81.593893089360932</v>
      </c>
    </row>
    <row r="29" spans="2:123" x14ac:dyDescent="0.2">
      <c r="B29" s="112" t="s">
        <v>1409</v>
      </c>
      <c r="C29" s="171"/>
      <c r="D29" s="171"/>
      <c r="E29" s="171"/>
      <c r="F29" s="171"/>
      <c r="G29" s="147"/>
      <c r="H29" s="147"/>
      <c r="I29" s="147"/>
      <c r="J29" s="147"/>
      <c r="K29" s="147"/>
      <c r="W29" s="162" t="s">
        <v>449</v>
      </c>
      <c r="X29" s="162" t="s">
        <v>449</v>
      </c>
      <c r="Y29" s="73">
        <v>111</v>
      </c>
      <c r="Z29" s="73">
        <v>137</v>
      </c>
      <c r="AA29" s="73">
        <f>265-AA79</f>
        <v>216</v>
      </c>
      <c r="AB29" s="73">
        <f>262-AB79</f>
        <v>229</v>
      </c>
      <c r="AC29" s="73">
        <f>272-AC79</f>
        <v>241</v>
      </c>
      <c r="AD29" s="73">
        <f>288-AD79</f>
        <v>249</v>
      </c>
      <c r="AE29" s="73">
        <f>273-36</f>
        <v>237</v>
      </c>
      <c r="AF29" s="73">
        <v>265</v>
      </c>
      <c r="AG29" s="73">
        <v>283</v>
      </c>
      <c r="AH29" s="73">
        <v>266</v>
      </c>
      <c r="AI29" s="73">
        <v>213</v>
      </c>
      <c r="AJ29" s="73">
        <v>210</v>
      </c>
      <c r="AP29" s="73">
        <v>171</v>
      </c>
      <c r="AR29" s="73">
        <v>122</v>
      </c>
      <c r="BO29" s="73">
        <v>111</v>
      </c>
      <c r="BP29" s="73">
        <v>95</v>
      </c>
      <c r="BQ29" s="73">
        <v>110</v>
      </c>
      <c r="BR29" s="73">
        <v>109</v>
      </c>
      <c r="BS29" s="73">
        <v>100</v>
      </c>
      <c r="BT29" s="73">
        <v>102</v>
      </c>
      <c r="BU29" s="73">
        <v>96</v>
      </c>
      <c r="BV29" s="73">
        <v>101</v>
      </c>
      <c r="BW29" s="73">
        <v>92</v>
      </c>
      <c r="BX29" s="73">
        <v>91</v>
      </c>
      <c r="BY29" s="73">
        <v>94</v>
      </c>
      <c r="BZ29" s="73">
        <v>99</v>
      </c>
      <c r="CA29" s="73">
        <f t="shared" si="107"/>
        <v>82.8</v>
      </c>
      <c r="CB29" s="73">
        <f t="shared" si="108"/>
        <v>81.900000000000006</v>
      </c>
      <c r="CC29" s="73">
        <f t="shared" si="109"/>
        <v>84.600000000000009</v>
      </c>
      <c r="CD29" s="73">
        <f t="shared" si="110"/>
        <v>89.100000000000009</v>
      </c>
      <c r="CL29" s="146" t="s">
        <v>449</v>
      </c>
      <c r="CM29" s="146" t="s">
        <v>449</v>
      </c>
      <c r="CN29" s="146" t="s">
        <v>449</v>
      </c>
      <c r="CO29" s="146" t="s">
        <v>449</v>
      </c>
      <c r="CP29" s="147" t="s">
        <v>449</v>
      </c>
      <c r="CQ29" s="147" t="s">
        <v>449</v>
      </c>
      <c r="CR29" s="147" t="s">
        <v>449</v>
      </c>
      <c r="CS29" s="146">
        <f>SUM(W29:Z29)</f>
        <v>248</v>
      </c>
      <c r="CT29" s="146">
        <f>SUM(AA29:AD29)</f>
        <v>935</v>
      </c>
      <c r="CU29" s="147">
        <f>+CT29*1.03</f>
        <v>963.05000000000007</v>
      </c>
      <c r="CV29" s="147">
        <f>+CU29*1.01</f>
        <v>972.68050000000005</v>
      </c>
      <c r="CW29" s="147">
        <f>+CV29*1.01</f>
        <v>982.40730500000006</v>
      </c>
      <c r="CX29" s="147">
        <f>+CW29*1.01</f>
        <v>992.2313780500001</v>
      </c>
      <c r="CY29" s="147">
        <f>+CX29*1.01</f>
        <v>1002.1536918305001</v>
      </c>
      <c r="CZ29" s="147">
        <f>+CY29*1.03</f>
        <v>1032.2183025854151</v>
      </c>
      <c r="DA29" s="147">
        <f>+CZ29*1.03</f>
        <v>1063.1848516629775</v>
      </c>
      <c r="DB29" s="147">
        <f>+DA29*1.03</f>
        <v>1095.080397212867</v>
      </c>
      <c r="DC29" s="147"/>
      <c r="DD29" s="146">
        <f t="shared" si="19"/>
        <v>425</v>
      </c>
      <c r="DE29" s="146">
        <f t="shared" si="113"/>
        <v>399</v>
      </c>
      <c r="DF29" s="146">
        <f t="shared" si="114"/>
        <v>376</v>
      </c>
      <c r="DG29" s="146">
        <f t="shared" si="115"/>
        <v>338.40000000000003</v>
      </c>
      <c r="DH29" s="146">
        <f t="shared" ref="DH29" si="116">+DG29*0.9</f>
        <v>304.56000000000006</v>
      </c>
      <c r="DI29" s="146">
        <f t="shared" si="111"/>
        <v>274.10400000000004</v>
      </c>
      <c r="DJ29" s="146">
        <f t="shared" si="111"/>
        <v>246.69360000000003</v>
      </c>
      <c r="DK29" s="146">
        <f t="shared" si="111"/>
        <v>222.02424000000002</v>
      </c>
      <c r="DL29" s="146">
        <f t="shared" si="111"/>
        <v>199.82181600000001</v>
      </c>
      <c r="DM29" s="146">
        <f t="shared" si="111"/>
        <v>179.83963440000002</v>
      </c>
      <c r="DN29" s="146">
        <f t="shared" si="111"/>
        <v>161.85567096000003</v>
      </c>
      <c r="DO29" s="146">
        <f t="shared" si="111"/>
        <v>145.67010386400003</v>
      </c>
      <c r="DP29" s="146">
        <f t="shared" si="111"/>
        <v>131.10309347760003</v>
      </c>
      <c r="DQ29" s="146">
        <f t="shared" si="111"/>
        <v>117.99278412984003</v>
      </c>
      <c r="DR29" s="146">
        <f t="shared" si="111"/>
        <v>106.19350571685604</v>
      </c>
      <c r="DS29" s="146">
        <f t="shared" si="111"/>
        <v>95.574155145170437</v>
      </c>
    </row>
    <row r="30" spans="2:123" x14ac:dyDescent="0.2">
      <c r="B30" s="65" t="s">
        <v>81</v>
      </c>
      <c r="C30" s="171">
        <v>10</v>
      </c>
      <c r="D30" s="171">
        <v>14</v>
      </c>
      <c r="E30" s="171">
        <v>17</v>
      </c>
      <c r="F30" s="171">
        <v>23</v>
      </c>
      <c r="G30" s="147">
        <v>26</v>
      </c>
      <c r="H30" s="147">
        <v>28</v>
      </c>
      <c r="I30" s="147">
        <v>36</v>
      </c>
      <c r="J30" s="147">
        <v>39</v>
      </c>
      <c r="K30" s="147">
        <v>47</v>
      </c>
      <c r="L30" s="73">
        <v>51</v>
      </c>
      <c r="M30" s="73">
        <v>57</v>
      </c>
      <c r="N30" s="73">
        <v>61</v>
      </c>
      <c r="O30" s="73">
        <v>63</v>
      </c>
      <c r="P30" s="73">
        <v>67</v>
      </c>
      <c r="Q30" s="73">
        <v>72</v>
      </c>
      <c r="R30" s="73">
        <v>83</v>
      </c>
      <c r="S30" s="73">
        <v>85</v>
      </c>
      <c r="T30" s="73">
        <v>92</v>
      </c>
      <c r="U30" s="73">
        <v>102</v>
      </c>
      <c r="V30" s="73">
        <v>120</v>
      </c>
      <c r="W30" s="73">
        <v>122</v>
      </c>
      <c r="X30" s="73">
        <v>134</v>
      </c>
      <c r="Y30" s="73">
        <v>131</v>
      </c>
      <c r="Z30" s="73">
        <v>143</v>
      </c>
      <c r="AA30" s="73">
        <v>139</v>
      </c>
      <c r="AB30" s="73">
        <v>157</v>
      </c>
      <c r="AC30" s="73">
        <v>156</v>
      </c>
      <c r="AD30" s="73">
        <v>177</v>
      </c>
      <c r="AE30" s="73">
        <v>166</v>
      </c>
      <c r="AF30" s="73">
        <v>188</v>
      </c>
      <c r="AG30" s="73">
        <v>188</v>
      </c>
      <c r="AH30" s="73">
        <v>206</v>
      </c>
      <c r="AI30" s="73">
        <v>186</v>
      </c>
      <c r="AJ30" s="73">
        <v>197</v>
      </c>
      <c r="AK30" s="73">
        <v>199</v>
      </c>
      <c r="AP30" s="73">
        <v>226</v>
      </c>
      <c r="AR30" s="73">
        <v>199</v>
      </c>
      <c r="BO30" s="73">
        <v>141</v>
      </c>
      <c r="BP30" s="73">
        <v>134</v>
      </c>
      <c r="BQ30" s="73">
        <v>95</v>
      </c>
      <c r="BR30" s="73">
        <v>96</v>
      </c>
      <c r="BS30" s="73">
        <v>83</v>
      </c>
      <c r="BT30" s="73">
        <v>85</v>
      </c>
      <c r="BU30" s="73">
        <v>85</v>
      </c>
      <c r="BV30" s="73">
        <v>79</v>
      </c>
      <c r="BW30" s="73">
        <v>81</v>
      </c>
      <c r="BX30" s="73">
        <v>81</v>
      </c>
      <c r="BY30" s="73">
        <v>86</v>
      </c>
      <c r="BZ30" s="73">
        <v>82</v>
      </c>
      <c r="CA30" s="73">
        <f t="shared" si="107"/>
        <v>72.900000000000006</v>
      </c>
      <c r="CB30" s="73">
        <f t="shared" si="108"/>
        <v>72.900000000000006</v>
      </c>
      <c r="CC30" s="73">
        <f t="shared" si="109"/>
        <v>77.400000000000006</v>
      </c>
      <c r="CD30" s="73">
        <f t="shared" si="110"/>
        <v>73.8</v>
      </c>
      <c r="CL30" s="146" t="s">
        <v>449</v>
      </c>
      <c r="CM30" s="146">
        <v>19</v>
      </c>
      <c r="CN30" s="146">
        <v>64</v>
      </c>
      <c r="CO30" s="146">
        <v>129</v>
      </c>
      <c r="CP30" s="147">
        <f>SUM(K30:N30)</f>
        <v>216</v>
      </c>
      <c r="CQ30" s="147">
        <f>SUM(O30:R30)</f>
        <v>285</v>
      </c>
      <c r="CR30" s="147">
        <f>SUM(S30:V30)</f>
        <v>399</v>
      </c>
      <c r="CS30" s="146">
        <f>SUM(W30:Z30)</f>
        <v>530</v>
      </c>
      <c r="CT30" s="146">
        <f>SUM(AA30:AD30)</f>
        <v>629</v>
      </c>
      <c r="CU30" s="147">
        <f>CT30*1.05</f>
        <v>660.45</v>
      </c>
      <c r="CV30" s="147">
        <f>CU30*1.05</f>
        <v>693.47250000000008</v>
      </c>
      <c r="CW30" s="147">
        <f>CV30*1.02</f>
        <v>707.34195000000011</v>
      </c>
      <c r="CX30" s="147">
        <f>+CW30*1</f>
        <v>707.34195000000011</v>
      </c>
      <c r="CY30" s="147">
        <f>+CX30*0.5</f>
        <v>353.67097500000006</v>
      </c>
      <c r="CZ30" s="147">
        <f>+CY30*0.9</f>
        <v>318.30387750000006</v>
      </c>
      <c r="DA30" s="147">
        <f t="shared" ref="DA30:DB30" si="117">+CZ30*0.9</f>
        <v>286.47348975000006</v>
      </c>
      <c r="DB30" s="147">
        <f t="shared" si="117"/>
        <v>257.82614077500006</v>
      </c>
      <c r="DC30" s="147"/>
      <c r="DD30" s="146">
        <f t="shared" si="19"/>
        <v>466</v>
      </c>
      <c r="DE30" s="146">
        <f t="shared" si="113"/>
        <v>332</v>
      </c>
      <c r="DF30" s="146">
        <f t="shared" si="114"/>
        <v>330</v>
      </c>
      <c r="DG30" s="146">
        <f t="shared" si="115"/>
        <v>297</v>
      </c>
      <c r="DH30" s="146">
        <f t="shared" ref="DH30" si="118">+DG30*0.9</f>
        <v>267.3</v>
      </c>
      <c r="DI30" s="146">
        <f t="shared" si="111"/>
        <v>240.57000000000002</v>
      </c>
      <c r="DJ30" s="146">
        <f t="shared" si="111"/>
        <v>216.51300000000003</v>
      </c>
      <c r="DK30" s="146">
        <f t="shared" si="111"/>
        <v>194.86170000000004</v>
      </c>
      <c r="DL30" s="146">
        <f t="shared" si="111"/>
        <v>175.37553000000005</v>
      </c>
      <c r="DM30" s="146">
        <f t="shared" si="111"/>
        <v>157.83797700000005</v>
      </c>
      <c r="DN30" s="146">
        <f t="shared" si="111"/>
        <v>142.05417930000004</v>
      </c>
      <c r="DO30" s="146">
        <f t="shared" si="111"/>
        <v>127.84876137000005</v>
      </c>
      <c r="DP30" s="146">
        <f t="shared" si="111"/>
        <v>115.06388523300005</v>
      </c>
      <c r="DQ30" s="146">
        <f t="shared" si="111"/>
        <v>103.55749670970005</v>
      </c>
      <c r="DR30" s="146">
        <f t="shared" si="111"/>
        <v>93.201747038730048</v>
      </c>
      <c r="DS30" s="146">
        <f t="shared" si="111"/>
        <v>83.88157233485704</v>
      </c>
    </row>
    <row r="31" spans="2:123" x14ac:dyDescent="0.2">
      <c r="B31" s="65" t="s">
        <v>571</v>
      </c>
      <c r="C31" s="172"/>
      <c r="D31" s="172"/>
      <c r="E31" s="172"/>
      <c r="F31" s="172"/>
      <c r="G31" s="147"/>
      <c r="H31" s="147"/>
      <c r="I31" s="147"/>
      <c r="J31" s="147"/>
      <c r="K31" s="146"/>
      <c r="X31" s="73">
        <v>12</v>
      </c>
      <c r="Y31" s="73">
        <v>13</v>
      </c>
      <c r="Z31" s="73">
        <v>48</v>
      </c>
      <c r="AA31" s="73">
        <v>45</v>
      </c>
      <c r="AB31" s="73">
        <v>38</v>
      </c>
      <c r="AC31" s="73">
        <v>90</v>
      </c>
      <c r="AD31" s="73">
        <v>48</v>
      </c>
      <c r="AE31" s="73">
        <v>77</v>
      </c>
      <c r="AF31" s="73">
        <v>99</v>
      </c>
      <c r="AG31" s="73">
        <v>107</v>
      </c>
      <c r="AH31" s="73">
        <v>67</v>
      </c>
      <c r="AI31" s="73">
        <v>73</v>
      </c>
      <c r="AJ31" s="73">
        <v>101</v>
      </c>
      <c r="AK31" s="73">
        <v>106</v>
      </c>
      <c r="AP31" s="73">
        <v>161</v>
      </c>
      <c r="AR31" s="73">
        <v>105</v>
      </c>
      <c r="BO31" s="73">
        <v>123</v>
      </c>
      <c r="BP31" s="73">
        <v>103</v>
      </c>
      <c r="BQ31" s="73">
        <v>83</v>
      </c>
      <c r="BR31" s="73">
        <v>93</v>
      </c>
      <c r="BS31" s="73">
        <v>102</v>
      </c>
      <c r="BT31" s="73">
        <v>97</v>
      </c>
      <c r="BU31" s="73">
        <v>66</v>
      </c>
      <c r="BV31" s="73">
        <v>92</v>
      </c>
      <c r="BW31" s="73">
        <v>81</v>
      </c>
      <c r="BX31" s="73">
        <v>84</v>
      </c>
      <c r="BY31" s="73">
        <v>72</v>
      </c>
      <c r="BZ31" s="73">
        <v>68</v>
      </c>
      <c r="CA31" s="73">
        <f t="shared" si="107"/>
        <v>72.900000000000006</v>
      </c>
      <c r="CB31" s="73">
        <f t="shared" si="108"/>
        <v>75.600000000000009</v>
      </c>
      <c r="CC31" s="73">
        <f t="shared" si="109"/>
        <v>64.8</v>
      </c>
      <c r="CD31" s="73">
        <f t="shared" si="110"/>
        <v>61.2</v>
      </c>
      <c r="CL31" s="147"/>
      <c r="CM31" s="147"/>
      <c r="CN31" s="147"/>
      <c r="CO31" s="146"/>
      <c r="CP31" s="147"/>
      <c r="CQ31" s="147"/>
      <c r="CR31" s="147"/>
      <c r="CS31" s="146">
        <f>SUM(W31:AA31)</f>
        <v>118</v>
      </c>
      <c r="CT31" s="146">
        <f>SUM(AA31:AD31)</f>
        <v>221</v>
      </c>
      <c r="CU31" s="146">
        <v>100</v>
      </c>
      <c r="CV31" s="146">
        <v>125</v>
      </c>
      <c r="CW31" s="146">
        <v>150</v>
      </c>
      <c r="CX31" s="146">
        <v>175</v>
      </c>
      <c r="CY31" s="146">
        <v>200</v>
      </c>
      <c r="CZ31" s="146">
        <v>225</v>
      </c>
      <c r="DA31" s="152">
        <v>250</v>
      </c>
      <c r="DB31" s="152">
        <v>250</v>
      </c>
      <c r="DC31" s="152"/>
      <c r="DD31" s="146">
        <f t="shared" si="19"/>
        <v>402</v>
      </c>
      <c r="DE31" s="146">
        <f t="shared" si="113"/>
        <v>357</v>
      </c>
      <c r="DF31" s="146">
        <f t="shared" si="114"/>
        <v>305</v>
      </c>
      <c r="DG31" s="146">
        <f t="shared" si="115"/>
        <v>274.5</v>
      </c>
      <c r="DH31" s="146">
        <f t="shared" ref="DH31" si="119">+DG31*0.9</f>
        <v>247.05</v>
      </c>
      <c r="DI31" s="146">
        <f t="shared" si="111"/>
        <v>222.34500000000003</v>
      </c>
      <c r="DJ31" s="146">
        <f t="shared" si="111"/>
        <v>200.11050000000003</v>
      </c>
      <c r="DK31" s="146">
        <f t="shared" si="111"/>
        <v>180.09945000000002</v>
      </c>
      <c r="DL31" s="146">
        <f t="shared" si="111"/>
        <v>162.08950500000003</v>
      </c>
      <c r="DM31" s="146">
        <f t="shared" si="111"/>
        <v>145.88055450000004</v>
      </c>
      <c r="DN31" s="146">
        <f t="shared" si="111"/>
        <v>131.29249905000003</v>
      </c>
      <c r="DO31" s="146">
        <f t="shared" si="111"/>
        <v>118.16324914500004</v>
      </c>
      <c r="DP31" s="146">
        <f t="shared" si="111"/>
        <v>106.34692423050004</v>
      </c>
      <c r="DQ31" s="146">
        <f t="shared" si="111"/>
        <v>95.712231807450038</v>
      </c>
      <c r="DR31" s="146">
        <f t="shared" si="111"/>
        <v>86.14100862670503</v>
      </c>
      <c r="DS31" s="146">
        <f t="shared" si="111"/>
        <v>77.526907764034533</v>
      </c>
    </row>
    <row r="32" spans="2:123" x14ac:dyDescent="0.2">
      <c r="B32" s="65" t="s">
        <v>365</v>
      </c>
      <c r="C32" s="171">
        <v>73</v>
      </c>
      <c r="D32" s="171">
        <v>87</v>
      </c>
      <c r="E32" s="171">
        <v>132</v>
      </c>
      <c r="F32" s="171">
        <v>141</v>
      </c>
      <c r="G32" s="147">
        <v>70</v>
      </c>
      <c r="H32" s="147">
        <v>104</v>
      </c>
      <c r="I32" s="147">
        <v>127</v>
      </c>
      <c r="J32" s="147">
        <v>186</v>
      </c>
      <c r="K32" s="73">
        <f>366-K20-K41-K17-K19</f>
        <v>116</v>
      </c>
      <c r="L32" s="73">
        <f>387-L20-L41-L17-L19</f>
        <v>122</v>
      </c>
      <c r="M32" s="73">
        <f>412-M20-M41-M17-M19</f>
        <v>158</v>
      </c>
      <c r="N32" s="73">
        <f>527-N20-N41-N17-N19</f>
        <v>138</v>
      </c>
      <c r="O32" s="73">
        <f>368-O20-O41-O17-O19</f>
        <v>107</v>
      </c>
      <c r="P32" s="73">
        <f>398-P20-P41-P17-P19</f>
        <v>117</v>
      </c>
      <c r="Q32" s="73">
        <f>593-Q20-Q41-Q17-Q19</f>
        <v>148</v>
      </c>
      <c r="R32" s="73">
        <f>634-R20-R41-R17-R19</f>
        <v>163</v>
      </c>
      <c r="S32" s="73">
        <f>436-S20-S41-S17-S19-S40</f>
        <v>114</v>
      </c>
      <c r="T32" s="73">
        <f>577-T20-T41-T17-T19-T40</f>
        <v>171</v>
      </c>
      <c r="U32" s="73">
        <f>730-U20-U41-U17-U19-U40-U87</f>
        <v>169</v>
      </c>
      <c r="V32" s="73">
        <f>796-V20-V41-V17-V19-V40-V87</f>
        <v>262</v>
      </c>
      <c r="W32" s="73">
        <f>625-W20-W41-W17-W19-W40-W87-W21</f>
        <v>158</v>
      </c>
      <c r="X32" s="73">
        <f>756-X20-X41-X17-X19-X40-X87-X31-X21</f>
        <v>168</v>
      </c>
      <c r="Y32" s="73">
        <f>802-Y20-Y41-Y17-Y19-Y40-Y87-Y31-Y21</f>
        <v>143</v>
      </c>
      <c r="Z32" s="73">
        <f>1523-Z20-Z41-Z17-Z19-Z40-Z87-Z31-Z21</f>
        <v>136</v>
      </c>
      <c r="AA32" s="73">
        <f>1411-AA20-AA41-AA17-AA19-AA40-AA87-AA31-AA21</f>
        <v>128</v>
      </c>
      <c r="AB32" s="73">
        <f>939-AB20-AB41-AB17-AB19-AB40-AB87-AB31-AB21</f>
        <v>148</v>
      </c>
      <c r="AC32" s="73">
        <f>982-AC20-AC41-AC17-AC19-AC40-AC87-AC31-AC21</f>
        <v>151</v>
      </c>
      <c r="AD32" s="73">
        <f>994-AD20-AD41-AD17-AD19-AD40-AD87-AD31-AD21</f>
        <v>167</v>
      </c>
      <c r="AE32" s="73">
        <f>758-AE20-AE41-AE17-AE19-AE40-AE87-AE31-AE21</f>
        <v>130</v>
      </c>
      <c r="AF32" s="73">
        <f>787-53-65-8-4-191-156-75-99</f>
        <v>136</v>
      </c>
      <c r="AG32" s="73">
        <f>1142-62-232-159-1-178-192-75-107</f>
        <v>136</v>
      </c>
      <c r="AH32" s="73">
        <f>810-45-100-54-8-161-181-73-67</f>
        <v>121</v>
      </c>
      <c r="AI32" s="73">
        <f>758-47-131-7-153-161-76-73</f>
        <v>110</v>
      </c>
      <c r="AJ32" s="73">
        <v>112</v>
      </c>
      <c r="AK32" s="73">
        <v>101</v>
      </c>
      <c r="AP32" s="73">
        <v>123</v>
      </c>
      <c r="AR32" s="73">
        <v>92</v>
      </c>
      <c r="BO32" s="73">
        <f>64+21</f>
        <v>85</v>
      </c>
      <c r="BP32" s="73">
        <v>28</v>
      </c>
      <c r="BQ32" s="73">
        <v>55</v>
      </c>
      <c r="BR32" s="73">
        <v>42</v>
      </c>
      <c r="BS32" s="73">
        <v>40</v>
      </c>
      <c r="BT32" s="73">
        <v>47</v>
      </c>
      <c r="BU32" s="73">
        <v>34</v>
      </c>
      <c r="BV32" s="73">
        <f>19+29</f>
        <v>48</v>
      </c>
      <c r="BW32" s="73">
        <f>44+7</f>
        <v>51</v>
      </c>
      <c r="BX32" s="162">
        <f>14+1</f>
        <v>15</v>
      </c>
      <c r="BY32" s="73">
        <v>47</v>
      </c>
      <c r="BZ32" s="73">
        <v>84</v>
      </c>
      <c r="CA32" s="73">
        <f t="shared" si="107"/>
        <v>45.9</v>
      </c>
      <c r="CB32" s="73">
        <f t="shared" si="108"/>
        <v>13.5</v>
      </c>
      <c r="CC32" s="73">
        <f t="shared" si="109"/>
        <v>42.300000000000004</v>
      </c>
      <c r="CD32" s="73">
        <f t="shared" si="110"/>
        <v>75.600000000000009</v>
      </c>
      <c r="CL32" s="146">
        <v>343</v>
      </c>
      <c r="CM32" s="146">
        <v>368</v>
      </c>
      <c r="CN32" s="146">
        <v>433</v>
      </c>
      <c r="CO32" s="147">
        <v>487</v>
      </c>
      <c r="CP32" s="147">
        <f>SUM(K32:N32)</f>
        <v>534</v>
      </c>
      <c r="CQ32" s="147">
        <f>SUM(O32:R32)</f>
        <v>535</v>
      </c>
      <c r="CR32" s="147">
        <f>SUM(S32:V32)</f>
        <v>716</v>
      </c>
      <c r="CS32" s="146">
        <f t="shared" ref="CS32" si="120">SUM(W32:Z32)</f>
        <v>605</v>
      </c>
      <c r="CT32" s="146">
        <f t="shared" ref="CT32" si="121">SUM(AA32:AD32)</f>
        <v>594</v>
      </c>
      <c r="CU32" s="147">
        <f>CT32</f>
        <v>594</v>
      </c>
      <c r="CV32" s="147">
        <f t="shared" ref="CV32:DA32" si="122">CU32</f>
        <v>594</v>
      </c>
      <c r="CW32" s="147">
        <f t="shared" si="122"/>
        <v>594</v>
      </c>
      <c r="CX32" s="147">
        <f t="shared" si="122"/>
        <v>594</v>
      </c>
      <c r="CY32" s="147">
        <f t="shared" si="122"/>
        <v>594</v>
      </c>
      <c r="CZ32" s="147">
        <f t="shared" si="122"/>
        <v>594</v>
      </c>
      <c r="DA32" s="147">
        <f t="shared" si="122"/>
        <v>594</v>
      </c>
      <c r="DB32" s="147">
        <f>DA32</f>
        <v>594</v>
      </c>
      <c r="DC32" s="147"/>
      <c r="DD32" s="146">
        <f t="shared" si="19"/>
        <v>210</v>
      </c>
      <c r="DE32" s="146">
        <f t="shared" si="113"/>
        <v>169</v>
      </c>
      <c r="DF32" s="146">
        <f t="shared" si="114"/>
        <v>197</v>
      </c>
      <c r="DG32" s="146">
        <f t="shared" si="115"/>
        <v>177.3</v>
      </c>
      <c r="DH32" s="146">
        <f t="shared" ref="DH32" si="123">+DG32*0.9</f>
        <v>159.57000000000002</v>
      </c>
      <c r="DI32" s="146">
        <f t="shared" si="111"/>
        <v>143.61300000000003</v>
      </c>
      <c r="DJ32" s="146">
        <f t="shared" si="111"/>
        <v>129.25170000000003</v>
      </c>
      <c r="DK32" s="146">
        <f t="shared" si="111"/>
        <v>116.32653000000003</v>
      </c>
      <c r="DL32" s="146">
        <f t="shared" si="111"/>
        <v>104.69387700000003</v>
      </c>
      <c r="DM32" s="146">
        <f t="shared" si="111"/>
        <v>94.22448930000003</v>
      </c>
      <c r="DN32" s="146">
        <f t="shared" si="111"/>
        <v>84.802040370000029</v>
      </c>
      <c r="DO32" s="146">
        <f t="shared" si="111"/>
        <v>76.321836333000022</v>
      </c>
      <c r="DP32" s="146">
        <f t="shared" si="111"/>
        <v>68.689652699700019</v>
      </c>
      <c r="DQ32" s="146">
        <f t="shared" si="111"/>
        <v>61.820687429730022</v>
      </c>
      <c r="DR32" s="146">
        <f t="shared" si="111"/>
        <v>55.63861868675702</v>
      </c>
      <c r="DS32" s="146">
        <f t="shared" si="111"/>
        <v>50.074756818081319</v>
      </c>
    </row>
    <row r="33" spans="2:123" x14ac:dyDescent="0.2">
      <c r="B33" s="112" t="s">
        <v>1396</v>
      </c>
      <c r="C33" s="171"/>
      <c r="D33" s="171"/>
      <c r="E33" s="171"/>
      <c r="F33" s="171"/>
      <c r="G33" s="147"/>
      <c r="H33" s="147"/>
      <c r="I33" s="147"/>
      <c r="J33" s="147"/>
      <c r="BO33" s="73">
        <v>57</v>
      </c>
      <c r="BP33" s="73">
        <v>59</v>
      </c>
      <c r="BQ33" s="73">
        <v>56</v>
      </c>
      <c r="BR33" s="73">
        <v>48</v>
      </c>
      <c r="BS33" s="73">
        <v>52</v>
      </c>
      <c r="BT33" s="73">
        <v>53</v>
      </c>
      <c r="BU33" s="73">
        <v>51</v>
      </c>
      <c r="BV33" s="73">
        <v>49</v>
      </c>
      <c r="BW33" s="73">
        <v>50</v>
      </c>
      <c r="BX33" s="73">
        <v>51</v>
      </c>
      <c r="BY33" s="73">
        <v>56</v>
      </c>
      <c r="BZ33" s="73">
        <v>39</v>
      </c>
      <c r="CA33" s="73">
        <f t="shared" si="107"/>
        <v>45</v>
      </c>
      <c r="CB33" s="73">
        <f t="shared" si="108"/>
        <v>45.9</v>
      </c>
      <c r="CC33" s="73">
        <f t="shared" si="109"/>
        <v>50.4</v>
      </c>
      <c r="CD33" s="73">
        <f t="shared" si="110"/>
        <v>35.1</v>
      </c>
      <c r="CL33" s="146"/>
      <c r="CM33" s="146"/>
      <c r="CN33" s="146"/>
      <c r="CO33" s="147"/>
      <c r="CP33" s="147"/>
      <c r="CQ33" s="147"/>
      <c r="CR33" s="147"/>
      <c r="CS33" s="146"/>
      <c r="CT33" s="146"/>
      <c r="CU33" s="147"/>
      <c r="CV33" s="147"/>
      <c r="CW33" s="147"/>
      <c r="CX33" s="147"/>
      <c r="CY33" s="147"/>
      <c r="CZ33" s="147"/>
      <c r="DA33" s="147"/>
      <c r="DB33" s="147"/>
      <c r="DC33" s="147"/>
      <c r="DD33" s="146">
        <f t="shared" si="19"/>
        <v>220</v>
      </c>
      <c r="DE33" s="146">
        <f t="shared" ref="DE33:DE49" si="124">SUM(BS33:BV33)</f>
        <v>205</v>
      </c>
      <c r="DF33" s="146">
        <f t="shared" ref="DF33:DF49" si="125">SUM(BW33:BZ33)</f>
        <v>196</v>
      </c>
      <c r="DG33" s="146">
        <f t="shared" ref="DG33:DG49" si="126">SUM(CA33:CD33)</f>
        <v>176.4</v>
      </c>
      <c r="DH33" s="146">
        <f t="shared" ref="DH33" si="127">+DG33*0.9</f>
        <v>158.76000000000002</v>
      </c>
      <c r="DI33" s="146">
        <f t="shared" si="111"/>
        <v>142.88400000000001</v>
      </c>
      <c r="DJ33" s="146">
        <f t="shared" si="111"/>
        <v>128.59560000000002</v>
      </c>
      <c r="DK33" s="146">
        <f t="shared" si="111"/>
        <v>115.73604000000002</v>
      </c>
      <c r="DL33" s="146">
        <f t="shared" si="111"/>
        <v>104.16243600000001</v>
      </c>
      <c r="DM33" s="146">
        <f t="shared" si="111"/>
        <v>93.746192400000012</v>
      </c>
      <c r="DN33" s="146">
        <f t="shared" si="111"/>
        <v>84.371573160000011</v>
      </c>
      <c r="DO33" s="146">
        <f t="shared" si="111"/>
        <v>75.934415844000014</v>
      </c>
      <c r="DP33" s="146">
        <f t="shared" si="111"/>
        <v>68.340974259600017</v>
      </c>
      <c r="DQ33" s="146">
        <f t="shared" si="111"/>
        <v>61.506876833640014</v>
      </c>
      <c r="DR33" s="146">
        <f t="shared" si="111"/>
        <v>55.356189150276016</v>
      </c>
      <c r="DS33" s="146">
        <f t="shared" si="111"/>
        <v>49.820570235248418</v>
      </c>
    </row>
    <row r="34" spans="2:123" x14ac:dyDescent="0.2">
      <c r="B34" s="112" t="s">
        <v>1255</v>
      </c>
      <c r="C34" s="171"/>
      <c r="D34" s="171"/>
      <c r="E34" s="171"/>
      <c r="F34" s="171"/>
      <c r="G34" s="147"/>
      <c r="H34" s="147"/>
      <c r="I34" s="147"/>
      <c r="J34" s="147"/>
      <c r="BO34" s="73">
        <v>57</v>
      </c>
      <c r="BP34" s="73">
        <v>54</v>
      </c>
      <c r="BQ34" s="73">
        <v>72</v>
      </c>
      <c r="BR34" s="73">
        <v>78</v>
      </c>
      <c r="BS34" s="73">
        <v>63</v>
      </c>
      <c r="BT34" s="73">
        <v>54</v>
      </c>
      <c r="BU34" s="73">
        <v>89</v>
      </c>
      <c r="BV34" s="73">
        <v>54</v>
      </c>
      <c r="BW34" s="73">
        <v>47</v>
      </c>
      <c r="BX34" s="73">
        <v>40</v>
      </c>
      <c r="BY34" s="73">
        <v>51</v>
      </c>
      <c r="BZ34" s="73">
        <v>50</v>
      </c>
      <c r="CA34" s="73">
        <f t="shared" si="107"/>
        <v>42.300000000000004</v>
      </c>
      <c r="CB34" s="73">
        <f t="shared" si="108"/>
        <v>36</v>
      </c>
      <c r="CC34" s="73">
        <f t="shared" si="109"/>
        <v>45.9</v>
      </c>
      <c r="CD34" s="73">
        <f t="shared" si="110"/>
        <v>45</v>
      </c>
      <c r="CL34" s="146"/>
      <c r="CM34" s="146"/>
      <c r="CN34" s="146"/>
      <c r="CO34" s="147"/>
      <c r="CP34" s="147"/>
      <c r="CQ34" s="147"/>
      <c r="CR34" s="147"/>
      <c r="CS34" s="146"/>
      <c r="CT34" s="146"/>
      <c r="CU34" s="147"/>
      <c r="CV34" s="147"/>
      <c r="CW34" s="147"/>
      <c r="CX34" s="147"/>
      <c r="CY34" s="147"/>
      <c r="CZ34" s="147"/>
      <c r="DA34" s="147"/>
      <c r="DB34" s="147"/>
      <c r="DC34" s="147"/>
      <c r="DD34" s="146">
        <f t="shared" si="19"/>
        <v>261</v>
      </c>
      <c r="DE34" s="146">
        <f t="shared" si="124"/>
        <v>260</v>
      </c>
      <c r="DF34" s="146">
        <f t="shared" si="125"/>
        <v>188</v>
      </c>
      <c r="DG34" s="146">
        <f t="shared" si="126"/>
        <v>169.20000000000002</v>
      </c>
      <c r="DH34" s="146">
        <f t="shared" ref="DH34" si="128">+DG34*0.9</f>
        <v>152.28000000000003</v>
      </c>
      <c r="DI34" s="146">
        <f t="shared" si="111"/>
        <v>137.05200000000002</v>
      </c>
      <c r="DJ34" s="146">
        <f t="shared" si="111"/>
        <v>123.34680000000002</v>
      </c>
      <c r="DK34" s="146">
        <f t="shared" si="111"/>
        <v>111.01212000000001</v>
      </c>
      <c r="DL34" s="146">
        <f t="shared" si="111"/>
        <v>99.910908000000006</v>
      </c>
      <c r="DM34" s="146">
        <f t="shared" si="111"/>
        <v>89.919817200000011</v>
      </c>
      <c r="DN34" s="146">
        <f t="shared" si="111"/>
        <v>80.927835480000013</v>
      </c>
      <c r="DO34" s="146">
        <f t="shared" si="111"/>
        <v>72.835051932000013</v>
      </c>
      <c r="DP34" s="146">
        <f t="shared" si="111"/>
        <v>65.551546738800013</v>
      </c>
      <c r="DQ34" s="146">
        <f t="shared" si="111"/>
        <v>58.996392064920016</v>
      </c>
      <c r="DR34" s="146">
        <f t="shared" si="111"/>
        <v>53.096752858428019</v>
      </c>
      <c r="DS34" s="146">
        <f t="shared" si="111"/>
        <v>47.787077572585218</v>
      </c>
    </row>
    <row r="35" spans="2:123" x14ac:dyDescent="0.2">
      <c r="B35" s="112" t="s">
        <v>725</v>
      </c>
      <c r="C35" s="172"/>
      <c r="D35" s="172"/>
      <c r="E35" s="172"/>
      <c r="F35" s="172"/>
      <c r="G35" s="147"/>
      <c r="H35" s="147"/>
      <c r="I35" s="147"/>
      <c r="J35" s="147"/>
      <c r="K35" s="147"/>
      <c r="BO35" s="73">
        <v>40</v>
      </c>
      <c r="BP35" s="73">
        <v>38</v>
      </c>
      <c r="BQ35" s="73">
        <v>104</v>
      </c>
      <c r="BR35" s="73">
        <v>83</v>
      </c>
      <c r="BS35" s="73">
        <v>39</v>
      </c>
      <c r="BT35" s="73">
        <v>59</v>
      </c>
      <c r="BU35" s="73">
        <v>126</v>
      </c>
      <c r="BV35" s="73">
        <v>48</v>
      </c>
      <c r="BW35" s="73">
        <v>42</v>
      </c>
      <c r="BX35" s="73">
        <v>69</v>
      </c>
      <c r="BY35" s="73">
        <v>157</v>
      </c>
      <c r="BZ35" s="73">
        <v>77</v>
      </c>
      <c r="CA35" s="73">
        <f t="shared" si="107"/>
        <v>37.800000000000004</v>
      </c>
      <c r="CB35" s="73">
        <f t="shared" si="108"/>
        <v>62.1</v>
      </c>
      <c r="CC35" s="73">
        <f t="shared" si="109"/>
        <v>141.30000000000001</v>
      </c>
      <c r="CD35" s="73">
        <f t="shared" si="110"/>
        <v>69.3</v>
      </c>
      <c r="CL35" s="147"/>
      <c r="CM35" s="147"/>
      <c r="CN35" s="147"/>
      <c r="CO35" s="147"/>
      <c r="CP35" s="146"/>
      <c r="CQ35" s="146"/>
      <c r="CR35" s="147"/>
      <c r="CS35" s="146"/>
      <c r="CT35" s="146"/>
      <c r="CU35" s="147"/>
      <c r="CV35" s="147"/>
      <c r="CW35" s="147"/>
      <c r="CX35" s="147"/>
      <c r="CY35" s="147"/>
      <c r="CZ35" s="147"/>
      <c r="DA35" s="147"/>
      <c r="DB35" s="147"/>
      <c r="DC35" s="147"/>
      <c r="DD35" s="146">
        <f t="shared" si="19"/>
        <v>265</v>
      </c>
      <c r="DE35" s="146">
        <f t="shared" si="124"/>
        <v>272</v>
      </c>
      <c r="DF35" s="146">
        <f t="shared" si="125"/>
        <v>345</v>
      </c>
      <c r="DG35" s="146">
        <f t="shared" si="126"/>
        <v>310.5</v>
      </c>
      <c r="DH35" s="146">
        <f t="shared" ref="DH35" si="129">+DG35*0.9</f>
        <v>279.45</v>
      </c>
      <c r="DI35" s="146">
        <f t="shared" si="111"/>
        <v>251.505</v>
      </c>
      <c r="DJ35" s="146">
        <f t="shared" si="111"/>
        <v>226.3545</v>
      </c>
      <c r="DK35" s="146">
        <f t="shared" si="111"/>
        <v>203.71905000000001</v>
      </c>
      <c r="DL35" s="146">
        <f t="shared" si="111"/>
        <v>183.34714500000001</v>
      </c>
      <c r="DM35" s="146">
        <f t="shared" si="111"/>
        <v>165.01243050000002</v>
      </c>
      <c r="DN35" s="146">
        <f t="shared" si="111"/>
        <v>148.51118745000002</v>
      </c>
      <c r="DO35" s="146">
        <f t="shared" si="111"/>
        <v>133.66006870500001</v>
      </c>
      <c r="DP35" s="146">
        <f t="shared" si="111"/>
        <v>120.29406183450001</v>
      </c>
      <c r="DQ35" s="146">
        <f t="shared" si="111"/>
        <v>108.26465565105002</v>
      </c>
      <c r="DR35" s="146">
        <f t="shared" si="111"/>
        <v>97.438190085945024</v>
      </c>
      <c r="DS35" s="146">
        <f t="shared" si="111"/>
        <v>87.694371077350525</v>
      </c>
    </row>
    <row r="36" spans="2:123" x14ac:dyDescent="0.2">
      <c r="B36" s="112" t="s">
        <v>1387</v>
      </c>
      <c r="C36" s="172"/>
      <c r="D36" s="172"/>
      <c r="E36" s="172"/>
      <c r="F36" s="172"/>
      <c r="G36" s="147"/>
      <c r="H36" s="147"/>
      <c r="I36" s="147"/>
      <c r="J36" s="147"/>
      <c r="K36" s="147"/>
      <c r="BO36" s="73">
        <v>0</v>
      </c>
      <c r="BP36" s="73">
        <v>0</v>
      </c>
      <c r="BQ36" s="73">
        <v>8</v>
      </c>
      <c r="BR36" s="73">
        <v>25</v>
      </c>
      <c r="BS36" s="73">
        <v>21</v>
      </c>
      <c r="BT36" s="73">
        <v>21</v>
      </c>
      <c r="BU36" s="73">
        <v>25</v>
      </c>
      <c r="BV36" s="73">
        <v>22</v>
      </c>
      <c r="BW36" s="73">
        <v>25</v>
      </c>
      <c r="BX36" s="73">
        <v>30</v>
      </c>
      <c r="BY36" s="73">
        <v>36</v>
      </c>
      <c r="BZ36" s="73">
        <v>27</v>
      </c>
      <c r="CA36" s="73">
        <f t="shared" ref="CA36:CD36" si="130">+BZ36+5</f>
        <v>32</v>
      </c>
      <c r="CB36" s="73">
        <f t="shared" si="130"/>
        <v>37</v>
      </c>
      <c r="CC36" s="73">
        <f t="shared" si="130"/>
        <v>42</v>
      </c>
      <c r="CD36" s="73">
        <f t="shared" si="130"/>
        <v>47</v>
      </c>
      <c r="CL36" s="147"/>
      <c r="CM36" s="147"/>
      <c r="CN36" s="147"/>
      <c r="CO36" s="147"/>
      <c r="CP36" s="146"/>
      <c r="CQ36" s="146"/>
      <c r="CR36" s="147"/>
      <c r="CS36" s="146"/>
      <c r="CT36" s="146"/>
      <c r="CU36" s="147"/>
      <c r="CV36" s="147"/>
      <c r="CW36" s="147"/>
      <c r="CX36" s="147"/>
      <c r="CY36" s="147"/>
      <c r="CZ36" s="147"/>
      <c r="DA36" s="147"/>
      <c r="DB36" s="147"/>
      <c r="DC36" s="147"/>
      <c r="DD36" s="146">
        <f t="shared" si="19"/>
        <v>33</v>
      </c>
      <c r="DE36" s="146">
        <f t="shared" si="124"/>
        <v>89</v>
      </c>
      <c r="DF36" s="146">
        <f t="shared" si="125"/>
        <v>118</v>
      </c>
      <c r="DG36" s="146">
        <f t="shared" si="126"/>
        <v>158</v>
      </c>
      <c r="DH36" s="147">
        <f>+DG36*1.5</f>
        <v>237</v>
      </c>
      <c r="DI36" s="147">
        <f>+DH36*1.5</f>
        <v>355.5</v>
      </c>
      <c r="DJ36" s="147">
        <f>+DI36*1.3</f>
        <v>462.15000000000003</v>
      </c>
      <c r="DK36" s="147">
        <f>+DJ36*1.2</f>
        <v>554.58000000000004</v>
      </c>
      <c r="DL36" s="167">
        <f>+DK36*1.05</f>
        <v>582.30900000000008</v>
      </c>
      <c r="DM36" s="167">
        <f t="shared" ref="DM36:DS36" si="131">+DL36*1.05</f>
        <v>611.42445000000009</v>
      </c>
      <c r="DN36" s="167">
        <f t="shared" si="131"/>
        <v>641.99567250000007</v>
      </c>
      <c r="DO36" s="167">
        <f t="shared" si="131"/>
        <v>674.09545612500006</v>
      </c>
      <c r="DP36" s="167">
        <f t="shared" si="131"/>
        <v>707.8002289312501</v>
      </c>
      <c r="DQ36" s="167">
        <f t="shared" si="131"/>
        <v>743.19024037781264</v>
      </c>
      <c r="DR36" s="167">
        <f t="shared" si="131"/>
        <v>780.34975239670325</v>
      </c>
      <c r="DS36" s="167">
        <f t="shared" si="131"/>
        <v>819.3672400165384</v>
      </c>
    </row>
    <row r="37" spans="2:123" x14ac:dyDescent="0.2">
      <c r="B37" s="65" t="s">
        <v>70</v>
      </c>
      <c r="C37" s="172">
        <v>10</v>
      </c>
      <c r="D37" s="172">
        <v>11</v>
      </c>
      <c r="E37" s="172">
        <v>16</v>
      </c>
      <c r="F37" s="172">
        <v>21</v>
      </c>
      <c r="G37" s="147">
        <v>22</v>
      </c>
      <c r="H37" s="147">
        <v>10</v>
      </c>
      <c r="I37" s="147">
        <v>12</v>
      </c>
      <c r="J37" s="147">
        <v>8</v>
      </c>
      <c r="K37" s="73">
        <f>399-K97-K96-K94-K95-K93-K98</f>
        <v>8</v>
      </c>
      <c r="L37" s="73">
        <f>393-L97-L96-L94-L95-L93-L98</f>
        <v>8</v>
      </c>
      <c r="M37" s="73">
        <f>363-M97-M96-M94-M95-M93-M98</f>
        <v>6</v>
      </c>
      <c r="N37" s="73">
        <f>360-N97-N96-N94-N95-N93-N98</f>
        <v>6</v>
      </c>
      <c r="O37" s="73">
        <f>359-O97-O96-O94-O95-O93-O98</f>
        <v>5</v>
      </c>
      <c r="P37" s="73">
        <f>364-P97-P96-P94-P95-P93-P98</f>
        <v>8</v>
      </c>
      <c r="Q37" s="73">
        <f>360-Q97-Q96-Q94-Q95-Q93-Q98</f>
        <v>7</v>
      </c>
      <c r="R37" s="73">
        <f>359-R97-R96-R94-R95-R93-R98</f>
        <v>4</v>
      </c>
      <c r="S37" s="73">
        <f>358-S97-S96-S94-S95-S93-S98</f>
        <v>6</v>
      </c>
      <c r="AA37" s="73">
        <f>373-AA97-AA94-AA98-AA93-AA96</f>
        <v>53</v>
      </c>
      <c r="AB37" s="73">
        <f>389-AB97-AB94-AB98-AB93-AB96-AB92</f>
        <v>42</v>
      </c>
      <c r="AC37" s="73">
        <f>401-AC97-AC94-AC98-AC93-AC96-AC92</f>
        <v>39</v>
      </c>
      <c r="AD37" s="73">
        <f>403-AD97-AD94-AD98-AD93-AD96-AD92</f>
        <v>39</v>
      </c>
      <c r="AE37" s="73">
        <f>353-AE97-AE94-AE98-AE93-AE96-AE92</f>
        <v>31</v>
      </c>
      <c r="AF37" s="73">
        <v>0</v>
      </c>
      <c r="AG37" s="73">
        <v>0</v>
      </c>
      <c r="AH37" s="73">
        <v>0</v>
      </c>
      <c r="AI37" s="73">
        <v>0</v>
      </c>
      <c r="AJ37" s="73">
        <v>0</v>
      </c>
      <c r="AP37" s="73">
        <v>0</v>
      </c>
      <c r="BO37" s="73">
        <v>11</v>
      </c>
      <c r="BP37" s="73">
        <v>15</v>
      </c>
      <c r="BQ37" s="73">
        <v>7</v>
      </c>
      <c r="BR37" s="73">
        <v>8</v>
      </c>
      <c r="BS37" s="73">
        <v>32</v>
      </c>
      <c r="BT37" s="73">
        <v>32</v>
      </c>
      <c r="BU37" s="73">
        <v>32</v>
      </c>
      <c r="BV37" s="73">
        <v>31</v>
      </c>
      <c r="BW37" s="73">
        <v>23</v>
      </c>
      <c r="BX37" s="73">
        <v>26</v>
      </c>
      <c r="BY37" s="73">
        <v>26</v>
      </c>
      <c r="BZ37" s="73">
        <v>20</v>
      </c>
      <c r="CA37" s="73">
        <f t="shared" ref="CA37:CD37" si="132">+BZ37*0.95</f>
        <v>19</v>
      </c>
      <c r="CB37" s="73">
        <f t="shared" si="132"/>
        <v>18.05</v>
      </c>
      <c r="CC37" s="73">
        <f t="shared" si="132"/>
        <v>17.147500000000001</v>
      </c>
      <c r="CD37" s="73">
        <f t="shared" si="132"/>
        <v>16.290125</v>
      </c>
      <c r="CL37" s="147"/>
      <c r="CM37" s="147">
        <v>51</v>
      </c>
      <c r="CN37" s="147">
        <v>58</v>
      </c>
      <c r="CO37" s="146">
        <v>52</v>
      </c>
      <c r="CP37" s="147">
        <f>SUM(K37:N37)</f>
        <v>28</v>
      </c>
      <c r="CQ37" s="147">
        <f>SUM(O37:R37)</f>
        <v>24</v>
      </c>
      <c r="CR37" s="147">
        <f>SUM(S37:V37)</f>
        <v>6</v>
      </c>
      <c r="CS37" s="146"/>
      <c r="CT37" s="146">
        <f>SUM(AA37:AD37)</f>
        <v>173</v>
      </c>
      <c r="CU37" s="146">
        <f>SUM(AE37:AH37)</f>
        <v>31</v>
      </c>
      <c r="CV37" s="146"/>
      <c r="CW37" s="146"/>
      <c r="CX37" s="146"/>
      <c r="CY37" s="146"/>
      <c r="CZ37" s="146"/>
      <c r="DA37" s="146"/>
      <c r="DD37" s="146">
        <f t="shared" si="19"/>
        <v>41</v>
      </c>
      <c r="DE37" s="146">
        <f t="shared" si="124"/>
        <v>127</v>
      </c>
      <c r="DF37" s="146">
        <f t="shared" si="125"/>
        <v>95</v>
      </c>
      <c r="DG37" s="146">
        <f t="shared" si="126"/>
        <v>70.487624999999994</v>
      </c>
      <c r="DH37" s="151">
        <f>+DG37*0.9</f>
        <v>63.438862499999999</v>
      </c>
      <c r="DI37" s="151">
        <f t="shared" ref="DI37:DS37" si="133">+DH37*0.9</f>
        <v>57.094976250000002</v>
      </c>
      <c r="DJ37" s="151">
        <f t="shared" si="133"/>
        <v>51.385478625000005</v>
      </c>
      <c r="DK37" s="151">
        <f t="shared" si="133"/>
        <v>46.246930762500007</v>
      </c>
      <c r="DL37" s="151">
        <f t="shared" si="133"/>
        <v>41.62223768625001</v>
      </c>
      <c r="DM37" s="151">
        <f t="shared" si="133"/>
        <v>37.460013917625012</v>
      </c>
      <c r="DN37" s="151">
        <f t="shared" si="133"/>
        <v>33.714012525862515</v>
      </c>
      <c r="DO37" s="151">
        <f t="shared" si="133"/>
        <v>30.342611273276265</v>
      </c>
      <c r="DP37" s="151">
        <f t="shared" si="133"/>
        <v>27.308350145948641</v>
      </c>
      <c r="DQ37" s="151">
        <f t="shared" si="133"/>
        <v>24.577515131353778</v>
      </c>
      <c r="DR37" s="151">
        <f t="shared" si="133"/>
        <v>22.1197636182184</v>
      </c>
      <c r="DS37" s="151">
        <f t="shared" si="133"/>
        <v>19.90778725639656</v>
      </c>
    </row>
    <row r="38" spans="2:123" x14ac:dyDescent="0.2">
      <c r="B38" s="112" t="s">
        <v>1383</v>
      </c>
      <c r="C38" s="172"/>
      <c r="D38" s="172"/>
      <c r="E38" s="172"/>
      <c r="F38" s="172"/>
      <c r="G38" s="147"/>
      <c r="H38" s="147"/>
      <c r="I38" s="147"/>
      <c r="J38" s="147"/>
      <c r="K38" s="147"/>
      <c r="BO38" s="73">
        <v>0</v>
      </c>
      <c r="BP38" s="73">
        <v>0</v>
      </c>
      <c r="BQ38" s="73">
        <v>3</v>
      </c>
      <c r="BR38" s="73">
        <v>8</v>
      </c>
      <c r="BS38" s="73">
        <v>7</v>
      </c>
      <c r="BT38" s="73">
        <v>10</v>
      </c>
      <c r="BU38" s="73">
        <v>13</v>
      </c>
      <c r="BV38" s="73">
        <v>15</v>
      </c>
      <c r="BW38" s="73">
        <v>16</v>
      </c>
      <c r="BX38" s="73">
        <v>19</v>
      </c>
      <c r="BY38" s="73">
        <v>21</v>
      </c>
      <c r="BZ38" s="73">
        <v>26</v>
      </c>
      <c r="CA38" s="73">
        <f t="shared" ref="CA38:CD38" si="134">+BZ38+1</f>
        <v>27</v>
      </c>
      <c r="CB38" s="73">
        <f t="shared" si="134"/>
        <v>28</v>
      </c>
      <c r="CC38" s="73">
        <f t="shared" si="134"/>
        <v>29</v>
      </c>
      <c r="CD38" s="73">
        <f t="shared" si="134"/>
        <v>30</v>
      </c>
      <c r="CL38" s="147"/>
      <c r="CM38" s="147"/>
      <c r="CN38" s="147"/>
      <c r="CO38" s="147"/>
      <c r="CP38" s="146"/>
      <c r="CQ38" s="146"/>
      <c r="CR38" s="147"/>
      <c r="CS38" s="146"/>
      <c r="CT38" s="146"/>
      <c r="CU38" s="147"/>
      <c r="CV38" s="147"/>
      <c r="CW38" s="147"/>
      <c r="CX38" s="147"/>
      <c r="CY38" s="147"/>
      <c r="CZ38" s="147"/>
      <c r="DA38" s="147"/>
      <c r="DB38" s="147"/>
      <c r="DC38" s="147"/>
      <c r="DD38" s="146">
        <f t="shared" si="19"/>
        <v>11</v>
      </c>
      <c r="DE38" s="146">
        <f t="shared" si="124"/>
        <v>45</v>
      </c>
      <c r="DF38" s="146">
        <f t="shared" si="125"/>
        <v>82</v>
      </c>
      <c r="DG38" s="146">
        <f t="shared" si="126"/>
        <v>114</v>
      </c>
      <c r="DH38" s="147">
        <f>+DG38*1.2</f>
        <v>136.79999999999998</v>
      </c>
      <c r="DI38" s="147">
        <f>+DH38*1.2</f>
        <v>164.15999999999997</v>
      </c>
      <c r="DJ38" s="147">
        <f>+DI38*1.2</f>
        <v>196.99199999999996</v>
      </c>
      <c r="DK38" s="151">
        <f>+DJ38*0.9</f>
        <v>177.29279999999997</v>
      </c>
      <c r="DL38" s="151">
        <f>+DK38*0.9</f>
        <v>159.56351999999998</v>
      </c>
      <c r="DM38" s="151">
        <f t="shared" ref="DM38:DS38" si="135">+DL38*0.9</f>
        <v>143.607168</v>
      </c>
      <c r="DN38" s="151">
        <f t="shared" si="135"/>
        <v>129.2464512</v>
      </c>
      <c r="DO38" s="151">
        <f t="shared" si="135"/>
        <v>116.32180608</v>
      </c>
      <c r="DP38" s="151">
        <f t="shared" si="135"/>
        <v>104.689625472</v>
      </c>
      <c r="DQ38" s="151">
        <f t="shared" si="135"/>
        <v>94.22066292480001</v>
      </c>
      <c r="DR38" s="151">
        <f t="shared" si="135"/>
        <v>84.798596632320013</v>
      </c>
      <c r="DS38" s="151">
        <f t="shared" si="135"/>
        <v>76.318736969088008</v>
      </c>
    </row>
    <row r="39" spans="2:123" x14ac:dyDescent="0.2">
      <c r="B39" s="65" t="s">
        <v>334</v>
      </c>
      <c r="C39" s="172">
        <v>105</v>
      </c>
      <c r="D39" s="172">
        <v>100</v>
      </c>
      <c r="E39" s="172">
        <v>93</v>
      </c>
      <c r="F39" s="172">
        <v>110</v>
      </c>
      <c r="G39" s="147">
        <v>105</v>
      </c>
      <c r="H39" s="147">
        <v>97</v>
      </c>
      <c r="I39" s="147">
        <v>102</v>
      </c>
      <c r="J39" s="147">
        <v>124</v>
      </c>
      <c r="K39" s="73">
        <f>1309-K3-K23-K70-K75</f>
        <v>110</v>
      </c>
      <c r="L39" s="73">
        <f>1232-L3-L23-L70-L75</f>
        <v>104</v>
      </c>
      <c r="M39" s="73">
        <f>1185-M3-M23-M70-M75</f>
        <v>94</v>
      </c>
      <c r="N39" s="73">
        <f>1269-N3-N23-N70-N75</f>
        <v>113</v>
      </c>
      <c r="O39" s="73">
        <f>1224-O3-O23-O70-O75</f>
        <v>106</v>
      </c>
      <c r="P39" s="73">
        <f>1260-P3-P23-P70-P75</f>
        <v>113</v>
      </c>
      <c r="Q39" s="73">
        <f>1185-Q3-Q23-Q70-Q75</f>
        <v>98</v>
      </c>
      <c r="R39" s="73">
        <f>1363-R3-R23-R70-R75</f>
        <v>127</v>
      </c>
      <c r="S39" s="73">
        <f>1355-S3-S23-S70-S75-S28</f>
        <v>113</v>
      </c>
      <c r="T39" s="73">
        <f>1383-T3-T23-T70-T75-T28</f>
        <v>113</v>
      </c>
      <c r="U39" s="73">
        <f>1348-U3-U23-U70-U75-U28</f>
        <v>107</v>
      </c>
      <c r="V39" s="73">
        <f>1731-V3-V23-V70-V75-V28</f>
        <v>149</v>
      </c>
      <c r="W39" s="73">
        <f>1735-W3-W23-W70-W75-W28-W16</f>
        <v>48</v>
      </c>
      <c r="X39" s="73">
        <f>1734-X3-X23-X70-X75-X28-X80-X16</f>
        <v>26</v>
      </c>
      <c r="Y39" s="73">
        <f>1594-Y3-Y23-Y70-Y75-Y28-Y80-Y16</f>
        <v>32</v>
      </c>
      <c r="Z39" s="73">
        <f>1914-Z3-Z23-Z70-Z75-Z28-Z80-Z16</f>
        <v>36</v>
      </c>
      <c r="AA39" s="73">
        <f>1766-AA3-AA23-AA70-AA75-AA28-AA80-AA16</f>
        <v>28</v>
      </c>
      <c r="AB39" s="73">
        <f>1829-AB3-AB23-AB70-AB75-AB28-AB80-AB16</f>
        <v>29</v>
      </c>
      <c r="AC39" s="73">
        <f>1726-AC3-AC23-AC70-AC75-AC28-AC80-AC16</f>
        <v>27</v>
      </c>
      <c r="AD39" s="73">
        <f>1917-AD3-AD23-AD70-AD75-AD28-AD80-AD16</f>
        <v>49</v>
      </c>
      <c r="AE39" s="73">
        <f>1815-AE3-AE23-AE70-AE75-AE28-AE80-AE16-AE66</f>
        <v>26</v>
      </c>
      <c r="AF39" s="73">
        <f>1812-64-31-196-1270-43-149-15-20</f>
        <v>24</v>
      </c>
      <c r="AG39" s="73">
        <f>1714-50-28-183-1217-43-136-12-21</f>
        <v>24</v>
      </c>
      <c r="AH39" s="73">
        <f>1957-55-31-232-1351-44-171-22-24</f>
        <v>27</v>
      </c>
      <c r="AI39" s="73">
        <f>1841-69-42-199-1252-38-155-36-24</f>
        <v>26</v>
      </c>
      <c r="AJ39" s="73">
        <v>26</v>
      </c>
      <c r="AP39" s="73">
        <v>34</v>
      </c>
      <c r="AR39" s="73">
        <v>68</v>
      </c>
      <c r="BO39" s="73">
        <v>85</v>
      </c>
      <c r="BP39" s="73">
        <v>0</v>
      </c>
      <c r="BQ39" s="73">
        <v>32</v>
      </c>
      <c r="BR39" s="73">
        <v>37</v>
      </c>
      <c r="BS39" s="73">
        <v>41</v>
      </c>
      <c r="BT39" s="73">
        <v>32</v>
      </c>
      <c r="BU39" s="73">
        <v>28</v>
      </c>
      <c r="BV39" s="73">
        <v>36</v>
      </c>
      <c r="BW39" s="73">
        <v>35</v>
      </c>
      <c r="BX39" s="73">
        <v>38</v>
      </c>
      <c r="BY39" s="73">
        <v>34</v>
      </c>
      <c r="BZ39" s="73">
        <v>36</v>
      </c>
      <c r="CA39" s="73">
        <f t="shared" ref="CA39:CD39" si="136">+BZ39*0.9</f>
        <v>32.4</v>
      </c>
      <c r="CB39" s="73">
        <f t="shared" si="136"/>
        <v>29.16</v>
      </c>
      <c r="CC39" s="73">
        <f t="shared" si="136"/>
        <v>26.244</v>
      </c>
      <c r="CD39" s="73">
        <f t="shared" si="136"/>
        <v>23.619600000000002</v>
      </c>
      <c r="CL39" s="147">
        <v>0</v>
      </c>
      <c r="CM39" s="147">
        <v>468</v>
      </c>
      <c r="CN39" s="147">
        <v>408</v>
      </c>
      <c r="CO39" s="147">
        <v>428</v>
      </c>
      <c r="CP39" s="147">
        <f>SUM(K39:N39)</f>
        <v>421</v>
      </c>
      <c r="CQ39" s="147">
        <f>SUM(O39:R39)</f>
        <v>444</v>
      </c>
      <c r="CR39" s="147">
        <f>SUM(S39:V39)</f>
        <v>482</v>
      </c>
      <c r="CS39" s="146">
        <f>SUM(W39:Z39)</f>
        <v>142</v>
      </c>
      <c r="CT39" s="147">
        <f>SUM(AA39:AD39)</f>
        <v>133</v>
      </c>
      <c r="CU39" s="146">
        <f>SUM(AE39:AH39)</f>
        <v>101</v>
      </c>
      <c r="CV39" s="146">
        <f t="shared" ref="CV39:DC39" si="137">CU39*0.9</f>
        <v>90.9</v>
      </c>
      <c r="CW39" s="146">
        <f t="shared" si="137"/>
        <v>81.81</v>
      </c>
      <c r="CX39" s="146">
        <f t="shared" si="137"/>
        <v>73.629000000000005</v>
      </c>
      <c r="CY39" s="146">
        <f t="shared" si="137"/>
        <v>66.266100000000009</v>
      </c>
      <c r="CZ39" s="146">
        <f t="shared" si="137"/>
        <v>59.639490000000009</v>
      </c>
      <c r="DA39" s="146">
        <f t="shared" si="137"/>
        <v>53.67554100000001</v>
      </c>
      <c r="DB39" s="146">
        <f t="shared" si="137"/>
        <v>48.30798690000001</v>
      </c>
      <c r="DC39" s="146">
        <f t="shared" si="137"/>
        <v>43.477188210000008</v>
      </c>
      <c r="DD39" s="146">
        <f t="shared" si="19"/>
        <v>154</v>
      </c>
      <c r="DE39" s="146">
        <f t="shared" si="124"/>
        <v>137</v>
      </c>
      <c r="DF39" s="146">
        <f t="shared" si="125"/>
        <v>143</v>
      </c>
      <c r="DG39" s="146">
        <f t="shared" si="126"/>
        <v>111.42360000000001</v>
      </c>
      <c r="DH39" s="146">
        <f t="shared" ref="DH39:DI40" si="138">DG39*0.9</f>
        <v>100.28124000000001</v>
      </c>
      <c r="DI39" s="146">
        <f t="shared" si="138"/>
        <v>90.253116000000006</v>
      </c>
      <c r="DJ39" s="146">
        <f t="shared" ref="DJ39:DJ40" si="139">DI39*0.9</f>
        <v>81.227804400000011</v>
      </c>
      <c r="DK39" s="146">
        <f t="shared" ref="DK39:DK40" si="140">DJ39*0.9</f>
        <v>73.105023960000011</v>
      </c>
      <c r="DL39" s="146">
        <f t="shared" ref="DL39:DL40" si="141">DK39*0.9</f>
        <v>65.794521564000007</v>
      </c>
      <c r="DM39" s="146">
        <f t="shared" ref="DM39:DM40" si="142">DL39*0.9</f>
        <v>59.215069407600005</v>
      </c>
      <c r="DN39" s="146">
        <f t="shared" ref="DN39:DN40" si="143">DM39*0.9</f>
        <v>53.293562466840008</v>
      </c>
      <c r="DO39" s="146">
        <f t="shared" ref="DO39:DO40" si="144">DN39*0.9</f>
        <v>47.964206220156008</v>
      </c>
      <c r="DP39" s="146">
        <f t="shared" ref="DP39:DP40" si="145">DO39*0.9</f>
        <v>43.167785598140405</v>
      </c>
      <c r="DQ39" s="146">
        <f t="shared" ref="DQ39:DQ40" si="146">DP39*0.9</f>
        <v>38.851007038326365</v>
      </c>
      <c r="DR39" s="146">
        <f t="shared" ref="DR39:DR40" si="147">DQ39*0.9</f>
        <v>34.965906334493731</v>
      </c>
      <c r="DS39" s="146">
        <f t="shared" ref="DS39:DS40" si="148">DR39*0.9</f>
        <v>31.469315701044358</v>
      </c>
    </row>
    <row r="40" spans="2:123" x14ac:dyDescent="0.2">
      <c r="B40" s="65" t="s">
        <v>23</v>
      </c>
      <c r="C40" s="172"/>
      <c r="D40" s="172"/>
      <c r="E40" s="172"/>
      <c r="F40" s="172"/>
      <c r="G40" s="147"/>
      <c r="H40" s="147"/>
      <c r="I40" s="147"/>
      <c r="J40" s="147"/>
      <c r="R40" s="73">
        <v>9</v>
      </c>
      <c r="S40" s="73">
        <v>12</v>
      </c>
      <c r="T40" s="73">
        <v>15</v>
      </c>
      <c r="U40" s="73">
        <v>43</v>
      </c>
      <c r="V40" s="73">
        <v>55</v>
      </c>
      <c r="W40" s="73">
        <v>48</v>
      </c>
      <c r="X40" s="73">
        <v>73</v>
      </c>
      <c r="Y40" s="73">
        <v>28</v>
      </c>
      <c r="Z40" s="73">
        <f>Y40+5</f>
        <v>33</v>
      </c>
      <c r="AA40" s="73">
        <v>77</v>
      </c>
      <c r="AB40" s="73">
        <v>50</v>
      </c>
      <c r="AC40" s="73">
        <v>48</v>
      </c>
      <c r="AD40" s="73">
        <v>67</v>
      </c>
      <c r="AE40" s="73">
        <v>109</v>
      </c>
      <c r="AF40" s="73">
        <v>65</v>
      </c>
      <c r="AG40" s="73">
        <v>232</v>
      </c>
      <c r="AH40" s="73">
        <v>100</v>
      </c>
      <c r="AI40" s="73">
        <v>131</v>
      </c>
      <c r="AJ40" s="73">
        <v>50</v>
      </c>
      <c r="AK40" s="73">
        <v>45</v>
      </c>
      <c r="AP40" s="73">
        <v>45</v>
      </c>
      <c r="AR40" s="73">
        <v>22</v>
      </c>
      <c r="BO40" s="73">
        <v>12</v>
      </c>
      <c r="BP40" s="73">
        <v>34</v>
      </c>
      <c r="BQ40" s="73">
        <v>49</v>
      </c>
      <c r="BR40" s="73">
        <v>44</v>
      </c>
      <c r="BS40" s="73">
        <v>45</v>
      </c>
      <c r="BT40" s="73">
        <v>36</v>
      </c>
      <c r="BU40" s="73">
        <v>34</v>
      </c>
      <c r="BV40" s="73">
        <v>23</v>
      </c>
      <c r="BW40" s="73">
        <v>29</v>
      </c>
      <c r="BX40" s="73">
        <v>22</v>
      </c>
      <c r="BY40" s="73">
        <v>40</v>
      </c>
      <c r="BZ40" s="73">
        <v>26</v>
      </c>
      <c r="CA40" s="73">
        <f t="shared" ref="CA40:CD40" si="149">+BZ40*0.9</f>
        <v>23.400000000000002</v>
      </c>
      <c r="CB40" s="73">
        <f t="shared" si="149"/>
        <v>21.060000000000002</v>
      </c>
      <c r="CC40" s="73">
        <f t="shared" si="149"/>
        <v>18.954000000000004</v>
      </c>
      <c r="CD40" s="73">
        <f t="shared" si="149"/>
        <v>17.058600000000006</v>
      </c>
      <c r="CL40" s="147" t="s">
        <v>449</v>
      </c>
      <c r="CM40" s="147" t="s">
        <v>449</v>
      </c>
      <c r="CN40" s="147" t="s">
        <v>449</v>
      </c>
      <c r="CO40" s="146" t="s">
        <v>449</v>
      </c>
      <c r="CP40" s="146" t="s">
        <v>449</v>
      </c>
      <c r="CQ40" s="147">
        <f>SUM(O40:R40)</f>
        <v>9</v>
      </c>
      <c r="CR40" s="147">
        <f>SUM(S40:V40)</f>
        <v>125</v>
      </c>
      <c r="CS40" s="146">
        <f>SUM(W40:Z40)</f>
        <v>182</v>
      </c>
      <c r="CT40" s="146">
        <f>SUM(AA40:AD40)</f>
        <v>242</v>
      </c>
      <c r="CU40" s="146"/>
      <c r="CV40" s="146"/>
      <c r="CW40" s="146"/>
      <c r="CX40" s="146"/>
      <c r="CY40" s="146"/>
      <c r="CZ40" s="146"/>
      <c r="DA40" s="146"/>
      <c r="DB40" s="146"/>
      <c r="DC40" s="146"/>
      <c r="DD40" s="146">
        <f t="shared" si="19"/>
        <v>139</v>
      </c>
      <c r="DE40" s="146">
        <f t="shared" si="124"/>
        <v>138</v>
      </c>
      <c r="DF40" s="146">
        <f t="shared" si="125"/>
        <v>117</v>
      </c>
      <c r="DG40" s="146">
        <f t="shared" si="126"/>
        <v>80.472600000000028</v>
      </c>
      <c r="DH40" s="146">
        <f t="shared" si="138"/>
        <v>72.425340000000034</v>
      </c>
      <c r="DI40" s="146">
        <f t="shared" ref="DI40" si="150">DH40*0.9</f>
        <v>65.182806000000028</v>
      </c>
      <c r="DJ40" s="146">
        <f t="shared" si="139"/>
        <v>58.664525400000024</v>
      </c>
      <c r="DK40" s="146">
        <f t="shared" si="140"/>
        <v>52.798072860000019</v>
      </c>
      <c r="DL40" s="146">
        <f t="shared" si="141"/>
        <v>47.518265574000019</v>
      </c>
      <c r="DM40" s="146">
        <f t="shared" si="142"/>
        <v>42.766439016600017</v>
      </c>
      <c r="DN40" s="146">
        <f t="shared" si="143"/>
        <v>38.489795114940016</v>
      </c>
      <c r="DO40" s="146">
        <f t="shared" si="144"/>
        <v>34.640815603446015</v>
      </c>
      <c r="DP40" s="146">
        <f t="shared" si="145"/>
        <v>31.176734043101415</v>
      </c>
      <c r="DQ40" s="146">
        <f t="shared" si="146"/>
        <v>28.059060638791273</v>
      </c>
      <c r="DR40" s="146">
        <f t="shared" si="147"/>
        <v>25.253154574912145</v>
      </c>
      <c r="DS40" s="146">
        <f t="shared" si="148"/>
        <v>22.727839117420931</v>
      </c>
    </row>
    <row r="41" spans="2:123" x14ac:dyDescent="0.2">
      <c r="B41" s="65" t="s">
        <v>362</v>
      </c>
      <c r="C41" s="172"/>
      <c r="D41" s="172"/>
      <c r="E41" s="172"/>
      <c r="F41" s="172"/>
      <c r="G41" s="147"/>
      <c r="H41" s="147"/>
      <c r="I41" s="147"/>
      <c r="J41" s="147"/>
      <c r="K41" s="146">
        <v>0</v>
      </c>
      <c r="L41" s="73">
        <v>0</v>
      </c>
      <c r="M41" s="73">
        <v>0</v>
      </c>
      <c r="N41" s="73">
        <v>107</v>
      </c>
      <c r="O41" s="73">
        <v>1</v>
      </c>
      <c r="P41" s="73">
        <v>4</v>
      </c>
      <c r="Q41" s="73">
        <v>141</v>
      </c>
      <c r="R41" s="73">
        <v>174</v>
      </c>
      <c r="S41" s="73">
        <v>5</v>
      </c>
      <c r="T41" s="73">
        <f>5+34</f>
        <v>39</v>
      </c>
      <c r="U41" s="73">
        <v>144</v>
      </c>
      <c r="V41" s="73">
        <v>66</v>
      </c>
      <c r="W41" s="73">
        <v>6</v>
      </c>
      <c r="X41" s="73">
        <v>14</v>
      </c>
      <c r="Y41" s="73">
        <v>147</v>
      </c>
      <c r="Z41" s="73">
        <v>42</v>
      </c>
      <c r="AA41" s="73">
        <v>5</v>
      </c>
      <c r="AB41" s="73">
        <v>0</v>
      </c>
      <c r="AC41" s="73">
        <v>167</v>
      </c>
      <c r="AD41" s="73">
        <v>69</v>
      </c>
      <c r="AE41" s="73">
        <v>9</v>
      </c>
      <c r="AF41" s="73">
        <v>8</v>
      </c>
      <c r="AG41" s="73">
        <v>159</v>
      </c>
      <c r="AH41" s="73">
        <v>54</v>
      </c>
      <c r="AI41" s="73">
        <v>7</v>
      </c>
      <c r="AJ41" s="73">
        <v>5</v>
      </c>
      <c r="AK41" s="73">
        <v>138</v>
      </c>
      <c r="AP41" s="73">
        <v>87</v>
      </c>
      <c r="AR41" s="73">
        <v>6</v>
      </c>
      <c r="BO41" s="73">
        <v>21</v>
      </c>
      <c r="BP41" s="73">
        <v>15</v>
      </c>
      <c r="BQ41" s="73">
        <v>445</v>
      </c>
      <c r="BR41" s="73">
        <v>252</v>
      </c>
      <c r="BS41" s="73">
        <v>18</v>
      </c>
      <c r="BT41" s="73">
        <v>33</v>
      </c>
      <c r="BU41" s="73">
        <v>384</v>
      </c>
      <c r="BV41" s="73">
        <v>244</v>
      </c>
      <c r="BW41" s="73">
        <v>18</v>
      </c>
      <c r="BX41" s="73">
        <v>32</v>
      </c>
      <c r="BY41" s="73">
        <v>388</v>
      </c>
      <c r="BZ41" s="73">
        <v>276</v>
      </c>
      <c r="CA41" s="73">
        <f t="shared" ref="CA41:CD41" si="151">+BW41*0.9</f>
        <v>16.2</v>
      </c>
      <c r="CB41" s="73">
        <f t="shared" si="151"/>
        <v>28.8</v>
      </c>
      <c r="CC41" s="73">
        <f t="shared" si="151"/>
        <v>349.2</v>
      </c>
      <c r="CD41" s="73">
        <f t="shared" si="151"/>
        <v>248.4</v>
      </c>
      <c r="CL41" s="147">
        <v>254</v>
      </c>
      <c r="CM41" s="147">
        <v>336</v>
      </c>
      <c r="CN41" s="147">
        <v>0</v>
      </c>
      <c r="CO41" s="146">
        <v>0</v>
      </c>
      <c r="CP41" s="147">
        <f>SUM(K41:N41)</f>
        <v>107</v>
      </c>
      <c r="CQ41" s="147">
        <f>SUM(O41:R41)</f>
        <v>320</v>
      </c>
      <c r="CR41" s="147">
        <f>SUM(S41:V41)</f>
        <v>254</v>
      </c>
      <c r="CS41" s="146">
        <f t="shared" ref="CS41" si="152">SUM(W41:Z41)</f>
        <v>209</v>
      </c>
      <c r="CT41" s="146">
        <f>SUM(AA41:AD41)</f>
        <v>241</v>
      </c>
      <c r="CU41" s="146"/>
      <c r="CV41" s="146"/>
      <c r="CW41" s="146"/>
      <c r="CX41" s="146"/>
      <c r="CY41" s="146"/>
      <c r="CZ41" s="146"/>
      <c r="DA41" s="146"/>
      <c r="DB41" s="146"/>
      <c r="DC41" s="146"/>
      <c r="DD41" s="146">
        <f t="shared" si="19"/>
        <v>733</v>
      </c>
      <c r="DE41" s="146">
        <f t="shared" si="124"/>
        <v>679</v>
      </c>
      <c r="DF41" s="146">
        <f t="shared" si="125"/>
        <v>714</v>
      </c>
      <c r="DG41" s="146">
        <f t="shared" si="126"/>
        <v>642.6</v>
      </c>
      <c r="DH41" s="146">
        <f t="shared" ref="DH41:DI41" si="153">DG41*1.05</f>
        <v>674.73</v>
      </c>
      <c r="DI41" s="146">
        <f t="shared" si="153"/>
        <v>708.4665</v>
      </c>
      <c r="DJ41" s="146">
        <f>+DI41*1.01</f>
        <v>715.55116499999997</v>
      </c>
      <c r="DK41" s="146">
        <f t="shared" ref="DK41:DS41" si="154">+DJ41*1.01</f>
        <v>722.70667664999996</v>
      </c>
      <c r="DL41" s="146">
        <f t="shared" si="154"/>
        <v>729.93374341649996</v>
      </c>
      <c r="DM41" s="146">
        <f t="shared" si="154"/>
        <v>737.23308085066492</v>
      </c>
      <c r="DN41" s="146">
        <f t="shared" si="154"/>
        <v>744.60541165917152</v>
      </c>
      <c r="DO41" s="146">
        <f t="shared" si="154"/>
        <v>752.05146577576329</v>
      </c>
      <c r="DP41" s="146">
        <f t="shared" si="154"/>
        <v>759.57198043352093</v>
      </c>
      <c r="DQ41" s="146">
        <f t="shared" si="154"/>
        <v>767.16770023785614</v>
      </c>
      <c r="DR41" s="146">
        <f t="shared" si="154"/>
        <v>774.83937724023474</v>
      </c>
      <c r="DS41" s="146">
        <f t="shared" si="154"/>
        <v>782.58777101263706</v>
      </c>
    </row>
    <row r="42" spans="2:123" x14ac:dyDescent="0.2">
      <c r="B42" s="112" t="s">
        <v>1410</v>
      </c>
      <c r="C42" s="172"/>
      <c r="D42" s="172"/>
      <c r="E42" s="172"/>
      <c r="F42" s="172"/>
      <c r="G42" s="147"/>
      <c r="H42" s="147"/>
      <c r="I42" s="147"/>
      <c r="J42" s="147"/>
      <c r="BO42" s="73">
        <v>0</v>
      </c>
      <c r="BP42" s="73">
        <v>0</v>
      </c>
      <c r="BQ42" s="73">
        <v>0</v>
      </c>
      <c r="BR42" s="73">
        <v>0</v>
      </c>
      <c r="BS42" s="73">
        <v>0</v>
      </c>
      <c r="BT42" s="73">
        <v>260</v>
      </c>
      <c r="BU42" s="73">
        <v>94</v>
      </c>
      <c r="BV42" s="73">
        <v>92</v>
      </c>
      <c r="BW42" s="73">
        <v>0</v>
      </c>
      <c r="BX42" s="73">
        <v>0</v>
      </c>
      <c r="BY42" s="73">
        <v>6</v>
      </c>
      <c r="BZ42" s="73">
        <v>58</v>
      </c>
      <c r="CA42" s="73">
        <f t="shared" ref="CA42:CD42" si="155">+BZ42</f>
        <v>58</v>
      </c>
      <c r="CB42" s="73">
        <f t="shared" si="155"/>
        <v>58</v>
      </c>
      <c r="CC42" s="73">
        <f t="shared" si="155"/>
        <v>58</v>
      </c>
      <c r="CD42" s="73">
        <f t="shared" si="155"/>
        <v>58</v>
      </c>
      <c r="CL42" s="147"/>
      <c r="CM42" s="147"/>
      <c r="CN42" s="147"/>
      <c r="CO42" s="147"/>
      <c r="CP42" s="147"/>
      <c r="CQ42" s="147"/>
      <c r="CR42" s="147"/>
      <c r="CS42" s="146"/>
      <c r="CT42" s="147"/>
      <c r="CU42" s="147"/>
      <c r="CV42" s="147"/>
      <c r="CW42" s="147"/>
      <c r="CX42" s="147"/>
      <c r="CY42" s="147"/>
      <c r="CZ42" s="147"/>
      <c r="DA42" s="147"/>
      <c r="DB42" s="147"/>
      <c r="DC42" s="147"/>
      <c r="DD42" s="146">
        <f t="shared" si="19"/>
        <v>0</v>
      </c>
      <c r="DE42" s="146">
        <f t="shared" si="124"/>
        <v>446</v>
      </c>
      <c r="DF42" s="146">
        <f t="shared" si="125"/>
        <v>64</v>
      </c>
      <c r="DG42" s="146">
        <f t="shared" si="126"/>
        <v>232</v>
      </c>
      <c r="DH42" s="147"/>
      <c r="DI42" s="147"/>
      <c r="DJ42" s="147"/>
    </row>
    <row r="43" spans="2:123" x14ac:dyDescent="0.2">
      <c r="B43" s="112" t="s">
        <v>1342</v>
      </c>
      <c r="C43" s="172"/>
      <c r="D43" s="172"/>
      <c r="E43" s="172"/>
      <c r="F43" s="172"/>
      <c r="G43" s="147"/>
      <c r="H43" s="147"/>
      <c r="I43" s="147"/>
      <c r="J43" s="147"/>
      <c r="AP43" s="73">
        <v>9</v>
      </c>
      <c r="BO43" s="73">
        <v>0</v>
      </c>
      <c r="BP43" s="73">
        <v>0</v>
      </c>
      <c r="BQ43" s="73">
        <v>0</v>
      </c>
      <c r="BR43" s="73">
        <v>0</v>
      </c>
      <c r="BS43" s="73">
        <v>0</v>
      </c>
      <c r="BT43" s="73">
        <v>0</v>
      </c>
      <c r="BU43" s="73">
        <v>0</v>
      </c>
      <c r="BV43" s="73">
        <v>0</v>
      </c>
      <c r="BW43" s="73">
        <v>0</v>
      </c>
      <c r="BX43" s="73">
        <f>680-BX13-BX15</f>
        <v>16</v>
      </c>
      <c r="BY43" s="73">
        <v>14</v>
      </c>
      <c r="BZ43" s="73">
        <v>0</v>
      </c>
      <c r="CA43" s="73">
        <f t="shared" ref="CA43:CD43" si="156">+BZ43</f>
        <v>0</v>
      </c>
      <c r="CB43" s="73">
        <f t="shared" si="156"/>
        <v>0</v>
      </c>
      <c r="CC43" s="73">
        <f t="shared" si="156"/>
        <v>0</v>
      </c>
      <c r="CD43" s="73">
        <f t="shared" si="156"/>
        <v>0</v>
      </c>
      <c r="CL43" s="147"/>
      <c r="CM43" s="147"/>
      <c r="CN43" s="147"/>
      <c r="CO43" s="146"/>
      <c r="CP43" s="146"/>
      <c r="CQ43" s="147"/>
      <c r="CR43" s="147"/>
      <c r="CS43" s="146"/>
      <c r="CT43" s="146"/>
      <c r="CU43" s="146"/>
      <c r="CV43" s="146"/>
      <c r="CW43" s="146"/>
      <c r="CX43" s="146"/>
      <c r="CY43" s="146"/>
      <c r="CZ43" s="146"/>
      <c r="DD43" s="146">
        <f t="shared" si="19"/>
        <v>0</v>
      </c>
      <c r="DE43" s="146">
        <f t="shared" si="124"/>
        <v>0</v>
      </c>
      <c r="DF43" s="146">
        <f t="shared" si="125"/>
        <v>30</v>
      </c>
      <c r="DG43" s="146">
        <f t="shared" si="126"/>
        <v>0</v>
      </c>
      <c r="DH43" s="151">
        <f>+DG43*0.9</f>
        <v>0</v>
      </c>
      <c r="DI43" s="151">
        <f t="shared" ref="DI43:DS43" si="157">+DH43*0.9</f>
        <v>0</v>
      </c>
      <c r="DJ43" s="151">
        <f t="shared" si="157"/>
        <v>0</v>
      </c>
      <c r="DK43" s="151">
        <f t="shared" si="157"/>
        <v>0</v>
      </c>
      <c r="DL43" s="151">
        <f t="shared" si="157"/>
        <v>0</v>
      </c>
      <c r="DM43" s="151">
        <f t="shared" si="157"/>
        <v>0</v>
      </c>
      <c r="DN43" s="151">
        <f t="shared" si="157"/>
        <v>0</v>
      </c>
      <c r="DO43" s="151">
        <f t="shared" si="157"/>
        <v>0</v>
      </c>
      <c r="DP43" s="151">
        <f t="shared" si="157"/>
        <v>0</v>
      </c>
      <c r="DQ43" s="151">
        <f t="shared" si="157"/>
        <v>0</v>
      </c>
      <c r="DR43" s="151">
        <f t="shared" si="157"/>
        <v>0</v>
      </c>
      <c r="DS43" s="151">
        <f t="shared" si="157"/>
        <v>0</v>
      </c>
    </row>
    <row r="44" spans="2:123" x14ac:dyDescent="0.2">
      <c r="B44" s="112" t="s">
        <v>1393</v>
      </c>
      <c r="C44" s="172"/>
      <c r="D44" s="172"/>
      <c r="E44" s="172"/>
      <c r="F44" s="172"/>
      <c r="G44" s="147"/>
      <c r="H44" s="147"/>
      <c r="I44" s="147"/>
      <c r="J44" s="147"/>
      <c r="BO44" s="73">
        <v>9</v>
      </c>
      <c r="BP44" s="73">
        <v>8</v>
      </c>
      <c r="BQ44" s="73">
        <v>14</v>
      </c>
      <c r="BR44" s="73">
        <v>14</v>
      </c>
      <c r="BS44" s="73">
        <v>6</v>
      </c>
      <c r="BT44" s="73">
        <v>10</v>
      </c>
      <c r="BU44" s="73">
        <v>18</v>
      </c>
      <c r="BV44" s="73">
        <v>13</v>
      </c>
      <c r="BW44" s="73">
        <v>13</v>
      </c>
      <c r="BX44" s="73">
        <v>13</v>
      </c>
      <c r="BY44" s="73">
        <v>19</v>
      </c>
      <c r="BZ44" s="73">
        <v>11</v>
      </c>
      <c r="CA44" s="73">
        <f t="shared" ref="CA44:CD44" si="158">+BZ44</f>
        <v>11</v>
      </c>
      <c r="CB44" s="73">
        <f t="shared" si="158"/>
        <v>11</v>
      </c>
      <c r="CC44" s="73">
        <f t="shared" si="158"/>
        <v>11</v>
      </c>
      <c r="CD44" s="73">
        <f t="shared" si="158"/>
        <v>11</v>
      </c>
      <c r="CL44" s="147"/>
      <c r="CM44" s="147"/>
      <c r="CN44" s="147"/>
      <c r="CO44" s="146"/>
      <c r="CP44" s="146"/>
      <c r="CQ44" s="147"/>
      <c r="CR44" s="147"/>
      <c r="CS44" s="146"/>
      <c r="CT44" s="146"/>
      <c r="CU44" s="146"/>
      <c r="CV44" s="146"/>
      <c r="CW44" s="146"/>
      <c r="CX44" s="146"/>
      <c r="CY44" s="146"/>
      <c r="CZ44" s="146"/>
      <c r="DA44" s="146"/>
      <c r="DB44" s="146"/>
      <c r="DC44" s="146"/>
      <c r="DD44" s="146">
        <f t="shared" si="19"/>
        <v>45</v>
      </c>
      <c r="DE44" s="146">
        <f t="shared" si="124"/>
        <v>47</v>
      </c>
      <c r="DF44" s="146">
        <f t="shared" si="125"/>
        <v>56</v>
      </c>
      <c r="DG44" s="146">
        <f t="shared" si="126"/>
        <v>44</v>
      </c>
      <c r="DH44" s="151">
        <f t="shared" ref="DH44:DS44" si="159">+DG44*0.9</f>
        <v>39.6</v>
      </c>
      <c r="DI44" s="151">
        <f t="shared" si="159"/>
        <v>35.64</v>
      </c>
      <c r="DJ44" s="151">
        <f t="shared" si="159"/>
        <v>32.076000000000001</v>
      </c>
      <c r="DK44" s="151">
        <f t="shared" si="159"/>
        <v>28.868400000000001</v>
      </c>
      <c r="DL44" s="151">
        <f t="shared" si="159"/>
        <v>25.981560000000002</v>
      </c>
      <c r="DM44" s="151">
        <f t="shared" si="159"/>
        <v>23.383404000000002</v>
      </c>
      <c r="DN44" s="151">
        <f t="shared" si="159"/>
        <v>21.045063600000002</v>
      </c>
      <c r="DO44" s="151">
        <f t="shared" si="159"/>
        <v>18.940557240000004</v>
      </c>
      <c r="DP44" s="151">
        <f t="shared" si="159"/>
        <v>17.046501516000003</v>
      </c>
      <c r="DQ44" s="151">
        <f t="shared" si="159"/>
        <v>15.341851364400004</v>
      </c>
      <c r="DR44" s="151">
        <f t="shared" si="159"/>
        <v>13.807666227960004</v>
      </c>
      <c r="DS44" s="151">
        <f t="shared" si="159"/>
        <v>12.426899605164003</v>
      </c>
    </row>
    <row r="45" spans="2:123" s="151" customFormat="1" x14ac:dyDescent="0.2">
      <c r="B45" s="180" t="s">
        <v>1388</v>
      </c>
      <c r="C45" s="172"/>
      <c r="D45" s="172"/>
      <c r="E45" s="172"/>
      <c r="F45" s="172"/>
      <c r="G45" s="147"/>
      <c r="H45" s="147"/>
      <c r="I45" s="147"/>
      <c r="J45" s="147"/>
      <c r="K45" s="147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>
        <v>0</v>
      </c>
      <c r="BP45" s="73">
        <v>0</v>
      </c>
      <c r="BQ45" s="73">
        <v>0</v>
      </c>
      <c r="BR45" s="73">
        <v>0</v>
      </c>
      <c r="BS45" s="73">
        <v>0</v>
      </c>
      <c r="BT45" s="73">
        <v>1</v>
      </c>
      <c r="BU45" s="73">
        <v>2</v>
      </c>
      <c r="BV45" s="73">
        <v>2</v>
      </c>
      <c r="BW45" s="73">
        <v>4</v>
      </c>
      <c r="BX45" s="73">
        <v>4</v>
      </c>
      <c r="BY45" s="73">
        <v>8</v>
      </c>
      <c r="BZ45" s="73">
        <v>5</v>
      </c>
      <c r="CA45" s="73">
        <f t="shared" ref="CA45:CD45" si="160">+BZ45+1</f>
        <v>6</v>
      </c>
      <c r="CB45" s="73">
        <f t="shared" si="160"/>
        <v>7</v>
      </c>
      <c r="CC45" s="73">
        <f t="shared" si="160"/>
        <v>8</v>
      </c>
      <c r="CD45" s="73">
        <f t="shared" si="160"/>
        <v>9</v>
      </c>
      <c r="CE45" s="73"/>
      <c r="CF45" s="73"/>
      <c r="CG45" s="73"/>
      <c r="CH45" s="73"/>
      <c r="CI45" s="73"/>
      <c r="CJ45" s="155"/>
      <c r="CK45" s="155"/>
      <c r="CL45" s="147"/>
      <c r="CM45" s="147"/>
      <c r="CN45" s="147"/>
      <c r="CO45" s="147"/>
      <c r="CP45" s="146"/>
      <c r="CQ45" s="146"/>
      <c r="CR45" s="147"/>
      <c r="CS45" s="146"/>
      <c r="CT45" s="146"/>
      <c r="CU45" s="147"/>
      <c r="CV45" s="147"/>
      <c r="CW45" s="147"/>
      <c r="CX45" s="147"/>
      <c r="CY45" s="147"/>
      <c r="CZ45" s="147"/>
      <c r="DA45" s="147"/>
      <c r="DB45" s="147"/>
      <c r="DC45" s="147"/>
      <c r="DD45" s="146">
        <f t="shared" si="19"/>
        <v>0</v>
      </c>
      <c r="DE45" s="146">
        <f t="shared" si="124"/>
        <v>5</v>
      </c>
      <c r="DF45" s="146">
        <f t="shared" si="125"/>
        <v>21</v>
      </c>
      <c r="DG45" s="146">
        <f t="shared" si="126"/>
        <v>30</v>
      </c>
      <c r="DH45" s="147">
        <f>+DG45*2</f>
        <v>60</v>
      </c>
      <c r="DI45" s="147">
        <f>+DH45*2</f>
        <v>120</v>
      </c>
      <c r="DJ45" s="147">
        <f>+DI45*1.5</f>
        <v>180</v>
      </c>
      <c r="DK45" s="147">
        <f>+DJ45*1.5</f>
        <v>270</v>
      </c>
      <c r="DL45" s="151">
        <f>+DK45*1.3</f>
        <v>351</v>
      </c>
      <c r="DM45" s="151">
        <f>+DL45*1.2</f>
        <v>421.2</v>
      </c>
      <c r="DN45" s="151">
        <f>+DM45*1.01</f>
        <v>425.41199999999998</v>
      </c>
      <c r="DO45" s="151">
        <f t="shared" ref="DO45:DS45" si="161">+DN45*1.01</f>
        <v>429.66611999999998</v>
      </c>
      <c r="DP45" s="151">
        <f t="shared" si="161"/>
        <v>433.96278119999999</v>
      </c>
      <c r="DQ45" s="151">
        <f t="shared" si="161"/>
        <v>438.302409012</v>
      </c>
      <c r="DR45" s="151">
        <f t="shared" si="161"/>
        <v>442.68543310211999</v>
      </c>
      <c r="DS45" s="151">
        <f t="shared" si="161"/>
        <v>447.1122874331412</v>
      </c>
    </row>
    <row r="46" spans="2:123" x14ac:dyDescent="0.2">
      <c r="B46" s="112" t="s">
        <v>1385</v>
      </c>
      <c r="C46" s="172"/>
      <c r="D46" s="172"/>
      <c r="E46" s="172"/>
      <c r="F46" s="172"/>
      <c r="G46" s="147"/>
      <c r="H46" s="147"/>
      <c r="I46" s="147"/>
      <c r="J46" s="147"/>
      <c r="K46" s="147"/>
      <c r="BO46" s="73">
        <v>0</v>
      </c>
      <c r="BP46" s="73">
        <v>0</v>
      </c>
      <c r="BQ46" s="73">
        <v>0</v>
      </c>
      <c r="BR46" s="73">
        <v>0</v>
      </c>
      <c r="BS46" s="73">
        <v>0</v>
      </c>
      <c r="BT46" s="73">
        <v>0</v>
      </c>
      <c r="BU46" s="73">
        <v>0</v>
      </c>
      <c r="BV46" s="73">
        <v>0</v>
      </c>
      <c r="BW46" s="73">
        <v>2</v>
      </c>
      <c r="BX46" s="73">
        <v>8</v>
      </c>
      <c r="BY46" s="73">
        <v>10</v>
      </c>
      <c r="BZ46" s="73">
        <v>21</v>
      </c>
      <c r="CA46" s="73">
        <f t="shared" ref="CA46:CD46" si="162">+BZ46+1</f>
        <v>22</v>
      </c>
      <c r="CB46" s="73">
        <f t="shared" si="162"/>
        <v>23</v>
      </c>
      <c r="CC46" s="73">
        <f t="shared" si="162"/>
        <v>24</v>
      </c>
      <c r="CD46" s="73">
        <f t="shared" si="162"/>
        <v>25</v>
      </c>
      <c r="CL46" s="147"/>
      <c r="CM46" s="147"/>
      <c r="CN46" s="147"/>
      <c r="CO46" s="147"/>
      <c r="CP46" s="146"/>
      <c r="CQ46" s="146"/>
      <c r="CR46" s="147"/>
      <c r="CS46" s="146"/>
      <c r="CT46" s="146"/>
      <c r="CU46" s="147"/>
      <c r="CV46" s="147"/>
      <c r="CW46" s="147"/>
      <c r="CX46" s="147"/>
      <c r="CY46" s="147"/>
      <c r="CZ46" s="147"/>
      <c r="DA46" s="147"/>
      <c r="DB46" s="147"/>
      <c r="DC46" s="147"/>
      <c r="DD46" s="146">
        <f t="shared" si="19"/>
        <v>0</v>
      </c>
      <c r="DE46" s="146">
        <f t="shared" si="124"/>
        <v>0</v>
      </c>
      <c r="DF46" s="146">
        <f t="shared" si="125"/>
        <v>41</v>
      </c>
      <c r="DG46" s="146">
        <f t="shared" si="126"/>
        <v>94</v>
      </c>
      <c r="DH46" s="147">
        <f>+DG46*1.2</f>
        <v>112.8</v>
      </c>
      <c r="DI46" s="147">
        <f t="shared" ref="DI46:DJ46" si="163">+DH46*1.2</f>
        <v>135.35999999999999</v>
      </c>
      <c r="DJ46" s="147">
        <f t="shared" si="163"/>
        <v>162.43199999999999</v>
      </c>
      <c r="DK46" s="151">
        <f>+DJ46*1.1</f>
        <v>178.67519999999999</v>
      </c>
      <c r="DL46" s="151">
        <f t="shared" ref="DL46:DM46" si="164">+DK46*1.1</f>
        <v>196.54272</v>
      </c>
      <c r="DM46" s="151">
        <f t="shared" si="164"/>
        <v>216.19699200000002</v>
      </c>
      <c r="DN46" s="151">
        <f>+DM46*0.9</f>
        <v>194.57729280000004</v>
      </c>
      <c r="DO46" s="151">
        <f t="shared" ref="DO46:DS46" si="165">+DN46*0.9</f>
        <v>175.11956352000004</v>
      </c>
      <c r="DP46" s="151">
        <f t="shared" si="165"/>
        <v>157.60760716800004</v>
      </c>
      <c r="DQ46" s="151">
        <f t="shared" si="165"/>
        <v>141.84684645120004</v>
      </c>
      <c r="DR46" s="151">
        <f t="shared" si="165"/>
        <v>127.66216180608004</v>
      </c>
      <c r="DS46" s="151">
        <f t="shared" si="165"/>
        <v>114.89594562547204</v>
      </c>
    </row>
    <row r="47" spans="2:123" x14ac:dyDescent="0.2">
      <c r="B47" s="65" t="s">
        <v>194</v>
      </c>
      <c r="C47" s="171">
        <v>172</v>
      </c>
      <c r="D47" s="171">
        <v>158</v>
      </c>
      <c r="E47" s="171">
        <v>175</v>
      </c>
      <c r="F47" s="171">
        <v>177</v>
      </c>
      <c r="G47" s="147">
        <v>167</v>
      </c>
      <c r="H47" s="147">
        <v>162</v>
      </c>
      <c r="I47" s="147">
        <v>180</v>
      </c>
      <c r="J47" s="147">
        <v>188</v>
      </c>
      <c r="K47" s="146">
        <v>182</v>
      </c>
      <c r="L47" s="73">
        <v>175</v>
      </c>
      <c r="M47" s="73">
        <v>180</v>
      </c>
      <c r="N47" s="73">
        <v>174</v>
      </c>
      <c r="O47" s="73">
        <v>166</v>
      </c>
      <c r="P47" s="73">
        <v>167</v>
      </c>
      <c r="Q47" s="73">
        <v>165</v>
      </c>
      <c r="R47" s="73">
        <v>187</v>
      </c>
      <c r="S47" s="73">
        <v>165</v>
      </c>
      <c r="T47" s="73">
        <v>173</v>
      </c>
      <c r="U47" s="73">
        <v>188</v>
      </c>
      <c r="V47" s="73">
        <v>161</v>
      </c>
      <c r="W47" s="73">
        <v>64</v>
      </c>
      <c r="X47" s="73">
        <f>33+23+12</f>
        <v>68</v>
      </c>
      <c r="Y47" s="73">
        <v>53</v>
      </c>
      <c r="Z47" s="73">
        <v>81</v>
      </c>
      <c r="AA47" s="73">
        <v>57</v>
      </c>
      <c r="AB47" s="73">
        <v>52</v>
      </c>
      <c r="AC47" s="73">
        <v>53</v>
      </c>
      <c r="AD47" s="73">
        <v>50</v>
      </c>
      <c r="AE47" s="73">
        <v>51</v>
      </c>
      <c r="AF47" s="73">
        <v>51</v>
      </c>
      <c r="AG47" s="73">
        <v>54</v>
      </c>
      <c r="AH47" s="73">
        <v>54</v>
      </c>
      <c r="AI47" s="73">
        <v>44</v>
      </c>
      <c r="AJ47" s="73">
        <v>52</v>
      </c>
      <c r="AP47" s="73">
        <v>46</v>
      </c>
      <c r="AR47" s="73">
        <v>44</v>
      </c>
      <c r="BO47" s="73">
        <v>34</v>
      </c>
      <c r="BP47" s="73">
        <v>27</v>
      </c>
      <c r="BQ47" s="73">
        <v>30</v>
      </c>
      <c r="BR47" s="73">
        <v>27</v>
      </c>
      <c r="BS47" s="73">
        <v>25</v>
      </c>
      <c r="BT47" s="73">
        <v>26</v>
      </c>
      <c r="BU47" s="73">
        <v>28</v>
      </c>
      <c r="BV47" s="73">
        <v>26</v>
      </c>
      <c r="BW47" s="73">
        <v>0</v>
      </c>
      <c r="BX47" s="73">
        <v>0</v>
      </c>
      <c r="BY47" s="73">
        <v>0</v>
      </c>
      <c r="BZ47" s="73">
        <v>0</v>
      </c>
      <c r="CA47" s="73">
        <v>0</v>
      </c>
      <c r="CB47" s="73">
        <v>0</v>
      </c>
      <c r="CC47" s="73">
        <v>0</v>
      </c>
      <c r="CD47" s="73">
        <v>0</v>
      </c>
      <c r="CL47" s="146">
        <v>798</v>
      </c>
      <c r="CM47" s="146">
        <v>759</v>
      </c>
      <c r="CN47" s="146">
        <v>682</v>
      </c>
      <c r="CO47" s="146">
        <v>697</v>
      </c>
      <c r="CP47" s="147">
        <f>SUM(K47:N47)</f>
        <v>711</v>
      </c>
      <c r="CQ47" s="146">
        <f>SUM(O47:R47)</f>
        <v>685</v>
      </c>
      <c r="CR47" s="147">
        <f>SUM(S47:V47)</f>
        <v>687</v>
      </c>
      <c r="CS47" s="146">
        <f>SUM(W47:Z47)</f>
        <v>266</v>
      </c>
      <c r="CT47" s="146">
        <f>CS47*0.5</f>
        <v>133</v>
      </c>
      <c r="CU47" s="146">
        <f>+CT47*0.8</f>
        <v>106.4</v>
      </c>
      <c r="CV47" s="146">
        <f t="shared" ref="CV47" si="166">+CU47*0.8</f>
        <v>85.12</v>
      </c>
      <c r="CW47" s="146"/>
      <c r="CX47" s="146"/>
      <c r="CY47" s="146"/>
      <c r="CZ47" s="146"/>
      <c r="DA47" s="146"/>
      <c r="DB47" s="146"/>
      <c r="DC47" s="146"/>
      <c r="DD47" s="146">
        <f t="shared" si="19"/>
        <v>118</v>
      </c>
      <c r="DE47" s="146">
        <f t="shared" si="124"/>
        <v>105</v>
      </c>
      <c r="DF47" s="146">
        <f t="shared" si="125"/>
        <v>0</v>
      </c>
      <c r="DG47" s="146">
        <f t="shared" si="126"/>
        <v>0</v>
      </c>
      <c r="DH47" s="146"/>
      <c r="DI47" s="146"/>
      <c r="DJ47" s="146"/>
    </row>
    <row r="48" spans="2:123" x14ac:dyDescent="0.2">
      <c r="B48" s="65" t="s">
        <v>91</v>
      </c>
      <c r="C48" s="171">
        <v>291</v>
      </c>
      <c r="D48" s="171">
        <v>284</v>
      </c>
      <c r="E48" s="171">
        <v>246</v>
      </c>
      <c r="F48" s="171">
        <v>242</v>
      </c>
      <c r="G48" s="147">
        <v>163</v>
      </c>
      <c r="H48" s="147">
        <v>152</v>
      </c>
      <c r="I48" s="147">
        <v>142</v>
      </c>
      <c r="J48" s="147">
        <v>158</v>
      </c>
      <c r="K48" s="146">
        <v>161</v>
      </c>
      <c r="L48" s="73">
        <v>159</v>
      </c>
      <c r="M48" s="73">
        <v>137</v>
      </c>
      <c r="N48" s="73">
        <v>163</v>
      </c>
      <c r="O48" s="73">
        <v>134</v>
      </c>
      <c r="P48" s="73">
        <v>140</v>
      </c>
      <c r="Q48" s="73">
        <v>128</v>
      </c>
      <c r="R48" s="73">
        <v>151</v>
      </c>
      <c r="S48" s="73">
        <v>121</v>
      </c>
      <c r="T48" s="73">
        <v>127</v>
      </c>
      <c r="U48" s="73">
        <v>112</v>
      </c>
      <c r="V48" s="73">
        <v>154</v>
      </c>
      <c r="W48" s="73">
        <v>126</v>
      </c>
      <c r="X48" s="73">
        <f>13+27+98</f>
        <v>138</v>
      </c>
      <c r="Y48" s="73">
        <v>120</v>
      </c>
      <c r="Z48" s="73">
        <v>139</v>
      </c>
      <c r="AA48" s="73">
        <f>10+22+74</f>
        <v>106</v>
      </c>
      <c r="AB48" s="73">
        <v>133</v>
      </c>
      <c r="AC48" s="73">
        <v>115</v>
      </c>
      <c r="AD48" s="73">
        <v>128</v>
      </c>
      <c r="AE48" s="73">
        <v>103</v>
      </c>
      <c r="AF48" s="73">
        <v>107</v>
      </c>
      <c r="AG48" s="73">
        <v>109</v>
      </c>
      <c r="AH48" s="73">
        <v>116</v>
      </c>
      <c r="AI48" s="73">
        <v>91</v>
      </c>
      <c r="AJ48" s="73">
        <v>112</v>
      </c>
      <c r="AK48" s="73">
        <v>80</v>
      </c>
      <c r="AP48" s="73">
        <v>69</v>
      </c>
      <c r="AR48" s="73">
        <v>49</v>
      </c>
      <c r="BO48" s="73">
        <v>36</v>
      </c>
      <c r="BP48" s="73">
        <v>36</v>
      </c>
      <c r="BQ48" s="73">
        <v>38</v>
      </c>
      <c r="BR48" s="73">
        <v>36</v>
      </c>
      <c r="BS48" s="73">
        <v>33</v>
      </c>
      <c r="BT48" s="73">
        <v>30</v>
      </c>
      <c r="BU48" s="73">
        <v>33</v>
      </c>
      <c r="BV48" s="73">
        <v>32</v>
      </c>
      <c r="BW48" s="73">
        <v>0</v>
      </c>
      <c r="BX48" s="73">
        <v>0</v>
      </c>
      <c r="BY48" s="73">
        <v>0</v>
      </c>
      <c r="BZ48" s="73">
        <v>0</v>
      </c>
      <c r="CA48" s="73">
        <v>0</v>
      </c>
      <c r="CB48" s="73">
        <v>0</v>
      </c>
      <c r="CC48" s="73">
        <v>0</v>
      </c>
      <c r="CD48" s="73">
        <v>0</v>
      </c>
      <c r="CL48" s="146">
        <v>2055</v>
      </c>
      <c r="CM48" s="146">
        <v>1877</v>
      </c>
      <c r="CN48" s="146">
        <v>1063</v>
      </c>
      <c r="CO48" s="146">
        <v>615</v>
      </c>
      <c r="CP48" s="147">
        <f>SUM(K48:N48)</f>
        <v>620</v>
      </c>
      <c r="CQ48" s="146">
        <f>SUM(O48:R48)</f>
        <v>553</v>
      </c>
      <c r="CR48" s="147">
        <f>SUM(S48:V48)</f>
        <v>514</v>
      </c>
      <c r="CS48" s="146">
        <f>SUM(W48:Z48)</f>
        <v>523</v>
      </c>
      <c r="CT48" s="146">
        <f>SUM(AA48:AD48)</f>
        <v>482</v>
      </c>
      <c r="CU48" s="146">
        <f>CT48*0.9</f>
        <v>433.8</v>
      </c>
      <c r="CV48" s="146">
        <f t="shared" ref="CV48" si="167">CU48*0.9</f>
        <v>390.42</v>
      </c>
      <c r="CW48" s="146"/>
      <c r="CX48" s="146"/>
      <c r="CY48" s="146"/>
      <c r="CZ48" s="146"/>
      <c r="DA48" s="146"/>
      <c r="DB48" s="146"/>
      <c r="DC48" s="146"/>
      <c r="DD48" s="146">
        <f t="shared" si="19"/>
        <v>146</v>
      </c>
      <c r="DE48" s="146">
        <f t="shared" si="124"/>
        <v>128</v>
      </c>
      <c r="DF48" s="146">
        <f t="shared" si="125"/>
        <v>0</v>
      </c>
      <c r="DG48" s="146">
        <f t="shared" si="126"/>
        <v>0</v>
      </c>
      <c r="DH48" s="146"/>
      <c r="DI48" s="146"/>
      <c r="DJ48" s="146"/>
    </row>
    <row r="49" spans="2:115" x14ac:dyDescent="0.2">
      <c r="B49" s="65" t="s">
        <v>72</v>
      </c>
      <c r="C49" s="171">
        <v>133</v>
      </c>
      <c r="D49" s="171">
        <v>145</v>
      </c>
      <c r="E49" s="171">
        <v>147</v>
      </c>
      <c r="F49" s="171">
        <v>146</v>
      </c>
      <c r="G49" s="147">
        <v>164</v>
      </c>
      <c r="H49" s="147">
        <v>162</v>
      </c>
      <c r="I49" s="147">
        <v>156</v>
      </c>
      <c r="J49" s="147">
        <v>190</v>
      </c>
      <c r="K49" s="147">
        <v>204</v>
      </c>
      <c r="L49" s="73">
        <v>214</v>
      </c>
      <c r="M49" s="73">
        <v>215</v>
      </c>
      <c r="N49" s="73">
        <v>212</v>
      </c>
      <c r="O49" s="73">
        <v>224</v>
      </c>
      <c r="P49" s="73">
        <v>226</v>
      </c>
      <c r="Q49" s="73">
        <v>229</v>
      </c>
      <c r="R49" s="73">
        <v>255</v>
      </c>
      <c r="S49" s="73">
        <v>249</v>
      </c>
      <c r="T49" s="73">
        <v>277</v>
      </c>
      <c r="U49" s="73">
        <v>303</v>
      </c>
      <c r="V49" s="73">
        <v>366</v>
      </c>
      <c r="W49" s="73">
        <v>344</v>
      </c>
      <c r="X49" s="73">
        <v>379</v>
      </c>
      <c r="Y49" s="73">
        <v>349</v>
      </c>
      <c r="Z49" s="73">
        <v>222</v>
      </c>
      <c r="AA49" s="73">
        <v>176</v>
      </c>
      <c r="AB49" s="73">
        <v>165</v>
      </c>
      <c r="AC49" s="73">
        <v>95</v>
      </c>
      <c r="AD49" s="73">
        <v>96</v>
      </c>
      <c r="AE49" s="73">
        <v>90</v>
      </c>
      <c r="AF49" s="73">
        <v>86</v>
      </c>
      <c r="AG49" s="73">
        <v>87</v>
      </c>
      <c r="AH49" s="73">
        <v>76</v>
      </c>
      <c r="AI49" s="73">
        <v>63</v>
      </c>
      <c r="AJ49" s="73">
        <v>66</v>
      </c>
      <c r="AK49" s="73">
        <v>52</v>
      </c>
      <c r="AP49" s="73">
        <v>59</v>
      </c>
      <c r="AR49" s="73">
        <v>37</v>
      </c>
      <c r="BO49" s="73">
        <v>28</v>
      </c>
      <c r="BP49" s="73">
        <v>25</v>
      </c>
      <c r="BQ49" s="73">
        <v>24</v>
      </c>
      <c r="BR49" s="73">
        <v>26</v>
      </c>
      <c r="BS49" s="73">
        <v>22</v>
      </c>
      <c r="BT49" s="73">
        <v>23</v>
      </c>
      <c r="BU49" s="73">
        <v>23</v>
      </c>
      <c r="BV49" s="73">
        <v>24</v>
      </c>
      <c r="BW49" s="73">
        <v>0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L49" s="146">
        <v>425</v>
      </c>
      <c r="CM49" s="146">
        <v>498</v>
      </c>
      <c r="CN49" s="146">
        <v>571</v>
      </c>
      <c r="CO49" s="146">
        <v>695</v>
      </c>
      <c r="CP49" s="147">
        <f>SUM(K49:N49)</f>
        <v>845</v>
      </c>
      <c r="CQ49" s="147">
        <f>SUM(O49:R49)</f>
        <v>934</v>
      </c>
      <c r="CR49" s="147">
        <f>SUM(S49:V49)</f>
        <v>1195</v>
      </c>
      <c r="CS49" s="147">
        <f>SUM(W49:Z49)</f>
        <v>1294</v>
      </c>
      <c r="CT49" s="146">
        <f>SUM(AA49:AD49)</f>
        <v>532</v>
      </c>
      <c r="CU49" s="147">
        <f>CT49*0.7</f>
        <v>372.4</v>
      </c>
      <c r="CV49" s="147">
        <f t="shared" ref="CV49:CZ49" si="168">CU49*0.7</f>
        <v>260.67999999999995</v>
      </c>
      <c r="CW49" s="147">
        <f t="shared" si="168"/>
        <v>182.47599999999994</v>
      </c>
      <c r="CX49" s="147">
        <f t="shared" si="168"/>
        <v>127.73319999999995</v>
      </c>
      <c r="CY49" s="147">
        <f t="shared" si="168"/>
        <v>89.413239999999959</v>
      </c>
      <c r="CZ49" s="147">
        <f t="shared" si="168"/>
        <v>62.589267999999969</v>
      </c>
      <c r="DA49" s="147"/>
      <c r="DB49" s="147"/>
      <c r="DC49" s="147"/>
      <c r="DD49" s="146">
        <f t="shared" si="19"/>
        <v>103</v>
      </c>
      <c r="DE49" s="146">
        <f t="shared" si="124"/>
        <v>92</v>
      </c>
      <c r="DF49" s="146">
        <f t="shared" si="125"/>
        <v>0</v>
      </c>
      <c r="DG49" s="146">
        <f t="shared" si="126"/>
        <v>0</v>
      </c>
      <c r="DH49" s="147"/>
      <c r="DI49" s="147"/>
      <c r="DJ49" s="147"/>
    </row>
    <row r="50" spans="2:115" x14ac:dyDescent="0.2">
      <c r="B50" s="112" t="s">
        <v>695</v>
      </c>
      <c r="C50" s="172"/>
      <c r="D50" s="172"/>
      <c r="E50" s="172"/>
      <c r="F50" s="172"/>
      <c r="G50" s="147"/>
      <c r="H50" s="147"/>
      <c r="I50" s="147"/>
      <c r="J50" s="147"/>
      <c r="K50" s="147"/>
      <c r="CL50" s="147"/>
      <c r="CM50" s="147"/>
      <c r="CN50" s="147"/>
      <c r="CO50" s="147"/>
      <c r="CP50" s="146"/>
      <c r="CQ50" s="146"/>
      <c r="CR50" s="147"/>
      <c r="CS50" s="146"/>
      <c r="CT50" s="146"/>
      <c r="CU50" s="147"/>
      <c r="CV50" s="147"/>
      <c r="CW50" s="147"/>
      <c r="CX50" s="147"/>
      <c r="CY50" s="147"/>
      <c r="CZ50" s="147"/>
      <c r="DA50" s="147"/>
      <c r="DB50" s="147"/>
      <c r="DC50" s="147"/>
      <c r="DD50" s="146"/>
      <c r="DE50" s="146"/>
      <c r="DF50" s="146"/>
      <c r="DG50" s="146"/>
      <c r="DH50" s="147"/>
      <c r="DI50" s="147"/>
      <c r="DJ50" s="147"/>
    </row>
    <row r="51" spans="2:115" x14ac:dyDescent="0.2">
      <c r="B51" s="112" t="s">
        <v>1329</v>
      </c>
      <c r="C51" s="171"/>
      <c r="D51" s="171"/>
      <c r="E51" s="171"/>
      <c r="F51" s="171"/>
      <c r="G51" s="147"/>
      <c r="H51" s="147"/>
      <c r="I51" s="147"/>
      <c r="J51" s="147"/>
      <c r="K51" s="147"/>
      <c r="W51" s="162"/>
      <c r="X51" s="162"/>
      <c r="AF51" s="73">
        <v>379</v>
      </c>
      <c r="AG51" s="73">
        <v>435</v>
      </c>
      <c r="AH51" s="73">
        <v>402</v>
      </c>
      <c r="AI51" s="73">
        <v>334</v>
      </c>
      <c r="AJ51" s="73">
        <v>346</v>
      </c>
      <c r="AP51" s="73">
        <v>385</v>
      </c>
      <c r="AR51" s="73">
        <v>352</v>
      </c>
      <c r="CL51" s="146"/>
      <c r="CM51" s="146"/>
      <c r="CN51" s="146"/>
      <c r="CO51" s="146"/>
      <c r="CP51" s="147"/>
      <c r="CQ51" s="147"/>
      <c r="CR51" s="147"/>
      <c r="CS51" s="146"/>
      <c r="CT51" s="146"/>
      <c r="CU51" s="147"/>
      <c r="CV51" s="147"/>
      <c r="CW51" s="147"/>
      <c r="CX51" s="147"/>
      <c r="CY51" s="147"/>
      <c r="CZ51" s="147"/>
      <c r="DA51" s="147"/>
      <c r="DB51" s="147"/>
      <c r="DC51" s="147"/>
      <c r="DD51" s="146"/>
      <c r="DE51" s="146"/>
      <c r="DF51" s="146"/>
      <c r="DG51" s="146"/>
      <c r="DH51" s="147"/>
      <c r="DI51" s="147"/>
      <c r="DJ51" s="147"/>
      <c r="DK51" s="112"/>
    </row>
    <row r="52" spans="2:115" x14ac:dyDescent="0.2">
      <c r="B52" s="65" t="s">
        <v>363</v>
      </c>
      <c r="C52" s="172">
        <v>159</v>
      </c>
      <c r="D52" s="172">
        <v>156</v>
      </c>
      <c r="E52" s="172">
        <v>152</v>
      </c>
      <c r="F52" s="172">
        <v>167</v>
      </c>
      <c r="G52" s="147">
        <v>163</v>
      </c>
      <c r="H52" s="147">
        <v>153</v>
      </c>
      <c r="I52" s="147">
        <v>159</v>
      </c>
      <c r="J52" s="147">
        <v>181</v>
      </c>
      <c r="K52" s="73">
        <f>378-K24</f>
        <v>208</v>
      </c>
      <c r="L52" s="73">
        <f>326-L24</f>
        <v>192</v>
      </c>
      <c r="M52" s="73">
        <f>311-M24</f>
        <v>190</v>
      </c>
      <c r="N52" s="73">
        <f>354-N24</f>
        <v>209</v>
      </c>
      <c r="O52" s="73">
        <f>348-O24</f>
        <v>201</v>
      </c>
      <c r="P52" s="73">
        <f>310-P24</f>
        <v>190</v>
      </c>
      <c r="Q52" s="73">
        <f>302-Q24</f>
        <v>185</v>
      </c>
      <c r="R52" s="73">
        <f>370-146</f>
        <v>224</v>
      </c>
      <c r="S52" s="73">
        <f>365-156-2</f>
        <v>207</v>
      </c>
      <c r="T52" s="73">
        <f>329-129-4</f>
        <v>196</v>
      </c>
      <c r="U52" s="73">
        <f>340-143-5</f>
        <v>192</v>
      </c>
      <c r="V52" s="73">
        <f>397-159-5</f>
        <v>233</v>
      </c>
      <c r="W52" s="73">
        <f>426-186</f>
        <v>240</v>
      </c>
      <c r="X52" s="73">
        <f>35+85+115</f>
        <v>235</v>
      </c>
      <c r="Y52" s="73">
        <f>376-162</f>
        <v>214</v>
      </c>
      <c r="Z52" s="73">
        <f>409-173</f>
        <v>236</v>
      </c>
      <c r="AA52" s="73">
        <f>356-160</f>
        <v>196</v>
      </c>
      <c r="AB52" s="73">
        <f>337-144</f>
        <v>193</v>
      </c>
      <c r="AC52" s="73">
        <f>333-153</f>
        <v>180</v>
      </c>
      <c r="AD52" s="73">
        <f>370-168</f>
        <v>202</v>
      </c>
      <c r="AE52" s="73">
        <f>379-187</f>
        <v>192</v>
      </c>
      <c r="AF52" s="73">
        <f>333-AF24</f>
        <v>191</v>
      </c>
      <c r="AG52" s="73">
        <f>323-139</f>
        <v>184</v>
      </c>
      <c r="AH52" s="73">
        <f>355-173</f>
        <v>182</v>
      </c>
      <c r="AI52" s="73">
        <f>318-153</f>
        <v>165</v>
      </c>
      <c r="AJ52" s="73">
        <v>154</v>
      </c>
      <c r="AK52" s="73">
        <v>150</v>
      </c>
      <c r="AP52" s="73">
        <v>144</v>
      </c>
      <c r="AR52" s="73">
        <v>53</v>
      </c>
      <c r="CL52" s="147">
        <v>0</v>
      </c>
      <c r="CM52" s="147">
        <v>743</v>
      </c>
      <c r="CN52" s="147">
        <v>634</v>
      </c>
      <c r="CO52" s="147">
        <v>656</v>
      </c>
      <c r="CP52" s="147">
        <f>SUM(K52:N52)</f>
        <v>799</v>
      </c>
      <c r="CQ52" s="147">
        <f>SUM(O52:R52)</f>
        <v>800</v>
      </c>
      <c r="CR52" s="147">
        <f>SUM(S52:V52)</f>
        <v>828</v>
      </c>
      <c r="CS52" s="146">
        <f>SUM(W52:Z52)</f>
        <v>925</v>
      </c>
      <c r="CT52" s="146">
        <f>SUM(AA52:AD52)</f>
        <v>771</v>
      </c>
      <c r="CU52" s="147">
        <f>+CT52*0.75</f>
        <v>578.25</v>
      </c>
      <c r="CV52" s="147">
        <f t="shared" ref="CV52:DA52" si="169">+CU52*0.75</f>
        <v>433.6875</v>
      </c>
      <c r="CW52" s="147">
        <f t="shared" si="169"/>
        <v>325.265625</v>
      </c>
      <c r="CX52" s="147">
        <f t="shared" si="169"/>
        <v>243.94921875</v>
      </c>
      <c r="CY52" s="147">
        <f t="shared" si="169"/>
        <v>182.9619140625</v>
      </c>
      <c r="CZ52" s="147">
        <f t="shared" si="169"/>
        <v>137.221435546875</v>
      </c>
      <c r="DA52" s="147">
        <f t="shared" si="169"/>
        <v>102.91607666015625</v>
      </c>
      <c r="DB52" s="147">
        <f>+DA52*0.75</f>
        <v>77.187057495117188</v>
      </c>
      <c r="DC52" s="147"/>
      <c r="DD52" s="146"/>
      <c r="DE52" s="146"/>
      <c r="DF52" s="146"/>
      <c r="DG52" s="146"/>
      <c r="DH52" s="147"/>
      <c r="DI52" s="147"/>
      <c r="DJ52" s="147"/>
    </row>
    <row r="53" spans="2:115" x14ac:dyDescent="0.2">
      <c r="B53" s="65" t="s">
        <v>355</v>
      </c>
      <c r="C53" s="171"/>
      <c r="D53" s="171"/>
      <c r="E53" s="171"/>
      <c r="F53" s="171"/>
      <c r="G53" s="147"/>
      <c r="H53" s="147"/>
      <c r="I53" s="147"/>
      <c r="J53" s="147"/>
      <c r="K53" s="147"/>
      <c r="S53" s="73">
        <v>50</v>
      </c>
      <c r="T53" s="73">
        <v>67</v>
      </c>
      <c r="U53" s="73">
        <v>75</v>
      </c>
      <c r="V53" s="73">
        <v>98</v>
      </c>
      <c r="W53" s="73">
        <v>106</v>
      </c>
      <c r="X53" s="73">
        <v>104</v>
      </c>
      <c r="Y53" s="73">
        <v>111</v>
      </c>
      <c r="Z53" s="73">
        <v>129</v>
      </c>
      <c r="AA53" s="73">
        <v>107</v>
      </c>
      <c r="AB53" s="73">
        <v>138</v>
      </c>
      <c r="AC53" s="73">
        <v>138</v>
      </c>
      <c r="AD53" s="73">
        <v>147</v>
      </c>
      <c r="AE53" s="73">
        <v>127</v>
      </c>
      <c r="AF53" s="73">
        <v>145</v>
      </c>
      <c r="AG53" s="73">
        <v>139</v>
      </c>
      <c r="AH53" s="73">
        <v>158</v>
      </c>
      <c r="AI53" s="73">
        <v>151</v>
      </c>
      <c r="AJ53" s="73">
        <v>157</v>
      </c>
      <c r="AK53" s="73">
        <v>151</v>
      </c>
      <c r="AP53" s="73">
        <v>140</v>
      </c>
      <c r="AR53" s="73">
        <v>27</v>
      </c>
      <c r="CL53" s="146" t="s">
        <v>449</v>
      </c>
      <c r="CM53" s="146" t="s">
        <v>449</v>
      </c>
      <c r="CN53" s="146" t="s">
        <v>449</v>
      </c>
      <c r="CO53" s="146" t="s">
        <v>449</v>
      </c>
      <c r="CP53" s="147" t="s">
        <v>449</v>
      </c>
      <c r="CQ53" s="147" t="s">
        <v>449</v>
      </c>
      <c r="CR53" s="147">
        <f>SUM(S53:X53)</f>
        <v>500</v>
      </c>
      <c r="CS53" s="146">
        <f>SUM(W53:Z53)</f>
        <v>450</v>
      </c>
      <c r="CT53" s="146">
        <f>SUM(AA53:AD53)</f>
        <v>530</v>
      </c>
      <c r="CU53" s="147">
        <f>CT53*1.05</f>
        <v>556.5</v>
      </c>
      <c r="CV53" s="147">
        <f>CU53*1.02</f>
        <v>567.63</v>
      </c>
      <c r="CW53" s="147">
        <f t="shared" ref="CW53:CX53" si="170">CV53*1.02</f>
        <v>578.98260000000005</v>
      </c>
      <c r="CX53" s="147">
        <f t="shared" si="170"/>
        <v>590.56225200000006</v>
      </c>
      <c r="CY53" s="147">
        <f t="shared" ref="CY53:DA53" si="171">CX53*0.75</f>
        <v>442.92168900000001</v>
      </c>
      <c r="CZ53" s="147">
        <f t="shared" si="171"/>
        <v>332.19126675000001</v>
      </c>
      <c r="DA53" s="147">
        <f t="shared" si="171"/>
        <v>249.14345006249999</v>
      </c>
      <c r="DB53" s="147">
        <f>DA53*0.75</f>
        <v>186.85758754687498</v>
      </c>
      <c r="DC53" s="147"/>
      <c r="DD53" s="146"/>
      <c r="DE53" s="146"/>
      <c r="DF53" s="146"/>
      <c r="DG53" s="146"/>
      <c r="DH53" s="147"/>
      <c r="DI53" s="147"/>
      <c r="DJ53" s="147"/>
    </row>
    <row r="54" spans="2:115" x14ac:dyDescent="0.2">
      <c r="B54" s="65" t="s">
        <v>814</v>
      </c>
      <c r="C54" s="172"/>
      <c r="D54" s="172"/>
      <c r="E54" s="172"/>
      <c r="F54" s="172"/>
      <c r="G54" s="147"/>
      <c r="H54" s="147"/>
      <c r="I54" s="147"/>
      <c r="J54" s="147"/>
      <c r="AA54" s="73">
        <v>5</v>
      </c>
      <c r="AB54" s="73">
        <v>8</v>
      </c>
      <c r="AC54" s="73">
        <v>11</v>
      </c>
      <c r="AD54" s="73">
        <v>14</v>
      </c>
      <c r="AE54" s="73">
        <v>17</v>
      </c>
      <c r="AF54" s="73">
        <v>22</v>
      </c>
      <c r="AG54" s="73">
        <v>30</v>
      </c>
      <c r="AH54" s="73">
        <v>31</v>
      </c>
      <c r="AI54" s="73">
        <v>33</v>
      </c>
      <c r="AJ54" s="73">
        <v>39</v>
      </c>
      <c r="AP54" s="73">
        <v>90</v>
      </c>
      <c r="AR54" s="73">
        <v>101</v>
      </c>
      <c r="CL54" s="147"/>
      <c r="CM54" s="147"/>
      <c r="CN54" s="147"/>
      <c r="CO54" s="146"/>
      <c r="CP54" s="146"/>
      <c r="CQ54" s="147" t="s">
        <v>449</v>
      </c>
      <c r="CR54" s="147" t="s">
        <v>449</v>
      </c>
      <c r="CS54" s="146" t="s">
        <v>449</v>
      </c>
      <c r="CT54" s="146">
        <f>SUM(AA54:AD54)</f>
        <v>38</v>
      </c>
      <c r="CU54" s="146">
        <f>SUM(AE54:AH54)</f>
        <v>100</v>
      </c>
      <c r="CV54" s="146">
        <v>150</v>
      </c>
      <c r="CW54" s="146">
        <v>200</v>
      </c>
      <c r="CX54" s="146">
        <v>210</v>
      </c>
      <c r="CY54" s="146">
        <v>220</v>
      </c>
      <c r="CZ54" s="146">
        <v>230</v>
      </c>
      <c r="DA54" s="146">
        <v>240</v>
      </c>
      <c r="DB54" s="146">
        <v>250</v>
      </c>
      <c r="DC54" s="146"/>
      <c r="DD54" s="146"/>
      <c r="DE54" s="146"/>
      <c r="DF54" s="146"/>
      <c r="DG54" s="146"/>
      <c r="DH54" s="146"/>
      <c r="DI54" s="146"/>
      <c r="DJ54" s="146"/>
    </row>
    <row r="55" spans="2:115" x14ac:dyDescent="0.2">
      <c r="B55" s="112" t="s">
        <v>1331</v>
      </c>
      <c r="C55" s="171"/>
      <c r="D55" s="171"/>
      <c r="E55" s="171"/>
      <c r="F55" s="171"/>
      <c r="G55" s="147"/>
      <c r="H55" s="147"/>
      <c r="I55" s="147"/>
      <c r="J55" s="147"/>
      <c r="K55" s="146"/>
      <c r="AF55" s="73">
        <v>0</v>
      </c>
      <c r="AG55" s="73">
        <v>0</v>
      </c>
      <c r="AH55" s="73">
        <v>0</v>
      </c>
      <c r="AI55" s="73">
        <f>106-35-28</f>
        <v>43</v>
      </c>
      <c r="AJ55" s="73">
        <v>44</v>
      </c>
      <c r="AP55" s="73">
        <v>67</v>
      </c>
      <c r="AR55" s="73">
        <v>99</v>
      </c>
      <c r="CL55" s="146"/>
      <c r="CM55" s="146"/>
      <c r="CN55" s="146"/>
      <c r="CO55" s="146"/>
      <c r="CP55" s="147"/>
      <c r="CQ55" s="146"/>
      <c r="CR55" s="147"/>
      <c r="CS55" s="146"/>
      <c r="CT55" s="146"/>
      <c r="CU55" s="146"/>
      <c r="CV55" s="146"/>
      <c r="CW55" s="146"/>
      <c r="CX55" s="146"/>
      <c r="CY55" s="146"/>
      <c r="CZ55" s="146"/>
      <c r="DA55" s="146"/>
      <c r="DB55" s="146"/>
      <c r="DC55" s="146"/>
      <c r="DD55" s="146"/>
      <c r="DE55" s="146"/>
      <c r="DF55" s="146"/>
      <c r="DG55" s="146"/>
      <c r="DH55" s="146"/>
      <c r="DI55" s="146"/>
      <c r="DJ55" s="146"/>
    </row>
    <row r="56" spans="2:115" x14ac:dyDescent="0.2">
      <c r="B56" s="65" t="s">
        <v>367</v>
      </c>
      <c r="C56" s="172">
        <v>79</v>
      </c>
      <c r="D56" s="172">
        <v>84</v>
      </c>
      <c r="E56" s="172">
        <v>94</v>
      </c>
      <c r="F56" s="172">
        <v>130</v>
      </c>
      <c r="G56" s="147">
        <v>80</v>
      </c>
      <c r="H56" s="147">
        <v>87</v>
      </c>
      <c r="I56" s="147">
        <v>84</v>
      </c>
      <c r="J56" s="147">
        <v>90</v>
      </c>
      <c r="K56" s="73">
        <f>426-K72-K90-K30-K69-K60-K91</f>
        <v>81</v>
      </c>
      <c r="L56" s="73">
        <f>383-L72-L90-L30-L69-L60-L91</f>
        <v>94</v>
      </c>
      <c r="M56" s="73">
        <f>406-M72-M90-M30-M69-M60-M91</f>
        <v>81</v>
      </c>
      <c r="N56" s="73">
        <f>421-N72-N90-N30-N69-N60-N91</f>
        <v>75</v>
      </c>
      <c r="O56" s="73">
        <f>439-O72-O90-O30-O69-O60-O91</f>
        <v>67</v>
      </c>
      <c r="P56" s="73">
        <f>439-P72-P90-P30-P69-P60-P91</f>
        <v>76</v>
      </c>
      <c r="Q56" s="73">
        <f>378-Q72-Q90-Q30-Q69-Q60-Q91</f>
        <v>69</v>
      </c>
      <c r="R56" s="73">
        <f>298-R72-R90-R30-R69-R60-R91</f>
        <v>87</v>
      </c>
      <c r="S56" s="73">
        <f>398-S72-S90-S30-S69-S60-S91-S53</f>
        <v>101</v>
      </c>
      <c r="T56" s="73">
        <f>435-T72-T90-T30-T69-T60-T91-T53</f>
        <v>109</v>
      </c>
      <c r="U56" s="73">
        <f>466-U72-U90-U30-U69-U60-U91-U53</f>
        <v>102</v>
      </c>
      <c r="V56" s="73">
        <f>548-V72-V90-V30-V69-V60-V91-V53</f>
        <v>116</v>
      </c>
      <c r="W56" s="73">
        <f>551-W72-W90-W30-W69-W60-W91-W53-W61</f>
        <v>112</v>
      </c>
      <c r="X56" s="73">
        <f>580-X72-X90-X30-X69-X60-X91-X53-X61</f>
        <v>125</v>
      </c>
      <c r="Y56" s="73">
        <f>552-Y72-Y90-Y30-Y69-Y60-Y91-Y53-Y61</f>
        <v>107</v>
      </c>
      <c r="Z56" s="73">
        <f>615-Z72-Z90-Z30-Z69-Z60-Z91-Z53-Z65</f>
        <v>125</v>
      </c>
      <c r="AA56" s="73">
        <f>570-AA72-AA90-AA30-AA69-AA60-AA91-AA53-AA65</f>
        <v>122</v>
      </c>
      <c r="AB56" s="73">
        <f>654-AB72-AB90-AB30-AB69-AB60-AB91-AB53-AB65</f>
        <v>139</v>
      </c>
      <c r="AC56" s="73">
        <f>650-AC72-AC90-AC30-AC69-AC60-AC91-AC53-AC65</f>
        <v>147</v>
      </c>
      <c r="AD56" s="73">
        <f>696-AD72-AD90-AD30-AD69-AD60-AD91-AD53-AD65</f>
        <v>149</v>
      </c>
      <c r="AE56" s="73">
        <f>615-AE72-AE90-AE30-AE69-AE60-AE91-AE53-AE65</f>
        <v>107</v>
      </c>
      <c r="AF56" s="73">
        <f>706-75-188-39-60-145-33-22</f>
        <v>144</v>
      </c>
      <c r="AG56" s="73">
        <f>700-71-188-38-60-139-33-25</f>
        <v>146</v>
      </c>
      <c r="AH56" s="73">
        <f>719-56-206-41-60-158-32-28</f>
        <v>138</v>
      </c>
      <c r="AI56" s="73">
        <f>728-48-186-35-61-151-174</f>
        <v>73</v>
      </c>
      <c r="AJ56" s="73">
        <v>77</v>
      </c>
      <c r="AK56" s="73">
        <v>77</v>
      </c>
      <c r="AP56" s="73">
        <v>65</v>
      </c>
      <c r="AR56" s="73">
        <v>34</v>
      </c>
      <c r="CL56" s="147">
        <v>349</v>
      </c>
      <c r="CM56" s="147">
        <v>353</v>
      </c>
      <c r="CN56" s="147">
        <v>387</v>
      </c>
      <c r="CO56" s="147">
        <v>341</v>
      </c>
      <c r="CP56" s="147">
        <f t="shared" ref="CP56:CP60" si="172">SUM(K56:N56)</f>
        <v>331</v>
      </c>
      <c r="CQ56" s="147">
        <f t="shared" ref="CQ56:CQ60" si="173">SUM(O56:R56)</f>
        <v>299</v>
      </c>
      <c r="CR56" s="147">
        <f t="shared" ref="CR56:CR60" si="174">SUM(S56:V56)</f>
        <v>428</v>
      </c>
      <c r="CS56" s="146">
        <f t="shared" ref="CS56:CS64" si="175">SUM(W56:Z56)</f>
        <v>469</v>
      </c>
      <c r="CT56" s="146">
        <f t="shared" ref="CT56:CT62" si="176">SUM(AA56:AD56)</f>
        <v>557</v>
      </c>
      <c r="CU56" s="147">
        <f>CT56*0.9</f>
        <v>501.3</v>
      </c>
      <c r="CV56" s="147">
        <f t="shared" ref="CV56:DA56" si="177">CU56*0.9</f>
        <v>451.17</v>
      </c>
      <c r="CW56" s="147">
        <f t="shared" si="177"/>
        <v>406.053</v>
      </c>
      <c r="CX56" s="147">
        <f t="shared" si="177"/>
        <v>365.4477</v>
      </c>
      <c r="CY56" s="147">
        <f t="shared" si="177"/>
        <v>328.90293000000003</v>
      </c>
      <c r="CZ56" s="147">
        <f t="shared" si="177"/>
        <v>296.01263700000004</v>
      </c>
      <c r="DA56" s="147">
        <f t="shared" si="177"/>
        <v>266.41137330000004</v>
      </c>
      <c r="DB56" s="147">
        <f t="shared" ref="DB56" si="178">DA56*0.9</f>
        <v>239.77023597000004</v>
      </c>
      <c r="DC56" s="147"/>
      <c r="DD56" s="146"/>
      <c r="DE56" s="146"/>
      <c r="DF56" s="146"/>
      <c r="DG56" s="146"/>
      <c r="DH56" s="147"/>
      <c r="DI56" s="147"/>
      <c r="DJ56" s="147"/>
    </row>
    <row r="57" spans="2:115" x14ac:dyDescent="0.2">
      <c r="B57" s="65" t="s">
        <v>65</v>
      </c>
      <c r="C57" s="172">
        <v>51</v>
      </c>
      <c r="D57" s="172">
        <v>42</v>
      </c>
      <c r="E57" s="172">
        <v>40</v>
      </c>
      <c r="F57" s="172">
        <v>40</v>
      </c>
      <c r="G57" s="147">
        <v>40</v>
      </c>
      <c r="H57" s="147">
        <v>38</v>
      </c>
      <c r="I57" s="147">
        <v>41</v>
      </c>
      <c r="J57" s="147">
        <v>45</v>
      </c>
      <c r="K57" s="73">
        <f>896-K25-K47-K73-K48-K71</f>
        <v>41</v>
      </c>
      <c r="L57" s="73">
        <f>918-L25-L47-L73-L48-L71</f>
        <v>38</v>
      </c>
      <c r="M57" s="73">
        <f>913-M25-M47-M73-M48-M71</f>
        <v>35</v>
      </c>
      <c r="N57" s="73">
        <f>915-N25-N47-N73-N48-N71</f>
        <v>33</v>
      </c>
      <c r="O57" s="73">
        <f>796-O25-O47-O73-O48-O71</f>
        <v>34</v>
      </c>
      <c r="P57" s="73">
        <f>828-P25-P47-P73-P48-P71</f>
        <v>34</v>
      </c>
      <c r="Q57" s="73">
        <f>825-Q25-Q47-Q73-Q48-Q71</f>
        <v>35</v>
      </c>
      <c r="R57" s="73">
        <f>899-R25-R47-R73-R48-R71</f>
        <v>35</v>
      </c>
      <c r="S57" s="73">
        <f>829-S25-S47-S73-S48-S71</f>
        <v>33</v>
      </c>
      <c r="T57" s="73">
        <f>818-T25-T47-T73-T48-T71-T78</f>
        <v>32</v>
      </c>
      <c r="U57" s="73">
        <f>585-U25-U47-U73-U48-U71-U78</f>
        <v>36</v>
      </c>
      <c r="V57" s="73">
        <f>665-V25-V47-V73-V48-V71-V78</f>
        <v>36</v>
      </c>
      <c r="W57" s="73">
        <f>499-W25-W47-W73-W48-W71-W78</f>
        <v>37</v>
      </c>
      <c r="X57" s="73">
        <f>449-X25-X47-X73-X48-X71-X78</f>
        <v>47</v>
      </c>
      <c r="Y57" s="73">
        <f>418-Y25-Y47-Y73-Y48-Y71-Y78</f>
        <v>50</v>
      </c>
      <c r="Z57" s="73">
        <f>504-Z25-Z47-Z73-Z48-Z71-Z78</f>
        <v>51</v>
      </c>
      <c r="AA57" s="73">
        <f>417-AA25-AA47-AA73-AA48-AA71-AA78</f>
        <v>46</v>
      </c>
      <c r="AB57" s="73">
        <f>450-AB25-AB47-AB73-AB48-AB71-AB78</f>
        <v>45</v>
      </c>
      <c r="AC57" s="73">
        <f>436-AC25-AC47-AC73-AC48-AC71-AC78</f>
        <v>48</v>
      </c>
      <c r="AD57" s="73">
        <f>450-AD25-AD47-AD73-AD48-AD71-AD78</f>
        <v>46</v>
      </c>
      <c r="AE57" s="73">
        <f>396-AE25-AE47-AE73-AE48-AE71-AE78-AE83</f>
        <v>31</v>
      </c>
      <c r="AF57" s="73">
        <f>421-51-12-128-57-107-14-23</f>
        <v>29</v>
      </c>
      <c r="AG57" s="73">
        <f>458-54-13-153-56-109-14-23</f>
        <v>36</v>
      </c>
      <c r="AH57" s="73">
        <f>446-54-17-141-52-116-15-20</f>
        <v>31</v>
      </c>
      <c r="AI57" s="73">
        <f>401-44-148-45-91-12-20</f>
        <v>41</v>
      </c>
      <c r="AJ57" s="73">
        <v>59</v>
      </c>
      <c r="AP57" s="73">
        <v>62</v>
      </c>
      <c r="AR57" s="73">
        <v>0</v>
      </c>
      <c r="CL57" s="147"/>
      <c r="CM57" s="147">
        <v>210</v>
      </c>
      <c r="CN57" s="147">
        <v>173</v>
      </c>
      <c r="CO57" s="147">
        <v>164</v>
      </c>
      <c r="CP57" s="147">
        <f t="shared" si="172"/>
        <v>147</v>
      </c>
      <c r="CQ57" s="147">
        <f t="shared" si="173"/>
        <v>138</v>
      </c>
      <c r="CR57" s="147">
        <f t="shared" si="174"/>
        <v>137</v>
      </c>
      <c r="CS57" s="146">
        <f t="shared" si="175"/>
        <v>185</v>
      </c>
      <c r="CT57" s="147">
        <f t="shared" si="176"/>
        <v>185</v>
      </c>
      <c r="CU57" s="147">
        <f>CT57*0.95</f>
        <v>175.75</v>
      </c>
      <c r="CV57" s="147">
        <f t="shared" ref="CV57:DA57" si="179">CU57*0.95</f>
        <v>166.96250000000001</v>
      </c>
      <c r="CW57" s="147">
        <f t="shared" si="179"/>
        <v>158.614375</v>
      </c>
      <c r="CX57" s="147">
        <f t="shared" si="179"/>
        <v>150.68365624999998</v>
      </c>
      <c r="CY57" s="147">
        <f t="shared" si="179"/>
        <v>143.14947343749998</v>
      </c>
      <c r="CZ57" s="147">
        <f t="shared" si="179"/>
        <v>135.99199976562497</v>
      </c>
      <c r="DA57" s="147">
        <f t="shared" si="179"/>
        <v>129.19239977734372</v>
      </c>
      <c r="DB57" s="147">
        <f>DA57*0.95</f>
        <v>122.73277978847653</v>
      </c>
      <c r="DC57" s="147"/>
      <c r="DD57" s="146"/>
      <c r="DE57" s="146"/>
      <c r="DF57" s="146"/>
      <c r="DG57" s="146"/>
      <c r="DH57" s="147"/>
      <c r="DI57" s="147"/>
      <c r="DJ57" s="147"/>
    </row>
    <row r="58" spans="2:115" x14ac:dyDescent="0.2">
      <c r="B58" s="112" t="s">
        <v>1321</v>
      </c>
      <c r="C58" s="172">
        <v>10</v>
      </c>
      <c r="D58" s="172">
        <v>12</v>
      </c>
      <c r="E58" s="172">
        <v>13</v>
      </c>
      <c r="F58" s="172">
        <v>14</v>
      </c>
      <c r="G58" s="147">
        <v>14</v>
      </c>
      <c r="H58" s="147">
        <v>16</v>
      </c>
      <c r="I58" s="147">
        <v>41</v>
      </c>
      <c r="J58" s="147">
        <v>25</v>
      </c>
      <c r="K58" s="147">
        <f>699-399-236-38</f>
        <v>26</v>
      </c>
      <c r="L58" s="73">
        <f>719-393-245-40-17</f>
        <v>24</v>
      </c>
      <c r="M58" s="73">
        <f>703-363-242-42-30</f>
        <v>26</v>
      </c>
      <c r="N58" s="73">
        <f>706-360-242-42-37</f>
        <v>25</v>
      </c>
      <c r="O58" s="73">
        <f>768-359-250-40-92</f>
        <v>27</v>
      </c>
      <c r="P58" s="73">
        <f>755-364-252-44-67</f>
        <v>28</v>
      </c>
      <c r="Q58" s="73">
        <f>714-360-256-42-28</f>
        <v>28</v>
      </c>
      <c r="R58" s="73">
        <f>791-283-359-42-75</f>
        <v>32</v>
      </c>
      <c r="S58" s="73">
        <f>739-358-274-46-29</f>
        <v>32</v>
      </c>
      <c r="T58" s="73">
        <f>751-104-104-50-38-34-26-277-47-3</f>
        <v>68</v>
      </c>
      <c r="U58" s="73">
        <f>792-110-110-49-40-35-27-303-42-12</f>
        <v>64</v>
      </c>
      <c r="V58" s="73">
        <f>924-V49-V97-V98-V96-V64-V93-V94-V95-V86</f>
        <v>79</v>
      </c>
      <c r="W58" s="73">
        <f>1116-W49-W97-W98-W96-W64-W93-W94-W95-W86</f>
        <v>83</v>
      </c>
      <c r="X58" s="73">
        <f>952-X49-X97-X98-X96-X64-X93-X94-X95-X86</f>
        <v>80</v>
      </c>
      <c r="Y58" s="73">
        <f>1049-Y49-Y97-Y98-Y96-Y64-Y93-Y94-Y95-Y86</f>
        <v>80</v>
      </c>
      <c r="Z58" s="73">
        <f>1033-Z49-Z97-Z98-Z96-Z64-Z93-Z94-Z95-Z86</f>
        <v>92</v>
      </c>
      <c r="AA58" s="73">
        <f>358-AA86-AA49-AA64</f>
        <v>46</v>
      </c>
      <c r="AB58" s="73">
        <f>286-AB86-AB49-AB64</f>
        <v>51</v>
      </c>
      <c r="AC58" s="73">
        <f>218-AC86-AC49-AC64</f>
        <v>50</v>
      </c>
      <c r="AD58" s="73">
        <f>224-AD86-AD49-AD64-AD76</f>
        <v>20</v>
      </c>
      <c r="AE58" s="73">
        <f>201-28-9-90-56</f>
        <v>18</v>
      </c>
      <c r="AF58" s="73">
        <f>209-30-12-86-62</f>
        <v>19</v>
      </c>
      <c r="AG58" s="73">
        <f>202-32-2-87-63</f>
        <v>18</v>
      </c>
      <c r="AH58" s="73">
        <f>195-37-4-76-56</f>
        <v>22</v>
      </c>
      <c r="AI58" s="73">
        <f>184-29-24-63-58</f>
        <v>10</v>
      </c>
      <c r="AJ58" s="73">
        <v>17</v>
      </c>
      <c r="AP58" s="73">
        <v>57</v>
      </c>
      <c r="AR58" s="73">
        <v>0</v>
      </c>
      <c r="CL58" s="147"/>
      <c r="CM58" s="147">
        <v>43</v>
      </c>
      <c r="CN58" s="147">
        <v>49</v>
      </c>
      <c r="CO58" s="147">
        <v>96</v>
      </c>
      <c r="CP58" s="147">
        <f t="shared" si="172"/>
        <v>101</v>
      </c>
      <c r="CQ58" s="147">
        <f t="shared" si="173"/>
        <v>115</v>
      </c>
      <c r="CR58" s="147">
        <f t="shared" si="174"/>
        <v>243</v>
      </c>
      <c r="CS58" s="146">
        <f t="shared" si="175"/>
        <v>335</v>
      </c>
      <c r="CT58" s="147">
        <f t="shared" si="176"/>
        <v>167</v>
      </c>
      <c r="CU58" s="147">
        <f t="shared" ref="CU58:DB58" si="180">CT58*0.95</f>
        <v>158.65</v>
      </c>
      <c r="CV58" s="147">
        <f t="shared" si="180"/>
        <v>150.7175</v>
      </c>
      <c r="CW58" s="147">
        <f t="shared" si="180"/>
        <v>143.181625</v>
      </c>
      <c r="CX58" s="147">
        <f t="shared" si="180"/>
        <v>136.02254374999998</v>
      </c>
      <c r="CY58" s="147">
        <f t="shared" si="180"/>
        <v>129.22141656249997</v>
      </c>
      <c r="CZ58" s="147">
        <f t="shared" si="180"/>
        <v>122.76034573437497</v>
      </c>
      <c r="DA58" s="147">
        <f t="shared" si="180"/>
        <v>116.62232844765622</v>
      </c>
      <c r="DB58" s="147">
        <f t="shared" si="180"/>
        <v>110.7912120252734</v>
      </c>
      <c r="DC58" s="147"/>
      <c r="DD58" s="146"/>
      <c r="DE58" s="146"/>
      <c r="DF58" s="146"/>
      <c r="DG58" s="146"/>
      <c r="DH58" s="147"/>
      <c r="DI58" s="147"/>
      <c r="DJ58" s="147"/>
    </row>
    <row r="59" spans="2:115" x14ac:dyDescent="0.2">
      <c r="B59" s="65" t="s">
        <v>366</v>
      </c>
      <c r="C59" s="172">
        <f>18+180</f>
        <v>198</v>
      </c>
      <c r="D59" s="172">
        <f>20+192</f>
        <v>212</v>
      </c>
      <c r="E59" s="172">
        <f>19+201</f>
        <v>220</v>
      </c>
      <c r="F59" s="172">
        <f>15+190</f>
        <v>205</v>
      </c>
      <c r="G59" s="147">
        <f>21+189</f>
        <v>210</v>
      </c>
      <c r="H59" s="147">
        <f>21+204</f>
        <v>225</v>
      </c>
      <c r="I59" s="147">
        <f>21+215</f>
        <v>236</v>
      </c>
      <c r="J59" s="147">
        <f>17+229</f>
        <v>246</v>
      </c>
      <c r="K59" s="73">
        <f>288-K74-K62</f>
        <v>259</v>
      </c>
      <c r="L59" s="73">
        <f>289-L74-L62</f>
        <v>261</v>
      </c>
      <c r="M59" s="73">
        <f>279-M74-M62</f>
        <v>251</v>
      </c>
      <c r="N59" s="73">
        <f>213-N74-N62</f>
        <v>185</v>
      </c>
      <c r="O59" s="73">
        <f>147-O74-O62</f>
        <v>113</v>
      </c>
      <c r="P59" s="73">
        <f>126-P74-P62</f>
        <v>86</v>
      </c>
      <c r="Q59" s="73">
        <f>104-Q74-Q62</f>
        <v>58</v>
      </c>
      <c r="R59" s="73">
        <f>100-31-19</f>
        <v>50</v>
      </c>
      <c r="S59" s="73">
        <f>113-30-19</f>
        <v>64</v>
      </c>
      <c r="T59" s="73">
        <f>117-35-22</f>
        <v>60</v>
      </c>
      <c r="U59" s="73">
        <f>128-34-26</f>
        <v>68</v>
      </c>
      <c r="V59" s="73">
        <f>138-41-35</f>
        <v>62</v>
      </c>
      <c r="W59" s="73">
        <f>144-43-2-34</f>
        <v>65</v>
      </c>
      <c r="X59" s="73">
        <f>166-43-3-41-1</f>
        <v>78</v>
      </c>
      <c r="Y59" s="73">
        <f>149-41-3-46-Y61</f>
        <v>56</v>
      </c>
      <c r="Z59" s="73">
        <f>170-45-5-48</f>
        <v>72</v>
      </c>
      <c r="AA59" s="73">
        <f>169-5-40-6-53-5</f>
        <v>60</v>
      </c>
      <c r="AB59" s="73">
        <f>175-8-40-8-56-8</f>
        <v>55</v>
      </c>
      <c r="AC59" s="73">
        <f>172-9-35-7-58-11</f>
        <v>52</v>
      </c>
      <c r="AD59" s="73">
        <f>172-9-29-10-60-14</f>
        <v>50</v>
      </c>
      <c r="AE59" s="73">
        <f>150-9-14-12-52-17</f>
        <v>46</v>
      </c>
      <c r="AF59" s="73">
        <f>165-11-13-17-59-22</f>
        <v>43</v>
      </c>
      <c r="AG59" s="73">
        <f>196-12-18-22-61-30</f>
        <v>53</v>
      </c>
      <c r="AH59" s="73">
        <f>182-12-12-24-59-31</f>
        <v>44</v>
      </c>
      <c r="AI59" s="73">
        <f>179-12-27-60-33</f>
        <v>47</v>
      </c>
      <c r="AJ59" s="73">
        <v>52</v>
      </c>
      <c r="AP59" s="73">
        <v>56</v>
      </c>
      <c r="AR59" s="73">
        <v>33</v>
      </c>
      <c r="CL59" s="147">
        <v>708</v>
      </c>
      <c r="CM59" s="147">
        <f>116+774</f>
        <v>890</v>
      </c>
      <c r="CN59" s="147">
        <f>72+763</f>
        <v>835</v>
      </c>
      <c r="CO59" s="146">
        <f>80+837</f>
        <v>917</v>
      </c>
      <c r="CP59" s="147">
        <f t="shared" si="172"/>
        <v>956</v>
      </c>
      <c r="CQ59" s="147">
        <f t="shared" si="173"/>
        <v>307</v>
      </c>
      <c r="CR59" s="147">
        <f t="shared" si="174"/>
        <v>254</v>
      </c>
      <c r="CS59" s="146">
        <f t="shared" si="175"/>
        <v>271</v>
      </c>
      <c r="CT59" s="147">
        <f t="shared" si="176"/>
        <v>217</v>
      </c>
      <c r="CU59" s="147">
        <f>CT59*0.95</f>
        <v>206.14999999999998</v>
      </c>
      <c r="CV59" s="147">
        <f t="shared" ref="CV59:DA59" si="181">CU59*0.95</f>
        <v>195.84249999999997</v>
      </c>
      <c r="CW59" s="147">
        <f t="shared" si="181"/>
        <v>186.05037499999997</v>
      </c>
      <c r="CX59" s="147">
        <f t="shared" si="181"/>
        <v>176.74785624999996</v>
      </c>
      <c r="CY59" s="147">
        <f t="shared" si="181"/>
        <v>167.91046343749994</v>
      </c>
      <c r="CZ59" s="147">
        <f t="shared" si="181"/>
        <v>159.51494026562494</v>
      </c>
      <c r="DA59" s="147">
        <f t="shared" si="181"/>
        <v>151.53919325234369</v>
      </c>
      <c r="DB59" s="147">
        <f t="shared" ref="DB59" si="182">DA59*0.95</f>
        <v>143.96223358972651</v>
      </c>
      <c r="DC59" s="147"/>
      <c r="DD59" s="146"/>
      <c r="DE59" s="146"/>
      <c r="DF59" s="146"/>
      <c r="DG59" s="146"/>
      <c r="DH59" s="147"/>
      <c r="DI59" s="147"/>
      <c r="DJ59" s="147"/>
    </row>
    <row r="60" spans="2:115" x14ac:dyDescent="0.2">
      <c r="B60" s="65" t="s">
        <v>719</v>
      </c>
      <c r="C60" s="171">
        <v>0</v>
      </c>
      <c r="D60" s="171">
        <v>0</v>
      </c>
      <c r="E60" s="171">
        <v>0</v>
      </c>
      <c r="F60" s="171">
        <v>0</v>
      </c>
      <c r="G60" s="147">
        <v>52</v>
      </c>
      <c r="H60" s="147">
        <v>55</v>
      </c>
      <c r="I60" s="147">
        <v>49</v>
      </c>
      <c r="J60" s="147">
        <v>55</v>
      </c>
      <c r="K60" s="146">
        <v>51</v>
      </c>
      <c r="L60" s="73">
        <v>56</v>
      </c>
      <c r="M60" s="73">
        <v>49</v>
      </c>
      <c r="N60" s="73">
        <v>53</v>
      </c>
      <c r="O60" s="73">
        <v>47</v>
      </c>
      <c r="P60" s="73">
        <v>45</v>
      </c>
      <c r="Q60" s="73">
        <v>41</v>
      </c>
      <c r="R60" s="73">
        <v>51</v>
      </c>
      <c r="S60" s="73">
        <v>51</v>
      </c>
      <c r="T60" s="73">
        <v>58</v>
      </c>
      <c r="U60" s="73">
        <v>59</v>
      </c>
      <c r="V60" s="73">
        <v>58</v>
      </c>
      <c r="W60" s="73">
        <v>55</v>
      </c>
      <c r="X60" s="73">
        <v>58</v>
      </c>
      <c r="Y60" s="73">
        <v>56</v>
      </c>
      <c r="Z60" s="73">
        <v>60</v>
      </c>
      <c r="AA60" s="73">
        <v>56</v>
      </c>
      <c r="AB60" s="73">
        <v>57</v>
      </c>
      <c r="AC60" s="73">
        <v>54</v>
      </c>
      <c r="AD60" s="73">
        <v>55</v>
      </c>
      <c r="AE60" s="73">
        <v>54</v>
      </c>
      <c r="AF60" s="73">
        <v>60</v>
      </c>
      <c r="AG60" s="73">
        <v>60</v>
      </c>
      <c r="AH60" s="73">
        <v>60</v>
      </c>
      <c r="AI60" s="73">
        <v>61</v>
      </c>
      <c r="AJ60" s="73">
        <v>59</v>
      </c>
      <c r="AP60" s="73">
        <v>55</v>
      </c>
      <c r="AR60" s="73">
        <v>0</v>
      </c>
      <c r="CL60" s="146">
        <v>0</v>
      </c>
      <c r="CM60" s="146">
        <v>0</v>
      </c>
      <c r="CN60" s="146">
        <v>65</v>
      </c>
      <c r="CO60" s="146">
        <v>211</v>
      </c>
      <c r="CP60" s="147">
        <f t="shared" si="172"/>
        <v>209</v>
      </c>
      <c r="CQ60" s="147">
        <f t="shared" si="173"/>
        <v>184</v>
      </c>
      <c r="CR60" s="147">
        <f t="shared" si="174"/>
        <v>226</v>
      </c>
      <c r="CS60" s="146">
        <f t="shared" si="175"/>
        <v>229</v>
      </c>
      <c r="CT60" s="147">
        <f t="shared" si="176"/>
        <v>222</v>
      </c>
      <c r="CU60" s="146">
        <f>SUM(AE60:AH60)</f>
        <v>234</v>
      </c>
      <c r="CV60" s="146">
        <f t="shared" ref="CV60:DA60" si="183">CU60*1.01</f>
        <v>236.34</v>
      </c>
      <c r="CW60" s="146">
        <f t="shared" si="183"/>
        <v>238.70340000000002</v>
      </c>
      <c r="CX60" s="146">
        <f t="shared" si="183"/>
        <v>241.09043400000002</v>
      </c>
      <c r="CY60" s="146">
        <f t="shared" si="183"/>
        <v>243.50133834000002</v>
      </c>
      <c r="CZ60" s="146">
        <f t="shared" si="183"/>
        <v>245.93635172340001</v>
      </c>
      <c r="DA60" s="146">
        <f t="shared" si="183"/>
        <v>248.39571524063402</v>
      </c>
      <c r="DB60" s="146">
        <f>DA60*1.01</f>
        <v>250.87967239304035</v>
      </c>
      <c r="DC60" s="146"/>
      <c r="DD60" s="146"/>
      <c r="DE60" s="146"/>
      <c r="DF60" s="146"/>
      <c r="DG60" s="146"/>
      <c r="DH60" s="146"/>
      <c r="DI60" s="146"/>
      <c r="DJ60" s="146"/>
      <c r="DK60" s="112"/>
    </row>
    <row r="61" spans="2:115" x14ac:dyDescent="0.2">
      <c r="B61" s="65" t="s">
        <v>372</v>
      </c>
      <c r="C61" s="172"/>
      <c r="D61" s="172"/>
      <c r="E61" s="172"/>
      <c r="F61" s="172"/>
      <c r="G61" s="147"/>
      <c r="H61" s="147"/>
      <c r="I61" s="147"/>
      <c r="J61" s="147"/>
      <c r="W61" s="73">
        <v>2</v>
      </c>
      <c r="X61" s="73">
        <v>3</v>
      </c>
      <c r="Y61" s="177">
        <v>3</v>
      </c>
      <c r="Z61" s="73">
        <v>5</v>
      </c>
      <c r="AA61" s="73">
        <v>6</v>
      </c>
      <c r="AB61" s="73">
        <v>8</v>
      </c>
      <c r="AC61" s="73">
        <v>7</v>
      </c>
      <c r="AD61" s="73">
        <v>10</v>
      </c>
      <c r="AE61" s="73">
        <v>12</v>
      </c>
      <c r="AF61" s="73">
        <v>17</v>
      </c>
      <c r="AG61" s="73">
        <v>22</v>
      </c>
      <c r="AH61" s="73">
        <v>24</v>
      </c>
      <c r="AI61" s="73">
        <v>27</v>
      </c>
      <c r="AJ61" s="73">
        <v>30</v>
      </c>
      <c r="AP61" s="73">
        <v>52</v>
      </c>
      <c r="AR61" s="73">
        <v>55</v>
      </c>
      <c r="CL61" s="147"/>
      <c r="CM61" s="147"/>
      <c r="CN61" s="147"/>
      <c r="CO61" s="146"/>
      <c r="CP61" s="146"/>
      <c r="CQ61" s="147">
        <v>0</v>
      </c>
      <c r="CR61" s="147">
        <v>0</v>
      </c>
      <c r="CS61" s="146">
        <f t="shared" si="175"/>
        <v>13</v>
      </c>
      <c r="CT61" s="146">
        <f t="shared" si="176"/>
        <v>31</v>
      </c>
      <c r="CU61" s="146">
        <f>SUM(AE61:AH61)</f>
        <v>75</v>
      </c>
      <c r="CV61" s="146">
        <v>75</v>
      </c>
      <c r="CW61" s="146">
        <v>100</v>
      </c>
      <c r="CX61" s="146">
        <v>100</v>
      </c>
      <c r="CY61" s="146">
        <v>100</v>
      </c>
      <c r="CZ61" s="146">
        <v>100</v>
      </c>
      <c r="DA61" s="146">
        <v>100</v>
      </c>
      <c r="DB61" s="146">
        <v>100</v>
      </c>
      <c r="DC61" s="146"/>
      <c r="DD61" s="146"/>
      <c r="DE61" s="146"/>
      <c r="DF61" s="146"/>
      <c r="DG61" s="146"/>
      <c r="DH61" s="146"/>
      <c r="DI61" s="146"/>
      <c r="DJ61" s="146"/>
    </row>
    <row r="62" spans="2:115" x14ac:dyDescent="0.2">
      <c r="B62" s="65" t="s">
        <v>155</v>
      </c>
      <c r="C62" s="171"/>
      <c r="D62" s="171"/>
      <c r="E62" s="171"/>
      <c r="F62" s="171"/>
      <c r="G62" s="147"/>
      <c r="H62" s="147"/>
      <c r="I62" s="147"/>
      <c r="J62" s="147"/>
      <c r="K62" s="147">
        <v>0</v>
      </c>
      <c r="L62" s="73">
        <v>0</v>
      </c>
      <c r="M62" s="73">
        <v>0</v>
      </c>
      <c r="N62" s="73">
        <v>0</v>
      </c>
      <c r="O62" s="73">
        <v>4</v>
      </c>
      <c r="P62" s="73">
        <v>12</v>
      </c>
      <c r="Q62" s="73">
        <v>16</v>
      </c>
      <c r="R62" s="73">
        <v>19</v>
      </c>
      <c r="S62" s="73">
        <v>19</v>
      </c>
      <c r="T62" s="73">
        <v>22</v>
      </c>
      <c r="U62" s="73">
        <v>26</v>
      </c>
      <c r="V62" s="73">
        <v>35</v>
      </c>
      <c r="W62" s="73">
        <v>34</v>
      </c>
      <c r="X62" s="73">
        <v>41</v>
      </c>
      <c r="Y62" s="73">
        <v>46</v>
      </c>
      <c r="Z62" s="73">
        <v>48</v>
      </c>
      <c r="AA62" s="73">
        <v>53</v>
      </c>
      <c r="AB62" s="73">
        <v>56</v>
      </c>
      <c r="AC62" s="73">
        <v>58</v>
      </c>
      <c r="AD62" s="73">
        <v>60</v>
      </c>
      <c r="AE62" s="73">
        <v>52</v>
      </c>
      <c r="AF62" s="73">
        <v>59</v>
      </c>
      <c r="AG62" s="73">
        <v>61</v>
      </c>
      <c r="AH62" s="73">
        <v>59</v>
      </c>
      <c r="AI62" s="73">
        <v>60</v>
      </c>
      <c r="AJ62" s="73">
        <v>60</v>
      </c>
      <c r="AP62" s="73">
        <v>49</v>
      </c>
      <c r="AR62" s="73">
        <v>45</v>
      </c>
      <c r="CL62" s="146"/>
      <c r="CM62" s="146"/>
      <c r="CN62" s="146"/>
      <c r="CO62" s="146"/>
      <c r="CP62" s="147"/>
      <c r="CQ62" s="147">
        <f>SUM(O62:R62)</f>
        <v>51</v>
      </c>
      <c r="CR62" s="147">
        <f>SUM(S62:V62)</f>
        <v>102</v>
      </c>
      <c r="CS62" s="146">
        <f t="shared" si="175"/>
        <v>169</v>
      </c>
      <c r="CT62" s="147">
        <f t="shared" si="176"/>
        <v>227</v>
      </c>
      <c r="CU62" s="147">
        <f>SUM(AE62:AH62)</f>
        <v>231</v>
      </c>
      <c r="CV62" s="147">
        <f>CU62*1.1</f>
        <v>254.10000000000002</v>
      </c>
      <c r="CW62" s="147">
        <f>CV62*1.1</f>
        <v>279.51000000000005</v>
      </c>
      <c r="CX62" s="147">
        <f>CW62*1.1</f>
        <v>307.46100000000007</v>
      </c>
      <c r="CY62" s="147">
        <f>CX62*1.1</f>
        <v>338.20710000000008</v>
      </c>
      <c r="CZ62" s="147">
        <v>425</v>
      </c>
      <c r="DA62" s="147">
        <v>425</v>
      </c>
      <c r="DB62" s="147">
        <v>425</v>
      </c>
      <c r="DC62" s="147"/>
      <c r="DD62" s="146"/>
      <c r="DE62" s="146"/>
      <c r="DF62" s="146"/>
      <c r="DG62" s="146"/>
      <c r="DH62" s="147"/>
      <c r="DI62" s="147"/>
      <c r="DJ62" s="147"/>
      <c r="DK62" s="112"/>
    </row>
    <row r="63" spans="2:115" x14ac:dyDescent="0.2">
      <c r="B63" s="65" t="s">
        <v>360</v>
      </c>
      <c r="C63" s="172">
        <v>32</v>
      </c>
      <c r="D63" s="172">
        <v>32</v>
      </c>
      <c r="E63" s="172">
        <v>36</v>
      </c>
      <c r="F63" s="172">
        <v>37</v>
      </c>
      <c r="G63" s="147">
        <v>32</v>
      </c>
      <c r="H63" s="147">
        <v>37</v>
      </c>
      <c r="I63" s="147">
        <v>38</v>
      </c>
      <c r="J63" s="147">
        <v>41</v>
      </c>
      <c r="K63" s="73">
        <f>434-K82-K84</f>
        <v>35</v>
      </c>
      <c r="L63" s="73">
        <f>529-L82-L84</f>
        <v>33</v>
      </c>
      <c r="M63" s="73">
        <f>438-M82-M84</f>
        <v>88</v>
      </c>
      <c r="N63" s="73">
        <f>474-N82-N84</f>
        <v>116</v>
      </c>
      <c r="O63" s="73">
        <f>476-O82-O84</f>
        <v>30</v>
      </c>
      <c r="P63" s="73">
        <f>420-P82-P84</f>
        <v>35</v>
      </c>
      <c r="Q63" s="73">
        <f>297-Q82-Q84</f>
        <v>31</v>
      </c>
      <c r="R63" s="73">
        <f>321-R82-R84</f>
        <v>38</v>
      </c>
      <c r="S63" s="73">
        <f>274-S82-S84</f>
        <v>34</v>
      </c>
      <c r="T63" s="73">
        <f>285-T82-T84</f>
        <v>35</v>
      </c>
      <c r="U63" s="73">
        <f>289-U82-U84</f>
        <v>42</v>
      </c>
      <c r="V63" s="73">
        <f>345-V82-V84</f>
        <v>40</v>
      </c>
      <c r="W63" s="73">
        <f>294-W82-W84</f>
        <v>35</v>
      </c>
      <c r="X63" s="73">
        <f>303-X82-X84</f>
        <v>39</v>
      </c>
      <c r="Y63" s="73">
        <f>284-Y82-Y84</f>
        <v>39</v>
      </c>
      <c r="Z63" s="73">
        <f>300-Z82-Z84</f>
        <v>42</v>
      </c>
      <c r="AA63" s="73">
        <f>230-169-23</f>
        <v>38</v>
      </c>
      <c r="AB63" s="73">
        <f>213-152-20</f>
        <v>41</v>
      </c>
      <c r="AC63" s="73">
        <f>125-70-17</f>
        <v>38</v>
      </c>
      <c r="AD63" s="73">
        <f>110-49-18</f>
        <v>43</v>
      </c>
      <c r="AE63" s="73">
        <f>91-36-16</f>
        <v>39</v>
      </c>
      <c r="AF63" s="73">
        <f>85-26-18</f>
        <v>41</v>
      </c>
      <c r="AG63" s="73">
        <f>83-22-17</f>
        <v>44</v>
      </c>
      <c r="AH63" s="73">
        <f>103-39-14</f>
        <v>50</v>
      </c>
      <c r="AI63" s="73">
        <f>33+8</f>
        <v>41</v>
      </c>
      <c r="AJ63" s="73">
        <v>42</v>
      </c>
      <c r="AP63" s="73">
        <v>43</v>
      </c>
      <c r="AR63" s="73">
        <v>0</v>
      </c>
      <c r="CL63" s="147"/>
      <c r="CM63" s="147">
        <v>148</v>
      </c>
      <c r="CN63" s="147">
        <v>137</v>
      </c>
      <c r="CO63" s="147">
        <v>148</v>
      </c>
      <c r="CP63" s="147">
        <f>SUM(K63:N63)</f>
        <v>272</v>
      </c>
      <c r="CQ63" s="147">
        <f>SUM(O63:R63)</f>
        <v>134</v>
      </c>
      <c r="CR63" s="147">
        <f>SUM(S63:V63)</f>
        <v>151</v>
      </c>
      <c r="CS63" s="146">
        <f t="shared" si="175"/>
        <v>155</v>
      </c>
      <c r="CT63" s="147">
        <f>SUM(AA63:AD63)</f>
        <v>160</v>
      </c>
      <c r="CU63" s="147">
        <f>CT63*0.9</f>
        <v>144</v>
      </c>
      <c r="CV63" s="147">
        <f t="shared" ref="CV63:DA63" si="184">CU63*0.9</f>
        <v>129.6</v>
      </c>
      <c r="CW63" s="147">
        <f t="shared" si="184"/>
        <v>116.64</v>
      </c>
      <c r="CX63" s="147">
        <f t="shared" si="184"/>
        <v>104.976</v>
      </c>
      <c r="CY63" s="147">
        <f t="shared" si="184"/>
        <v>94.478400000000008</v>
      </c>
      <c r="CZ63" s="147">
        <f t="shared" si="184"/>
        <v>85.030560000000008</v>
      </c>
      <c r="DA63" s="147">
        <f t="shared" si="184"/>
        <v>76.527504000000008</v>
      </c>
      <c r="DB63" s="147">
        <f>DA63*0.9</f>
        <v>68.874753600000005</v>
      </c>
      <c r="DC63" s="147"/>
      <c r="DD63" s="146"/>
      <c r="DE63" s="146"/>
      <c r="DF63" s="146"/>
      <c r="DG63" s="146"/>
      <c r="DH63" s="147"/>
      <c r="DI63" s="147"/>
      <c r="DJ63" s="147"/>
    </row>
    <row r="64" spans="2:115" x14ac:dyDescent="0.2">
      <c r="B64" s="65" t="s">
        <v>74</v>
      </c>
      <c r="C64" s="171">
        <v>30</v>
      </c>
      <c r="D64" s="171">
        <v>33</v>
      </c>
      <c r="E64" s="171">
        <v>33</v>
      </c>
      <c r="F64" s="171">
        <v>34</v>
      </c>
      <c r="G64" s="147">
        <v>29</v>
      </c>
      <c r="H64" s="147">
        <v>37</v>
      </c>
      <c r="I64" s="147">
        <v>37</v>
      </c>
      <c r="J64" s="147">
        <v>42</v>
      </c>
      <c r="K64" s="147">
        <v>38</v>
      </c>
      <c r="L64" s="73">
        <v>40</v>
      </c>
      <c r="M64" s="73">
        <v>42</v>
      </c>
      <c r="N64" s="73">
        <v>42</v>
      </c>
      <c r="O64" s="73">
        <v>40</v>
      </c>
      <c r="P64" s="73">
        <v>44</v>
      </c>
      <c r="Q64" s="73">
        <v>42</v>
      </c>
      <c r="R64" s="73">
        <v>42</v>
      </c>
      <c r="S64" s="73">
        <v>46</v>
      </c>
      <c r="T64" s="73">
        <v>47</v>
      </c>
      <c r="U64" s="73">
        <v>42</v>
      </c>
      <c r="V64" s="73">
        <v>53</v>
      </c>
      <c r="W64" s="73">
        <v>53</v>
      </c>
      <c r="X64" s="73">
        <v>55</v>
      </c>
      <c r="Y64" s="73">
        <v>54</v>
      </c>
      <c r="Z64" s="73">
        <v>55</v>
      </c>
      <c r="AA64" s="73">
        <v>52</v>
      </c>
      <c r="AB64" s="73">
        <v>62</v>
      </c>
      <c r="AC64" s="73">
        <v>55</v>
      </c>
      <c r="AD64" s="73">
        <v>64</v>
      </c>
      <c r="AE64" s="73">
        <v>56</v>
      </c>
      <c r="AF64" s="73">
        <v>62</v>
      </c>
      <c r="AG64" s="73">
        <v>63</v>
      </c>
      <c r="AH64" s="73">
        <v>56</v>
      </c>
      <c r="AI64" s="73">
        <v>58</v>
      </c>
      <c r="AJ64" s="73">
        <v>60</v>
      </c>
      <c r="AP64" s="73">
        <v>43</v>
      </c>
      <c r="AR64" s="73">
        <v>40</v>
      </c>
      <c r="CL64" s="146">
        <v>123</v>
      </c>
      <c r="CM64" s="146">
        <v>129</v>
      </c>
      <c r="CN64" s="146">
        <v>132</v>
      </c>
      <c r="CO64" s="146">
        <v>145</v>
      </c>
      <c r="CP64" s="147">
        <f>SUM(K64:N64)</f>
        <v>162</v>
      </c>
      <c r="CQ64" s="147">
        <f>SUM(O64:R64)</f>
        <v>168</v>
      </c>
      <c r="CR64" s="147">
        <f>SUM(S64:V64)</f>
        <v>188</v>
      </c>
      <c r="CS64" s="146">
        <f t="shared" si="175"/>
        <v>217</v>
      </c>
      <c r="CT64" s="147">
        <f>SUM(AA64:AD64)</f>
        <v>233</v>
      </c>
      <c r="CU64" s="146">
        <f>SUM(AE64:AH64)</f>
        <v>237</v>
      </c>
      <c r="CV64" s="147">
        <f t="shared" ref="CV64:CZ64" si="185">CU64*0.9</f>
        <v>213.3</v>
      </c>
      <c r="CW64" s="147">
        <f t="shared" si="185"/>
        <v>191.97000000000003</v>
      </c>
      <c r="CX64" s="147">
        <f t="shared" si="185"/>
        <v>172.77300000000002</v>
      </c>
      <c r="CY64" s="147">
        <f t="shared" si="185"/>
        <v>155.49570000000003</v>
      </c>
      <c r="CZ64" s="147">
        <f t="shared" si="185"/>
        <v>139.94613000000004</v>
      </c>
      <c r="DA64" s="147">
        <f>CZ64*0.5</f>
        <v>69.97306500000002</v>
      </c>
      <c r="DB64" s="147">
        <f>DA64*0.5</f>
        <v>34.98653250000001</v>
      </c>
      <c r="DC64" s="147"/>
      <c r="DD64" s="146"/>
      <c r="DE64" s="146"/>
      <c r="DF64" s="146"/>
      <c r="DG64" s="146"/>
      <c r="DH64" s="147"/>
      <c r="DI64" s="147"/>
      <c r="DJ64" s="147"/>
    </row>
    <row r="65" spans="2:115" x14ac:dyDescent="0.2">
      <c r="B65" s="65" t="s">
        <v>562</v>
      </c>
      <c r="C65" s="172"/>
      <c r="D65" s="172"/>
      <c r="E65" s="172"/>
      <c r="F65" s="172"/>
      <c r="G65" s="147"/>
      <c r="H65" s="147"/>
      <c r="I65" s="147"/>
      <c r="J65" s="147"/>
      <c r="W65" s="73">
        <v>2</v>
      </c>
      <c r="X65" s="73">
        <v>4</v>
      </c>
      <c r="Y65" s="73">
        <v>6</v>
      </c>
      <c r="Z65" s="73">
        <v>7</v>
      </c>
      <c r="AA65" s="73">
        <v>9</v>
      </c>
      <c r="AB65" s="73">
        <v>10</v>
      </c>
      <c r="AC65" s="73">
        <v>11</v>
      </c>
      <c r="AD65" s="73">
        <v>16</v>
      </c>
      <c r="AE65" s="73">
        <v>22</v>
      </c>
      <c r="AF65" s="73">
        <v>22</v>
      </c>
      <c r="AG65" s="73">
        <v>25</v>
      </c>
      <c r="AH65" s="73">
        <v>28</v>
      </c>
      <c r="AI65" s="73">
        <v>28</v>
      </c>
      <c r="AJ65" s="73">
        <v>31</v>
      </c>
      <c r="AP65" s="73">
        <v>40</v>
      </c>
      <c r="AR65" s="73">
        <v>0</v>
      </c>
      <c r="CL65" s="147"/>
      <c r="CM65" s="147"/>
      <c r="CN65" s="147"/>
      <c r="CO65" s="146"/>
      <c r="CP65" s="146"/>
      <c r="CQ65" s="147"/>
      <c r="CR65" s="147"/>
      <c r="CS65" s="146">
        <f>SUM(W65:AA65)</f>
        <v>28</v>
      </c>
      <c r="CT65" s="146">
        <f>SUM(AA65:AD65)</f>
        <v>46</v>
      </c>
      <c r="CU65" s="146">
        <f>SUM(AE65:AH65)</f>
        <v>97</v>
      </c>
      <c r="CV65" s="146"/>
      <c r="CW65" s="146"/>
      <c r="CX65" s="146"/>
      <c r="CY65" s="146"/>
      <c r="CZ65" s="146"/>
      <c r="DD65" s="146"/>
      <c r="DE65" s="146"/>
      <c r="DF65" s="146"/>
      <c r="DG65" s="146"/>
    </row>
    <row r="66" spans="2:115" x14ac:dyDescent="0.2">
      <c r="B66" s="112" t="s">
        <v>1319</v>
      </c>
      <c r="C66" s="172"/>
      <c r="D66" s="172"/>
      <c r="E66" s="172"/>
      <c r="F66" s="172"/>
      <c r="G66" s="147"/>
      <c r="H66" s="147"/>
      <c r="I66" s="147"/>
      <c r="J66" s="147"/>
      <c r="AE66" s="73">
        <v>15</v>
      </c>
      <c r="AF66" s="73">
        <v>15</v>
      </c>
      <c r="AG66" s="73">
        <v>12</v>
      </c>
      <c r="AH66" s="73">
        <v>22</v>
      </c>
      <c r="AI66" s="73">
        <v>36</v>
      </c>
      <c r="AJ66" s="73">
        <v>32</v>
      </c>
      <c r="AP66" s="73">
        <v>36</v>
      </c>
      <c r="AR66" s="73">
        <v>0</v>
      </c>
      <c r="CL66" s="147"/>
      <c r="CM66" s="147"/>
      <c r="CN66" s="147"/>
      <c r="CO66" s="146"/>
      <c r="CP66" s="146"/>
      <c r="CQ66" s="147"/>
      <c r="CR66" s="147"/>
      <c r="CS66" s="146"/>
      <c r="CT66" s="146"/>
      <c r="CU66" s="146">
        <f>SUM(AE66:AH66)</f>
        <v>64</v>
      </c>
      <c r="CV66" s="146"/>
      <c r="CW66" s="146"/>
      <c r="CX66" s="146"/>
      <c r="CY66" s="146"/>
      <c r="CZ66" s="146"/>
      <c r="DD66" s="146"/>
      <c r="DE66" s="146"/>
      <c r="DF66" s="146"/>
      <c r="DG66" s="146"/>
    </row>
    <row r="67" spans="2:115" x14ac:dyDescent="0.2">
      <c r="B67" s="112" t="s">
        <v>1345</v>
      </c>
      <c r="C67" s="172"/>
      <c r="D67" s="172"/>
      <c r="E67" s="172"/>
      <c r="F67" s="172"/>
      <c r="G67" s="147"/>
      <c r="H67" s="147"/>
      <c r="I67" s="147"/>
      <c r="J67" s="147"/>
      <c r="AR67" s="73">
        <v>33</v>
      </c>
      <c r="CL67" s="147"/>
      <c r="CM67" s="147"/>
      <c r="CN67" s="147"/>
      <c r="CO67" s="146"/>
      <c r="CP67" s="146"/>
      <c r="CQ67" s="147"/>
      <c r="CR67" s="147"/>
      <c r="CS67" s="146"/>
      <c r="CT67" s="146"/>
      <c r="CU67" s="146"/>
      <c r="CV67" s="146"/>
      <c r="CW67" s="146"/>
      <c r="CX67" s="146"/>
      <c r="CY67" s="146"/>
      <c r="CZ67" s="146"/>
      <c r="DD67" s="146"/>
      <c r="DE67" s="146"/>
      <c r="DF67" s="146"/>
      <c r="DG67" s="146"/>
    </row>
    <row r="68" spans="2:115" x14ac:dyDescent="0.2">
      <c r="B68" s="112" t="s">
        <v>1344</v>
      </c>
      <c r="C68" s="172"/>
      <c r="D68" s="172"/>
      <c r="E68" s="172"/>
      <c r="F68" s="172"/>
      <c r="G68" s="147"/>
      <c r="H68" s="147"/>
      <c r="I68" s="147"/>
      <c r="J68" s="147"/>
      <c r="AR68" s="73">
        <v>16</v>
      </c>
      <c r="CL68" s="147"/>
      <c r="CM68" s="147"/>
      <c r="CN68" s="147"/>
      <c r="CO68" s="146"/>
      <c r="CP68" s="146"/>
      <c r="CQ68" s="147"/>
      <c r="CR68" s="147"/>
      <c r="CS68" s="146"/>
      <c r="CT68" s="146"/>
      <c r="CU68" s="146"/>
      <c r="CV68" s="146"/>
      <c r="CW68" s="146"/>
      <c r="CX68" s="146"/>
      <c r="CY68" s="146"/>
      <c r="CZ68" s="146"/>
      <c r="DD68" s="146"/>
      <c r="DE68" s="146"/>
      <c r="DF68" s="146"/>
      <c r="DG68" s="146"/>
    </row>
    <row r="69" spans="2:115" x14ac:dyDescent="0.2">
      <c r="B69" s="65" t="s">
        <v>82</v>
      </c>
      <c r="C69" s="171">
        <v>0</v>
      </c>
      <c r="D69" s="171">
        <v>0</v>
      </c>
      <c r="E69" s="171">
        <v>0</v>
      </c>
      <c r="F69" s="171">
        <v>0</v>
      </c>
      <c r="G69" s="147">
        <v>4</v>
      </c>
      <c r="H69" s="147">
        <v>5</v>
      </c>
      <c r="I69" s="147">
        <v>7</v>
      </c>
      <c r="J69" s="147">
        <v>8</v>
      </c>
      <c r="K69" s="146">
        <v>11</v>
      </c>
      <c r="L69" s="73">
        <v>13</v>
      </c>
      <c r="M69" s="73">
        <v>13</v>
      </c>
      <c r="N69" s="73">
        <v>21</v>
      </c>
      <c r="O69" s="73">
        <v>20</v>
      </c>
      <c r="P69" s="73">
        <v>26</v>
      </c>
      <c r="Q69" s="73">
        <v>25</v>
      </c>
      <c r="R69" s="73">
        <v>29</v>
      </c>
      <c r="S69" s="73">
        <v>35</v>
      </c>
      <c r="T69" s="73">
        <v>36</v>
      </c>
      <c r="U69" s="73">
        <v>44</v>
      </c>
      <c r="V69" s="73">
        <v>55</v>
      </c>
      <c r="W69" s="73">
        <v>59</v>
      </c>
      <c r="X69" s="73">
        <v>61</v>
      </c>
      <c r="Y69" s="73">
        <v>60</v>
      </c>
      <c r="Z69" s="73">
        <v>74</v>
      </c>
      <c r="AA69" s="73">
        <v>70</v>
      </c>
      <c r="AB69" s="73">
        <v>79</v>
      </c>
      <c r="AC69" s="73">
        <v>72</v>
      </c>
      <c r="AD69" s="73">
        <v>80</v>
      </c>
      <c r="AE69" s="73">
        <v>74</v>
      </c>
      <c r="AF69" s="73">
        <v>75</v>
      </c>
      <c r="AG69" s="73">
        <v>71</v>
      </c>
      <c r="AH69" s="73">
        <v>56</v>
      </c>
      <c r="AI69" s="73">
        <v>48</v>
      </c>
      <c r="AJ69" s="73">
        <v>47</v>
      </c>
      <c r="AK69" s="73">
        <v>47</v>
      </c>
      <c r="AP69" s="73">
        <v>33</v>
      </c>
      <c r="CL69" s="146"/>
      <c r="CM69" s="146">
        <v>0</v>
      </c>
      <c r="CN69" s="146">
        <v>0</v>
      </c>
      <c r="CO69" s="146">
        <v>24</v>
      </c>
      <c r="CP69" s="147">
        <f>SUM(K69:N69)</f>
        <v>58</v>
      </c>
      <c r="CQ69" s="147">
        <f>SUM(O69:R69)</f>
        <v>100</v>
      </c>
      <c r="CR69" s="147">
        <f>SUM(S69:V69)</f>
        <v>170</v>
      </c>
      <c r="CS69" s="146">
        <f>SUM(W69:Z69)</f>
        <v>254</v>
      </c>
      <c r="CT69" s="147">
        <f>SUM(AA69:AD69)</f>
        <v>301</v>
      </c>
      <c r="CU69" s="146">
        <f>CT69*1.01</f>
        <v>304.01</v>
      </c>
      <c r="CV69" s="146">
        <f t="shared" ref="CV69:DA69" si="186">CU69*1.01</f>
        <v>307.05009999999999</v>
      </c>
      <c r="CW69" s="146">
        <f t="shared" si="186"/>
        <v>310.12060099999997</v>
      </c>
      <c r="CX69" s="146">
        <f t="shared" si="186"/>
        <v>313.22180700999996</v>
      </c>
      <c r="CY69" s="146">
        <f t="shared" si="186"/>
        <v>316.35402508009997</v>
      </c>
      <c r="CZ69" s="146">
        <f t="shared" si="186"/>
        <v>319.51756533090099</v>
      </c>
      <c r="DA69" s="146">
        <f t="shared" si="186"/>
        <v>322.71274098421003</v>
      </c>
      <c r="DB69" s="146">
        <f>DA69*1.01</f>
        <v>325.93986839405216</v>
      </c>
      <c r="DC69" s="146">
        <f>DB69*1.01</f>
        <v>329.19926707799266</v>
      </c>
      <c r="DD69" s="146"/>
      <c r="DE69" s="146"/>
      <c r="DF69" s="146"/>
      <c r="DG69" s="146"/>
      <c r="DH69" s="146"/>
      <c r="DI69" s="146"/>
      <c r="DJ69" s="146"/>
      <c r="DK69" s="112"/>
    </row>
    <row r="70" spans="2:115" x14ac:dyDescent="0.2">
      <c r="B70" s="65" t="s">
        <v>60</v>
      </c>
      <c r="C70" s="171">
        <v>89</v>
      </c>
      <c r="D70" s="171">
        <v>93</v>
      </c>
      <c r="E70" s="171">
        <v>82</v>
      </c>
      <c r="F70" s="171">
        <v>85</v>
      </c>
      <c r="G70" s="146">
        <v>79</v>
      </c>
      <c r="H70" s="146">
        <v>85</v>
      </c>
      <c r="I70" s="146">
        <v>79</v>
      </c>
      <c r="J70" s="146">
        <v>87</v>
      </c>
      <c r="K70" s="146">
        <v>74</v>
      </c>
      <c r="L70" s="73">
        <v>74</v>
      </c>
      <c r="M70" s="73">
        <v>69</v>
      </c>
      <c r="N70" s="73">
        <v>74</v>
      </c>
      <c r="O70" s="73">
        <v>65</v>
      </c>
      <c r="P70" s="73">
        <v>70</v>
      </c>
      <c r="Q70" s="73">
        <v>63</v>
      </c>
      <c r="R70" s="73">
        <v>71</v>
      </c>
      <c r="S70" s="73">
        <v>67</v>
      </c>
      <c r="T70" s="73">
        <v>66</v>
      </c>
      <c r="U70" s="73">
        <v>60</v>
      </c>
      <c r="V70" s="73">
        <v>70</v>
      </c>
      <c r="W70" s="73">
        <v>62</v>
      </c>
      <c r="X70" s="73">
        <v>59</v>
      </c>
      <c r="Y70" s="73">
        <v>54</v>
      </c>
      <c r="Z70" s="73">
        <v>61</v>
      </c>
      <c r="AA70" s="73">
        <v>51</v>
      </c>
      <c r="AB70" s="73">
        <v>52</v>
      </c>
      <c r="AC70" s="73">
        <v>48</v>
      </c>
      <c r="AD70" s="73">
        <v>50</v>
      </c>
      <c r="AE70" s="73">
        <v>52</v>
      </c>
      <c r="AF70" s="73">
        <v>43</v>
      </c>
      <c r="AG70" s="73">
        <v>43</v>
      </c>
      <c r="AH70" s="73">
        <v>44</v>
      </c>
      <c r="AI70" s="73">
        <v>38</v>
      </c>
      <c r="AJ70" s="73">
        <v>38</v>
      </c>
      <c r="AP70" s="73">
        <v>31</v>
      </c>
      <c r="AR70" s="73">
        <v>26</v>
      </c>
      <c r="CL70" s="146">
        <v>523</v>
      </c>
      <c r="CM70" s="146">
        <v>432</v>
      </c>
      <c r="CN70" s="146">
        <v>349</v>
      </c>
      <c r="CO70" s="146">
        <v>330</v>
      </c>
      <c r="CP70" s="147">
        <f>SUM(K70:N70)</f>
        <v>291</v>
      </c>
      <c r="CQ70" s="146">
        <f>SUM(O70:R70)</f>
        <v>269</v>
      </c>
      <c r="CR70" s="147">
        <f>SUM(S70:V70)</f>
        <v>263</v>
      </c>
      <c r="CS70" s="146">
        <f>SUM(W70:Z70)</f>
        <v>236</v>
      </c>
      <c r="CT70" s="147">
        <f>SUM(AA70:AD70)</f>
        <v>201</v>
      </c>
      <c r="CU70" s="146">
        <f>CT70*0.9</f>
        <v>180.9</v>
      </c>
      <c r="CV70" s="146">
        <f t="shared" ref="CV70:DA70" si="187">CU70*0.9</f>
        <v>162.81</v>
      </c>
      <c r="CW70" s="146">
        <f t="shared" si="187"/>
        <v>146.529</v>
      </c>
      <c r="CX70" s="146">
        <f t="shared" si="187"/>
        <v>131.87610000000001</v>
      </c>
      <c r="CY70" s="146">
        <f t="shared" si="187"/>
        <v>118.68849000000002</v>
      </c>
      <c r="CZ70" s="146">
        <f t="shared" si="187"/>
        <v>106.81964100000002</v>
      </c>
      <c r="DA70" s="146">
        <f t="shared" si="187"/>
        <v>96.137676900000017</v>
      </c>
      <c r="DB70" s="146">
        <f>DA70*0.9</f>
        <v>86.523909210000014</v>
      </c>
      <c r="DC70" s="146">
        <f>DB70*0.9</f>
        <v>77.871518289000008</v>
      </c>
      <c r="DD70" s="146"/>
      <c r="DE70" s="146"/>
      <c r="DF70" s="146"/>
      <c r="DG70" s="146"/>
      <c r="DH70" s="146"/>
      <c r="DI70" s="146"/>
      <c r="DJ70" s="146"/>
    </row>
    <row r="71" spans="2:115" x14ac:dyDescent="0.2">
      <c r="B71" s="65" t="s">
        <v>64</v>
      </c>
      <c r="C71" s="171">
        <v>26</v>
      </c>
      <c r="D71" s="171">
        <v>29</v>
      </c>
      <c r="E71" s="171">
        <v>29</v>
      </c>
      <c r="F71" s="171">
        <v>32</v>
      </c>
      <c r="G71" s="147">
        <v>30</v>
      </c>
      <c r="H71" s="147">
        <v>34</v>
      </c>
      <c r="I71" s="147">
        <v>42</v>
      </c>
      <c r="J71" s="147">
        <v>50</v>
      </c>
      <c r="K71" s="147">
        <v>58</v>
      </c>
      <c r="L71" s="73">
        <v>64</v>
      </c>
      <c r="M71" s="73">
        <v>70</v>
      </c>
      <c r="N71" s="73">
        <v>76</v>
      </c>
      <c r="O71" s="73">
        <v>80</v>
      </c>
      <c r="P71" s="73">
        <v>84</v>
      </c>
      <c r="Q71" s="73">
        <v>87</v>
      </c>
      <c r="R71" s="73">
        <v>95</v>
      </c>
      <c r="S71" s="73">
        <v>94</v>
      </c>
      <c r="T71" s="73">
        <v>58</v>
      </c>
      <c r="U71" s="73">
        <v>56</v>
      </c>
      <c r="V71" s="73">
        <v>58</v>
      </c>
      <c r="W71" s="73">
        <v>50</v>
      </c>
      <c r="X71" s="73">
        <v>51</v>
      </c>
      <c r="Y71" s="73">
        <v>43</v>
      </c>
      <c r="Z71" s="73">
        <v>65</v>
      </c>
      <c r="AA71" s="73">
        <v>55</v>
      </c>
      <c r="AB71" s="73">
        <v>60</v>
      </c>
      <c r="AC71" s="73">
        <v>58</v>
      </c>
      <c r="AD71" s="73">
        <v>60</v>
      </c>
      <c r="AE71" s="73">
        <v>53</v>
      </c>
      <c r="AF71" s="73">
        <v>57</v>
      </c>
      <c r="AG71" s="73">
        <v>56</v>
      </c>
      <c r="AH71" s="73">
        <v>52</v>
      </c>
      <c r="AI71" s="73">
        <v>45</v>
      </c>
      <c r="AJ71" s="73">
        <v>44</v>
      </c>
      <c r="AP71" s="73">
        <v>29</v>
      </c>
      <c r="AR71" s="73">
        <v>26</v>
      </c>
      <c r="CL71" s="146">
        <v>89</v>
      </c>
      <c r="CM71" s="146">
        <v>98</v>
      </c>
      <c r="CN71" s="146">
        <v>116</v>
      </c>
      <c r="CO71" s="146">
        <v>156</v>
      </c>
      <c r="CP71" s="147">
        <f t="shared" ref="CP71:CP74" si="188">SUM(K71:N71)</f>
        <v>268</v>
      </c>
      <c r="CQ71" s="147">
        <f t="shared" ref="CQ71:CQ72" si="189">SUM(O71:R71)</f>
        <v>346</v>
      </c>
      <c r="CR71" s="147">
        <f t="shared" ref="CR71:CR74" si="190">SUM(S71:V71)</f>
        <v>266</v>
      </c>
      <c r="CS71" s="146">
        <f t="shared" ref="CS71:CS72" si="191">SUM(W71:Z71)</f>
        <v>209</v>
      </c>
      <c r="CT71" s="147">
        <f t="shared" ref="CT71" si="192">SUM(AA71:AD71)</f>
        <v>233</v>
      </c>
      <c r="CU71" s="146">
        <f>SUM(AE71:AH71)</f>
        <v>218</v>
      </c>
      <c r="CV71" s="147">
        <f t="shared" ref="CV71:CZ71" si="193">CU71*0.8</f>
        <v>174.4</v>
      </c>
      <c r="CW71" s="147">
        <f t="shared" si="193"/>
        <v>139.52000000000001</v>
      </c>
      <c r="CX71" s="147">
        <f t="shared" si="193"/>
        <v>111.61600000000001</v>
      </c>
      <c r="CY71" s="147">
        <f t="shared" si="193"/>
        <v>89.292800000000014</v>
      </c>
      <c r="CZ71" s="147">
        <f t="shared" si="193"/>
        <v>71.434240000000017</v>
      </c>
      <c r="DA71" s="147">
        <f>CZ71*0.8</f>
        <v>57.147392000000018</v>
      </c>
      <c r="DB71" s="147">
        <f>DA71*0.8</f>
        <v>45.717913600000017</v>
      </c>
      <c r="DC71" s="147">
        <f>DB71*0.8</f>
        <v>36.574330880000012</v>
      </c>
      <c r="DD71" s="146"/>
      <c r="DE71" s="146"/>
      <c r="DF71" s="146"/>
      <c r="DG71" s="146"/>
      <c r="DH71" s="147"/>
      <c r="DI71" s="147"/>
      <c r="DJ71" s="147"/>
    </row>
    <row r="72" spans="2:115" x14ac:dyDescent="0.2">
      <c r="B72" s="65" t="s">
        <v>79</v>
      </c>
      <c r="C72" s="171">
        <v>94</v>
      </c>
      <c r="D72" s="171">
        <v>113</v>
      </c>
      <c r="E72" s="171">
        <v>110</v>
      </c>
      <c r="F72" s="171">
        <v>115</v>
      </c>
      <c r="G72" s="147">
        <v>135</v>
      </c>
      <c r="H72" s="147">
        <v>125</v>
      </c>
      <c r="I72" s="147">
        <v>154</v>
      </c>
      <c r="J72" s="147">
        <v>159</v>
      </c>
      <c r="K72" s="147">
        <v>225</v>
      </c>
      <c r="L72" s="73">
        <v>160</v>
      </c>
      <c r="M72" s="73">
        <v>195</v>
      </c>
      <c r="N72" s="73">
        <v>199</v>
      </c>
      <c r="O72" s="73">
        <v>217</v>
      </c>
      <c r="P72" s="73">
        <v>202</v>
      </c>
      <c r="Q72" s="73">
        <v>145</v>
      </c>
      <c r="R72" s="73">
        <v>23</v>
      </c>
      <c r="S72" s="73">
        <v>48</v>
      </c>
      <c r="T72" s="73">
        <v>44</v>
      </c>
      <c r="U72" s="73">
        <v>50</v>
      </c>
      <c r="V72" s="73">
        <v>61</v>
      </c>
      <c r="W72" s="73">
        <v>51</v>
      </c>
      <c r="X72" s="73">
        <v>51</v>
      </c>
      <c r="Y72" s="73">
        <v>39</v>
      </c>
      <c r="Z72" s="73">
        <v>31</v>
      </c>
      <c r="AA72" s="73">
        <v>42</v>
      </c>
      <c r="AB72" s="73">
        <v>44</v>
      </c>
      <c r="AC72" s="73">
        <v>44</v>
      </c>
      <c r="AD72" s="73">
        <v>41</v>
      </c>
      <c r="AE72" s="73">
        <v>37</v>
      </c>
      <c r="AF72" s="73">
        <v>39</v>
      </c>
      <c r="AG72" s="73">
        <v>38</v>
      </c>
      <c r="AH72" s="73">
        <v>41</v>
      </c>
      <c r="AI72" s="73">
        <v>35</v>
      </c>
      <c r="AJ72" s="73">
        <v>35</v>
      </c>
      <c r="AP72" s="73">
        <v>29</v>
      </c>
      <c r="AR72" s="73">
        <v>30</v>
      </c>
      <c r="CL72" s="146">
        <v>306</v>
      </c>
      <c r="CM72" s="146">
        <v>361</v>
      </c>
      <c r="CN72" s="146">
        <v>432</v>
      </c>
      <c r="CO72" s="146">
        <v>573</v>
      </c>
      <c r="CP72" s="147">
        <f t="shared" si="188"/>
        <v>779</v>
      </c>
      <c r="CQ72" s="147">
        <f t="shared" si="189"/>
        <v>587</v>
      </c>
      <c r="CR72" s="147">
        <f t="shared" si="190"/>
        <v>203</v>
      </c>
      <c r="CS72" s="146">
        <f t="shared" si="191"/>
        <v>172</v>
      </c>
      <c r="CT72" s="147">
        <f>CS72</f>
        <v>172</v>
      </c>
      <c r="CU72" s="147">
        <f>CT72*0.9</f>
        <v>154.80000000000001</v>
      </c>
      <c r="CV72" s="147">
        <f t="shared" ref="CV72:CZ72" si="194">CU72*0.9</f>
        <v>139.32000000000002</v>
      </c>
      <c r="CW72" s="147">
        <f t="shared" si="194"/>
        <v>125.38800000000002</v>
      </c>
      <c r="CX72" s="147">
        <f t="shared" si="194"/>
        <v>112.84920000000002</v>
      </c>
      <c r="CY72" s="147">
        <f t="shared" si="194"/>
        <v>101.56428000000002</v>
      </c>
      <c r="CZ72" s="147">
        <f t="shared" si="194"/>
        <v>91.40785200000002</v>
      </c>
      <c r="DA72" s="147">
        <f>CZ72*0.9</f>
        <v>82.267066800000023</v>
      </c>
      <c r="DB72" s="147">
        <f>DA72*0.9</f>
        <v>74.040360120000017</v>
      </c>
      <c r="DC72" s="147">
        <f>DB72*0.9</f>
        <v>66.636324108000011</v>
      </c>
      <c r="DD72" s="146"/>
      <c r="DE72" s="146"/>
      <c r="DF72" s="146"/>
      <c r="DG72" s="146"/>
      <c r="DH72" s="147"/>
      <c r="DI72" s="147"/>
      <c r="DJ72" s="147"/>
    </row>
    <row r="73" spans="2:115" x14ac:dyDescent="0.2">
      <c r="B73" s="65" t="s">
        <v>61</v>
      </c>
      <c r="C73" s="171">
        <v>221</v>
      </c>
      <c r="D73" s="171">
        <v>193</v>
      </c>
      <c r="E73" s="171">
        <v>173</v>
      </c>
      <c r="F73" s="171">
        <v>164</v>
      </c>
      <c r="G73" s="147">
        <v>163</v>
      </c>
      <c r="H73" s="147">
        <v>167</v>
      </c>
      <c r="I73" s="147">
        <v>191</v>
      </c>
      <c r="J73" s="147">
        <v>217</v>
      </c>
      <c r="K73" s="146">
        <v>217</v>
      </c>
      <c r="L73" s="73">
        <v>237</v>
      </c>
      <c r="M73" s="73">
        <v>234</v>
      </c>
      <c r="N73" s="73">
        <v>212</v>
      </c>
      <c r="O73" s="73">
        <v>132</v>
      </c>
      <c r="P73" s="73">
        <v>132</v>
      </c>
      <c r="Q73" s="73">
        <v>135</v>
      </c>
      <c r="R73" s="73">
        <v>130</v>
      </c>
      <c r="S73" s="73">
        <v>126</v>
      </c>
      <c r="T73" s="73">
        <v>97</v>
      </c>
      <c r="U73" s="73">
        <v>53</v>
      </c>
      <c r="V73" s="73">
        <v>66</v>
      </c>
      <c r="W73" s="73">
        <v>64</v>
      </c>
      <c r="X73" s="73">
        <v>30</v>
      </c>
      <c r="Y73" s="73">
        <v>16</v>
      </c>
      <c r="Z73" s="73">
        <v>22</v>
      </c>
      <c r="AA73" s="73">
        <v>20</v>
      </c>
      <c r="AB73" s="73">
        <v>21</v>
      </c>
      <c r="AC73" s="73">
        <v>18</v>
      </c>
      <c r="AD73" s="73">
        <v>22</v>
      </c>
      <c r="AE73" s="73">
        <v>19</v>
      </c>
      <c r="AF73" s="73">
        <v>23</v>
      </c>
      <c r="AG73" s="73">
        <v>23</v>
      </c>
      <c r="AH73" s="73">
        <v>20</v>
      </c>
      <c r="AI73" s="73">
        <v>20</v>
      </c>
      <c r="AJ73" s="73">
        <v>20</v>
      </c>
      <c r="AP73" s="73">
        <v>26</v>
      </c>
      <c r="CL73" s="146">
        <v>882</v>
      </c>
      <c r="CM73" s="146">
        <v>953</v>
      </c>
      <c r="CN73" s="146">
        <v>750</v>
      </c>
      <c r="CO73" s="146">
        <v>739</v>
      </c>
      <c r="CP73" s="147">
        <f>SUM(K73:N73)</f>
        <v>900</v>
      </c>
      <c r="CQ73" s="146">
        <f>SUM(O73:R73)</f>
        <v>529</v>
      </c>
      <c r="CR73" s="147">
        <f>SUM(S73:V73)</f>
        <v>342</v>
      </c>
      <c r="CS73" s="146">
        <f>SUM(W73:Z73)</f>
        <v>132</v>
      </c>
      <c r="CT73" s="147">
        <f>SUM(AA73:AD73)</f>
        <v>81</v>
      </c>
      <c r="CU73" s="146">
        <f>SUM(AE73:AH73)</f>
        <v>85</v>
      </c>
      <c r="CV73" s="146">
        <f>CU73*0.99</f>
        <v>84.15</v>
      </c>
      <c r="CW73" s="146">
        <f t="shared" ref="CW73:DC73" si="195">CV73*0.99</f>
        <v>83.308500000000009</v>
      </c>
      <c r="CX73" s="146">
        <f t="shared" si="195"/>
        <v>82.475415000000012</v>
      </c>
      <c r="CY73" s="146">
        <f t="shared" si="195"/>
        <v>81.650660850000008</v>
      </c>
      <c r="CZ73" s="146">
        <f t="shared" si="195"/>
        <v>80.834154241500002</v>
      </c>
      <c r="DA73" s="146">
        <f t="shared" si="195"/>
        <v>80.025812699084995</v>
      </c>
      <c r="DB73" s="146">
        <f t="shared" si="195"/>
        <v>79.22555457209414</v>
      </c>
      <c r="DC73" s="146">
        <f t="shared" si="195"/>
        <v>78.433299026373192</v>
      </c>
      <c r="DD73" s="146"/>
      <c r="DE73" s="146"/>
      <c r="DF73" s="146"/>
      <c r="DG73" s="146"/>
      <c r="DH73" s="146"/>
      <c r="DI73" s="146"/>
      <c r="DJ73" s="146"/>
    </row>
    <row r="74" spans="2:115" x14ac:dyDescent="0.2">
      <c r="B74" s="65" t="s">
        <v>78</v>
      </c>
      <c r="C74" s="171">
        <v>24</v>
      </c>
      <c r="D74" s="171">
        <v>25</v>
      </c>
      <c r="E74" s="171">
        <v>26</v>
      </c>
      <c r="F74" s="171">
        <v>24</v>
      </c>
      <c r="G74" s="147">
        <v>25</v>
      </c>
      <c r="H74" s="147">
        <v>23</v>
      </c>
      <c r="I74" s="147">
        <v>26</v>
      </c>
      <c r="J74" s="147">
        <v>25</v>
      </c>
      <c r="K74" s="147">
        <v>29</v>
      </c>
      <c r="L74" s="73">
        <v>28</v>
      </c>
      <c r="M74" s="73">
        <v>28</v>
      </c>
      <c r="N74" s="73">
        <v>28</v>
      </c>
      <c r="O74" s="73">
        <v>30</v>
      </c>
      <c r="P74" s="73">
        <v>28</v>
      </c>
      <c r="Q74" s="73">
        <v>30</v>
      </c>
      <c r="R74" s="73">
        <v>31</v>
      </c>
      <c r="S74" s="73">
        <v>30</v>
      </c>
      <c r="T74" s="73">
        <v>35</v>
      </c>
      <c r="U74" s="73">
        <v>34</v>
      </c>
      <c r="V74" s="73">
        <v>41</v>
      </c>
      <c r="W74" s="73">
        <v>43</v>
      </c>
      <c r="X74" s="73">
        <v>43</v>
      </c>
      <c r="Y74" s="73">
        <v>41</v>
      </c>
      <c r="Z74" s="73">
        <v>45</v>
      </c>
      <c r="AA74" s="73">
        <v>40</v>
      </c>
      <c r="AB74" s="73">
        <v>40</v>
      </c>
      <c r="AC74" s="73">
        <v>35</v>
      </c>
      <c r="AD74" s="73">
        <v>29</v>
      </c>
      <c r="AE74" s="73">
        <v>14</v>
      </c>
      <c r="AF74" s="73">
        <v>13</v>
      </c>
      <c r="AG74" s="73">
        <v>18</v>
      </c>
      <c r="AH74" s="73">
        <v>12</v>
      </c>
      <c r="AI74" s="73">
        <v>0</v>
      </c>
      <c r="AJ74" s="73">
        <v>0</v>
      </c>
      <c r="AP74" s="73">
        <v>0</v>
      </c>
      <c r="CL74" s="146">
        <v>94</v>
      </c>
      <c r="CM74" s="146">
        <v>110</v>
      </c>
      <c r="CN74" s="146">
        <v>99</v>
      </c>
      <c r="CO74" s="146">
        <v>99</v>
      </c>
      <c r="CP74" s="147">
        <f t="shared" si="188"/>
        <v>113</v>
      </c>
      <c r="CQ74" s="147">
        <f t="shared" ref="CQ74:CQ75" si="196">SUM(O74:R74)</f>
        <v>119</v>
      </c>
      <c r="CR74" s="147">
        <f t="shared" si="190"/>
        <v>140</v>
      </c>
      <c r="CS74" s="146">
        <f t="shared" ref="CS74" si="197">SUM(W74:Z74)</f>
        <v>172</v>
      </c>
      <c r="CT74" s="147">
        <f t="shared" ref="CT74:CT75" si="198">SUM(AA74:AD74)</f>
        <v>144</v>
      </c>
      <c r="CU74" s="147">
        <f>CT74*0.5</f>
        <v>72</v>
      </c>
      <c r="CV74" s="147">
        <f t="shared" ref="CV74:DA74" si="199">CU74*0.8</f>
        <v>57.6</v>
      </c>
      <c r="CW74" s="147">
        <f t="shared" si="199"/>
        <v>46.080000000000005</v>
      </c>
      <c r="CX74" s="147">
        <f t="shared" si="199"/>
        <v>36.864000000000004</v>
      </c>
      <c r="CY74" s="147">
        <f t="shared" si="199"/>
        <v>29.491200000000006</v>
      </c>
      <c r="CZ74" s="147">
        <f t="shared" si="199"/>
        <v>23.592960000000005</v>
      </c>
      <c r="DA74" s="147">
        <f t="shared" si="199"/>
        <v>18.874368000000004</v>
      </c>
      <c r="DB74" s="147">
        <f>DA74*0.8</f>
        <v>15.099494400000005</v>
      </c>
      <c r="DC74" s="147">
        <f>DB74*0.8</f>
        <v>12.079595520000005</v>
      </c>
      <c r="DD74" s="146"/>
      <c r="DE74" s="146"/>
      <c r="DF74" s="146"/>
      <c r="DG74" s="146"/>
      <c r="DH74" s="147"/>
      <c r="DI74" s="147"/>
      <c r="DJ74" s="147"/>
    </row>
    <row r="75" spans="2:115" x14ac:dyDescent="0.2">
      <c r="B75" s="65" t="s">
        <v>333</v>
      </c>
      <c r="C75" s="171">
        <v>157</v>
      </c>
      <c r="D75" s="171">
        <v>133</v>
      </c>
      <c r="E75" s="171">
        <v>145</v>
      </c>
      <c r="F75" s="171">
        <v>143</v>
      </c>
      <c r="G75" s="146">
        <v>171</v>
      </c>
      <c r="H75" s="146">
        <v>148</v>
      </c>
      <c r="I75" s="146">
        <v>166</v>
      </c>
      <c r="J75" s="146">
        <v>171</v>
      </c>
      <c r="K75" s="146">
        <v>131</v>
      </c>
      <c r="L75" s="73">
        <v>68</v>
      </c>
      <c r="M75" s="73">
        <v>64</v>
      </c>
      <c r="N75" s="73">
        <v>48</v>
      </c>
      <c r="O75" s="73">
        <v>63</v>
      </c>
      <c r="P75" s="73">
        <v>55</v>
      </c>
      <c r="Q75" s="73">
        <v>49</v>
      </c>
      <c r="R75" s="73">
        <v>32</v>
      </c>
      <c r="S75" s="73">
        <v>46</v>
      </c>
      <c r="T75" s="73">
        <v>65</v>
      </c>
      <c r="U75" s="73">
        <v>33</v>
      </c>
      <c r="V75" s="73">
        <v>42</v>
      </c>
      <c r="W75" s="73">
        <v>69</v>
      </c>
      <c r="X75" s="73">
        <f>8+12+19</f>
        <v>39</v>
      </c>
      <c r="Y75" s="73">
        <v>28</v>
      </c>
      <c r="Z75" s="73">
        <v>35</v>
      </c>
      <c r="AA75" s="73">
        <v>45</v>
      </c>
      <c r="AB75" s="73">
        <v>50</v>
      </c>
      <c r="AC75" s="73">
        <v>32</v>
      </c>
      <c r="AD75" s="73">
        <v>37</v>
      </c>
      <c r="AE75" s="73">
        <v>48</v>
      </c>
      <c r="AF75" s="73">
        <v>31</v>
      </c>
      <c r="AG75" s="73">
        <v>28</v>
      </c>
      <c r="AH75" s="73">
        <v>31</v>
      </c>
      <c r="AI75" s="73">
        <v>42</v>
      </c>
      <c r="AJ75" s="73">
        <v>31</v>
      </c>
      <c r="AP75" s="73">
        <v>25</v>
      </c>
      <c r="CL75" s="146">
        <v>534</v>
      </c>
      <c r="CM75" s="146">
        <v>594</v>
      </c>
      <c r="CN75" s="146">
        <v>578</v>
      </c>
      <c r="CO75" s="146">
        <v>656</v>
      </c>
      <c r="CP75" s="147">
        <f>SUM(K75:N75)</f>
        <v>311</v>
      </c>
      <c r="CQ75" s="146">
        <f t="shared" si="196"/>
        <v>199</v>
      </c>
      <c r="CR75" s="147">
        <f>SUM(S75:V75)</f>
        <v>186</v>
      </c>
      <c r="CS75" s="146">
        <f>SUM(W75:Z75)</f>
        <v>171</v>
      </c>
      <c r="CT75" s="147">
        <f t="shared" si="198"/>
        <v>164</v>
      </c>
      <c r="CU75" s="146">
        <f>CT75*0.95</f>
        <v>155.79999999999998</v>
      </c>
      <c r="CV75" s="146">
        <f t="shared" ref="CV75:DA75" si="200">CU75*0.95</f>
        <v>148.01</v>
      </c>
      <c r="CW75" s="146">
        <f t="shared" si="200"/>
        <v>140.6095</v>
      </c>
      <c r="CX75" s="146">
        <f t="shared" si="200"/>
        <v>133.579025</v>
      </c>
      <c r="CY75" s="146">
        <f t="shared" si="200"/>
        <v>126.90007374999999</v>
      </c>
      <c r="CZ75" s="146">
        <f t="shared" si="200"/>
        <v>120.55507006249998</v>
      </c>
      <c r="DA75" s="146">
        <f t="shared" si="200"/>
        <v>114.52731655937498</v>
      </c>
      <c r="DB75" s="146">
        <f>DA75*0.95</f>
        <v>108.80095073140623</v>
      </c>
      <c r="DC75" s="146">
        <f>DB75*0.95</f>
        <v>103.36090319483591</v>
      </c>
      <c r="DD75" s="146"/>
      <c r="DE75" s="146"/>
      <c r="DF75" s="146"/>
      <c r="DG75" s="146"/>
      <c r="DH75" s="146"/>
      <c r="DI75" s="146"/>
      <c r="DJ75" s="146"/>
    </row>
    <row r="76" spans="2:115" x14ac:dyDescent="0.2">
      <c r="B76" s="112" t="s">
        <v>1313</v>
      </c>
      <c r="C76" s="172"/>
      <c r="D76" s="172"/>
      <c r="E76" s="172"/>
      <c r="F76" s="172"/>
      <c r="G76" s="147"/>
      <c r="H76" s="147"/>
      <c r="I76" s="147"/>
      <c r="J76" s="147"/>
      <c r="AD76" s="73">
        <v>33</v>
      </c>
      <c r="AE76" s="73">
        <v>28</v>
      </c>
      <c r="AF76" s="73">
        <v>30</v>
      </c>
      <c r="AG76" s="73">
        <v>32</v>
      </c>
      <c r="AH76" s="73">
        <v>37</v>
      </c>
      <c r="AI76" s="73">
        <v>29</v>
      </c>
      <c r="AJ76" s="73">
        <v>32</v>
      </c>
      <c r="AP76" s="73">
        <v>23</v>
      </c>
      <c r="AR76" s="73">
        <v>21</v>
      </c>
      <c r="CL76" s="147"/>
      <c r="CM76" s="147"/>
      <c r="CN76" s="147"/>
      <c r="CO76" s="146"/>
      <c r="CP76" s="146"/>
      <c r="CQ76" s="147"/>
      <c r="CR76" s="147"/>
      <c r="CS76" s="146"/>
      <c r="CT76" s="146">
        <f>SUM(AA76:AD76)</f>
        <v>33</v>
      </c>
      <c r="CU76" s="146">
        <f>SUM(AE76:AH76)</f>
        <v>127</v>
      </c>
      <c r="CV76" s="146"/>
      <c r="CW76" s="146"/>
      <c r="CX76" s="146"/>
      <c r="CY76" s="146"/>
      <c r="CZ76" s="146"/>
      <c r="DD76" s="146"/>
      <c r="DE76" s="146"/>
      <c r="DF76" s="146"/>
      <c r="DG76" s="146"/>
    </row>
    <row r="77" spans="2:115" x14ac:dyDescent="0.2">
      <c r="B77" s="112" t="s">
        <v>1330</v>
      </c>
      <c r="C77" s="172"/>
      <c r="D77" s="172"/>
      <c r="E77" s="172"/>
      <c r="F77" s="172"/>
      <c r="G77" s="147"/>
      <c r="H77" s="147"/>
      <c r="I77" s="147"/>
      <c r="J77" s="147"/>
      <c r="K77" s="146"/>
      <c r="AF77" s="73">
        <v>0</v>
      </c>
      <c r="AG77" s="73">
        <v>0</v>
      </c>
      <c r="AH77" s="73">
        <v>0</v>
      </c>
      <c r="AI77" s="73">
        <v>35</v>
      </c>
      <c r="AJ77" s="73">
        <v>35</v>
      </c>
      <c r="AK77" s="73">
        <v>31</v>
      </c>
      <c r="AP77" s="73">
        <v>23</v>
      </c>
      <c r="CL77" s="147"/>
      <c r="CM77" s="147"/>
      <c r="CN77" s="147"/>
      <c r="CO77" s="146"/>
      <c r="CP77" s="147"/>
      <c r="CQ77" s="147"/>
      <c r="CR77" s="147"/>
      <c r="CS77" s="146"/>
      <c r="CT77" s="146"/>
      <c r="CU77" s="146"/>
      <c r="CV77" s="146"/>
      <c r="CW77" s="146"/>
      <c r="CX77" s="146"/>
      <c r="CY77" s="146"/>
      <c r="CZ77" s="146"/>
      <c r="DA77" s="146"/>
      <c r="DB77" s="146"/>
      <c r="DC77" s="146"/>
      <c r="DD77" s="146"/>
      <c r="DE77" s="146"/>
      <c r="DF77" s="146"/>
      <c r="DG77" s="146"/>
      <c r="DH77" s="146"/>
      <c r="DI77" s="146"/>
      <c r="DJ77" s="146"/>
      <c r="DK77" s="112"/>
    </row>
    <row r="78" spans="2:115" x14ac:dyDescent="0.2">
      <c r="B78" s="65" t="s">
        <v>455</v>
      </c>
      <c r="C78" s="172"/>
      <c r="D78" s="172"/>
      <c r="E78" s="172"/>
      <c r="F78" s="172"/>
      <c r="G78" s="147"/>
      <c r="H78" s="147"/>
      <c r="I78" s="147"/>
      <c r="J78" s="147"/>
      <c r="T78" s="73">
        <v>8</v>
      </c>
      <c r="U78" s="73">
        <v>4</v>
      </c>
      <c r="V78" s="73">
        <v>13</v>
      </c>
      <c r="W78" s="73">
        <v>14</v>
      </c>
      <c r="X78" s="73">
        <v>12</v>
      </c>
      <c r="Y78" s="73">
        <v>15</v>
      </c>
      <c r="Z78" s="73">
        <v>14</v>
      </c>
      <c r="AA78" s="73">
        <v>13</v>
      </c>
      <c r="AB78" s="73">
        <v>16</v>
      </c>
      <c r="AC78" s="73">
        <v>13</v>
      </c>
      <c r="AD78" s="73">
        <v>14</v>
      </c>
      <c r="AE78" s="73">
        <v>14</v>
      </c>
      <c r="AF78" s="73">
        <v>14</v>
      </c>
      <c r="AG78" s="73">
        <v>14</v>
      </c>
      <c r="AH78" s="73">
        <v>15</v>
      </c>
      <c r="AI78" s="73">
        <v>12</v>
      </c>
      <c r="AJ78" s="73">
        <v>13</v>
      </c>
      <c r="AP78" s="73">
        <v>0</v>
      </c>
      <c r="CL78" s="147"/>
      <c r="CM78" s="147"/>
      <c r="CN78" s="147"/>
      <c r="CO78" s="146"/>
      <c r="CP78" s="147"/>
      <c r="CQ78" s="147">
        <f>SUM(O78:R78)</f>
        <v>0</v>
      </c>
      <c r="CR78" s="147">
        <f>SUM(S78:V78)</f>
        <v>25</v>
      </c>
      <c r="CS78" s="146">
        <f>SUM(W78:Z78)</f>
        <v>55</v>
      </c>
      <c r="CT78" s="146">
        <f>SUM(AA78:AD78)</f>
        <v>56</v>
      </c>
      <c r="CU78" s="146">
        <f>+CT78*1.2</f>
        <v>67.2</v>
      </c>
      <c r="CV78" s="146">
        <f t="shared" ref="CV78:DA78" si="201">+CU78*1.2</f>
        <v>80.64</v>
      </c>
      <c r="CW78" s="146">
        <f t="shared" si="201"/>
        <v>96.768000000000001</v>
      </c>
      <c r="CX78" s="146">
        <f t="shared" si="201"/>
        <v>116.1216</v>
      </c>
      <c r="CY78" s="146">
        <f t="shared" si="201"/>
        <v>139.34592000000001</v>
      </c>
      <c r="CZ78" s="146">
        <f t="shared" si="201"/>
        <v>167.215104</v>
      </c>
      <c r="DA78" s="146">
        <f t="shared" si="201"/>
        <v>200.6581248</v>
      </c>
      <c r="DB78" s="146">
        <v>100</v>
      </c>
      <c r="DC78" s="146">
        <v>50</v>
      </c>
      <c r="DD78" s="146"/>
      <c r="DE78" s="146"/>
      <c r="DF78" s="146"/>
      <c r="DG78" s="146"/>
      <c r="DH78" s="146"/>
      <c r="DI78" s="146"/>
      <c r="DJ78" s="146"/>
    </row>
    <row r="79" spans="2:115" x14ac:dyDescent="0.2">
      <c r="B79" s="65" t="s">
        <v>73</v>
      </c>
      <c r="C79" s="171">
        <v>41</v>
      </c>
      <c r="D79" s="171">
        <v>37</v>
      </c>
      <c r="E79" s="171">
        <v>32</v>
      </c>
      <c r="F79" s="171">
        <v>37</v>
      </c>
      <c r="G79" s="147">
        <v>33</v>
      </c>
      <c r="H79" s="147">
        <v>33</v>
      </c>
      <c r="I79" s="147">
        <v>31</v>
      </c>
      <c r="J79" s="147">
        <v>34</v>
      </c>
      <c r="K79" s="147">
        <v>32</v>
      </c>
      <c r="L79" s="73">
        <v>31</v>
      </c>
      <c r="M79" s="73">
        <v>27</v>
      </c>
      <c r="N79" s="73">
        <v>30</v>
      </c>
      <c r="O79" s="73">
        <v>26</v>
      </c>
      <c r="P79" s="73">
        <v>26</v>
      </c>
      <c r="Q79" s="73">
        <v>27</v>
      </c>
      <c r="R79" s="73">
        <v>28</v>
      </c>
      <c r="S79" s="73">
        <v>25</v>
      </c>
      <c r="AA79" s="73">
        <v>49</v>
      </c>
      <c r="AB79" s="73">
        <v>33</v>
      </c>
      <c r="AC79" s="73">
        <v>31</v>
      </c>
      <c r="AD79" s="73">
        <v>39</v>
      </c>
      <c r="AE79" s="73">
        <v>36</v>
      </c>
      <c r="AF79" s="73">
        <v>0</v>
      </c>
      <c r="AG79" s="73">
        <v>0</v>
      </c>
      <c r="AH79" s="73">
        <v>0</v>
      </c>
      <c r="AI79" s="73">
        <v>24</v>
      </c>
      <c r="AJ79" s="73">
        <v>22</v>
      </c>
      <c r="AP79" s="73">
        <v>20</v>
      </c>
      <c r="CL79" s="146">
        <v>228</v>
      </c>
      <c r="CM79" s="146">
        <v>170</v>
      </c>
      <c r="CN79" s="146">
        <v>147</v>
      </c>
      <c r="CO79" s="146">
        <v>131</v>
      </c>
      <c r="CP79" s="147">
        <f>SUM(K79:N79)</f>
        <v>120</v>
      </c>
      <c r="CQ79" s="147">
        <f>SUM(O79:R79)</f>
        <v>107</v>
      </c>
      <c r="CR79" s="147">
        <f>SUM(S79:V79)</f>
        <v>25</v>
      </c>
      <c r="CS79" s="147"/>
      <c r="CT79" s="146">
        <f>SUM(AA79:AD79)</f>
        <v>152</v>
      </c>
      <c r="CU79" s="146">
        <f>SUM(AE79:AH79)</f>
        <v>36</v>
      </c>
      <c r="CV79" s="147"/>
      <c r="CW79" s="147"/>
      <c r="CX79" s="147"/>
      <c r="CY79" s="147"/>
      <c r="CZ79" s="147"/>
      <c r="DA79" s="147"/>
      <c r="DD79" s="146"/>
      <c r="DE79" s="146"/>
      <c r="DF79" s="146"/>
      <c r="DG79" s="146"/>
    </row>
    <row r="80" spans="2:115" x14ac:dyDescent="0.2">
      <c r="B80" s="65" t="s">
        <v>570</v>
      </c>
      <c r="C80" s="172"/>
      <c r="D80" s="172"/>
      <c r="E80" s="172"/>
      <c r="F80" s="172"/>
      <c r="G80" s="147"/>
      <c r="H80" s="147"/>
      <c r="I80" s="147"/>
      <c r="J80" s="147"/>
      <c r="K80" s="146"/>
      <c r="X80" s="73">
        <v>17</v>
      </c>
      <c r="Y80" s="73">
        <v>18</v>
      </c>
      <c r="Z80" s="73">
        <v>22</v>
      </c>
      <c r="AA80" s="73">
        <v>20</v>
      </c>
      <c r="AB80" s="73">
        <v>20</v>
      </c>
      <c r="AC80" s="73">
        <v>19</v>
      </c>
      <c r="AD80" s="73">
        <v>23</v>
      </c>
      <c r="AE80" s="73">
        <v>31</v>
      </c>
      <c r="AF80" s="73">
        <v>20</v>
      </c>
      <c r="AG80" s="73">
        <v>21</v>
      </c>
      <c r="AH80" s="73">
        <v>24</v>
      </c>
      <c r="AI80" s="73">
        <v>24</v>
      </c>
      <c r="AJ80" s="73">
        <v>18</v>
      </c>
      <c r="AP80" s="73">
        <v>20</v>
      </c>
      <c r="CL80" s="147"/>
      <c r="CM80" s="147"/>
      <c r="CN80" s="147"/>
      <c r="CO80" s="146"/>
      <c r="CP80" s="147"/>
      <c r="CQ80" s="147"/>
      <c r="CR80" s="147"/>
      <c r="CS80" s="146">
        <f>SUM(W80:AA80)</f>
        <v>77</v>
      </c>
      <c r="CT80" s="146">
        <f>SUM(AA80:AD80)</f>
        <v>82</v>
      </c>
      <c r="CU80" s="146">
        <f t="shared" ref="CU80:CU81" si="202">SUM(AE80:AH80)</f>
        <v>96</v>
      </c>
      <c r="CV80" s="146"/>
      <c r="CW80" s="146"/>
      <c r="CX80" s="146"/>
      <c r="CY80" s="146"/>
      <c r="CZ80" s="146"/>
      <c r="DB80" s="152"/>
      <c r="DC80" s="152"/>
      <c r="DD80" s="146"/>
      <c r="DE80" s="146"/>
      <c r="DF80" s="146"/>
      <c r="DG80" s="146"/>
      <c r="DH80" s="152"/>
      <c r="DI80" s="152"/>
      <c r="DJ80" s="152"/>
    </row>
    <row r="81" spans="2:115" x14ac:dyDescent="0.2">
      <c r="B81" s="65" t="s">
        <v>603</v>
      </c>
      <c r="C81" s="172"/>
      <c r="D81" s="172"/>
      <c r="E81" s="172"/>
      <c r="F81" s="172"/>
      <c r="G81" s="147"/>
      <c r="H81" s="147"/>
      <c r="I81" s="147"/>
      <c r="J81" s="147"/>
      <c r="AA81" s="73">
        <v>5</v>
      </c>
      <c r="AB81" s="73">
        <v>8</v>
      </c>
      <c r="AC81" s="73">
        <v>9</v>
      </c>
      <c r="AD81" s="73">
        <v>9</v>
      </c>
      <c r="AE81" s="73">
        <v>9</v>
      </c>
      <c r="AF81" s="73">
        <v>11</v>
      </c>
      <c r="AG81" s="73">
        <v>12</v>
      </c>
      <c r="AH81" s="73">
        <v>12</v>
      </c>
      <c r="AI81" s="73">
        <v>12</v>
      </c>
      <c r="AJ81" s="73">
        <v>15</v>
      </c>
      <c r="AP81" s="73">
        <v>19</v>
      </c>
      <c r="AR81" s="73">
        <v>12</v>
      </c>
      <c r="CL81" s="147"/>
      <c r="CM81" s="147"/>
      <c r="CN81" s="147"/>
      <c r="CO81" s="146"/>
      <c r="CP81" s="146"/>
      <c r="CQ81" s="147" t="s">
        <v>449</v>
      </c>
      <c r="CR81" s="147" t="s">
        <v>449</v>
      </c>
      <c r="CS81" s="146" t="s">
        <v>449</v>
      </c>
      <c r="CT81" s="146">
        <v>20</v>
      </c>
      <c r="CU81" s="146">
        <f t="shared" si="202"/>
        <v>44</v>
      </c>
      <c r="CV81" s="146">
        <v>150</v>
      </c>
      <c r="CW81" s="146">
        <v>200</v>
      </c>
      <c r="CX81" s="146">
        <v>200</v>
      </c>
      <c r="CY81" s="146">
        <v>200</v>
      </c>
      <c r="CZ81" s="146">
        <v>200</v>
      </c>
      <c r="DA81" s="146">
        <v>200</v>
      </c>
      <c r="DB81" s="146">
        <v>200</v>
      </c>
      <c r="DC81" s="146">
        <v>200</v>
      </c>
      <c r="DD81" s="146"/>
      <c r="DE81" s="146"/>
      <c r="DF81" s="146"/>
      <c r="DG81" s="146"/>
      <c r="DH81" s="146"/>
      <c r="DI81" s="146"/>
      <c r="DJ81" s="146"/>
    </row>
    <row r="82" spans="2:115" x14ac:dyDescent="0.2">
      <c r="B82" s="65" t="s">
        <v>14</v>
      </c>
      <c r="C82" s="171">
        <v>237</v>
      </c>
      <c r="D82" s="171">
        <v>306</v>
      </c>
      <c r="E82" s="171">
        <v>284</v>
      </c>
      <c r="F82" s="171">
        <v>287</v>
      </c>
      <c r="G82" s="147">
        <v>287</v>
      </c>
      <c r="H82" s="147">
        <v>352</v>
      </c>
      <c r="I82" s="147">
        <v>355</v>
      </c>
      <c r="J82" s="147">
        <v>335</v>
      </c>
      <c r="K82" s="147">
        <f>344+28+12</f>
        <v>384</v>
      </c>
      <c r="L82" s="73">
        <f>408+64+5</f>
        <v>477</v>
      </c>
      <c r="M82" s="73">
        <v>323</v>
      </c>
      <c r="N82" s="73">
        <v>324</v>
      </c>
      <c r="O82" s="73">
        <v>414</v>
      </c>
      <c r="P82" s="73">
        <v>349</v>
      </c>
      <c r="Q82" s="73">
        <v>225</v>
      </c>
      <c r="R82" s="73">
        <v>231</v>
      </c>
      <c r="S82" s="73">
        <v>191</v>
      </c>
      <c r="T82" s="73">
        <v>194</v>
      </c>
      <c r="U82" s="73">
        <v>191</v>
      </c>
      <c r="V82" s="73">
        <v>229</v>
      </c>
      <c r="W82" s="73">
        <v>197</v>
      </c>
      <c r="X82" s="73">
        <v>198</v>
      </c>
      <c r="Y82" s="73">
        <v>185</v>
      </c>
      <c r="Z82" s="73">
        <v>191</v>
      </c>
      <c r="AA82" s="73">
        <v>169</v>
      </c>
      <c r="AB82" s="73">
        <v>152</v>
      </c>
      <c r="AC82" s="73">
        <v>70</v>
      </c>
      <c r="AD82" s="73">
        <v>49</v>
      </c>
      <c r="AE82" s="73">
        <v>36</v>
      </c>
      <c r="AF82" s="73">
        <v>26</v>
      </c>
      <c r="AG82" s="73">
        <v>22</v>
      </c>
      <c r="AH82" s="73">
        <v>39</v>
      </c>
      <c r="AI82" s="73">
        <v>-8</v>
      </c>
      <c r="AJ82" s="73">
        <v>3</v>
      </c>
      <c r="AP82" s="73">
        <v>0</v>
      </c>
      <c r="CL82" s="146">
        <v>809</v>
      </c>
      <c r="CM82" s="146">
        <v>929</v>
      </c>
      <c r="CN82" s="146">
        <v>1140</v>
      </c>
      <c r="CO82" s="146">
        <v>1329</v>
      </c>
      <c r="CP82" s="147">
        <f>SUM(K82:N82)</f>
        <v>1508</v>
      </c>
      <c r="CQ82" s="147">
        <f>SUM(O82:R82)</f>
        <v>1219</v>
      </c>
      <c r="CR82" s="147">
        <f>SUM(S82:V82)</f>
        <v>805</v>
      </c>
      <c r="CS82" s="146">
        <f>SUM(W82:Z82)</f>
        <v>771</v>
      </c>
      <c r="CT82" s="146">
        <f>SUM(AA82:AD82)</f>
        <v>440</v>
      </c>
      <c r="CU82" s="147">
        <f>SUM(AE82:AH82)</f>
        <v>123</v>
      </c>
      <c r="CV82" s="147">
        <f>CU82*0.5</f>
        <v>61.5</v>
      </c>
      <c r="CW82" s="147">
        <f>CV82*0.3</f>
        <v>18.45</v>
      </c>
      <c r="CX82" s="147">
        <f t="shared" ref="CX82:DC82" si="203">CW82*0.9</f>
        <v>16.605</v>
      </c>
      <c r="CY82" s="147">
        <f t="shared" si="203"/>
        <v>14.944500000000001</v>
      </c>
      <c r="CZ82" s="147">
        <f t="shared" si="203"/>
        <v>13.450050000000001</v>
      </c>
      <c r="DA82" s="147">
        <f t="shared" si="203"/>
        <v>12.105045</v>
      </c>
      <c r="DB82" s="147">
        <f t="shared" si="203"/>
        <v>10.894540500000002</v>
      </c>
      <c r="DC82" s="147">
        <f t="shared" si="203"/>
        <v>9.805086450000001</v>
      </c>
      <c r="DD82" s="146"/>
      <c r="DE82" s="146"/>
      <c r="DF82" s="146"/>
      <c r="DG82" s="146"/>
      <c r="DH82" s="147"/>
      <c r="DI82" s="147"/>
      <c r="DJ82" s="147"/>
      <c r="DK82" s="112"/>
    </row>
    <row r="83" spans="2:115" x14ac:dyDescent="0.2">
      <c r="B83" s="112" t="s">
        <v>1320</v>
      </c>
      <c r="C83" s="172"/>
      <c r="D83" s="172"/>
      <c r="E83" s="172"/>
      <c r="F83" s="172"/>
      <c r="G83" s="147"/>
      <c r="H83" s="147"/>
      <c r="I83" s="147"/>
      <c r="J83" s="147"/>
      <c r="AE83" s="73">
        <v>11</v>
      </c>
      <c r="AF83" s="73">
        <v>12</v>
      </c>
      <c r="AG83" s="73">
        <v>13</v>
      </c>
      <c r="AH83" s="73">
        <v>17</v>
      </c>
      <c r="AI83" s="73">
        <v>0</v>
      </c>
      <c r="AJ83" s="73">
        <v>0</v>
      </c>
      <c r="AP83" s="73">
        <v>0</v>
      </c>
      <c r="CL83" s="147"/>
      <c r="CM83" s="147"/>
      <c r="CN83" s="147"/>
      <c r="CO83" s="146"/>
      <c r="CP83" s="146"/>
      <c r="CQ83" s="147"/>
      <c r="CR83" s="147"/>
      <c r="CS83" s="146"/>
      <c r="CT83" s="146"/>
      <c r="CU83" s="146">
        <f t="shared" ref="CU83" si="204">SUM(AE83:AH83)</f>
        <v>53</v>
      </c>
      <c r="CV83" s="146"/>
      <c r="CW83" s="146"/>
      <c r="CX83" s="146"/>
      <c r="CY83" s="146"/>
      <c r="CZ83" s="146"/>
      <c r="DD83" s="146"/>
      <c r="DE83" s="146"/>
      <c r="DF83" s="146"/>
      <c r="DG83" s="146"/>
    </row>
    <row r="84" spans="2:115" x14ac:dyDescent="0.2">
      <c r="B84" s="65" t="s">
        <v>76</v>
      </c>
      <c r="C84" s="171"/>
      <c r="D84" s="171"/>
      <c r="E84" s="171"/>
      <c r="F84" s="171"/>
      <c r="G84" s="147">
        <v>0</v>
      </c>
      <c r="H84" s="147">
        <v>4</v>
      </c>
      <c r="I84" s="147">
        <v>3</v>
      </c>
      <c r="J84" s="147">
        <v>11</v>
      </c>
      <c r="K84" s="146">
        <v>15</v>
      </c>
      <c r="L84" s="73">
        <v>19</v>
      </c>
      <c r="M84" s="73">
        <v>27</v>
      </c>
      <c r="N84" s="73">
        <v>34</v>
      </c>
      <c r="O84" s="73">
        <v>32</v>
      </c>
      <c r="P84" s="73">
        <v>36</v>
      </c>
      <c r="Q84" s="73">
        <v>41</v>
      </c>
      <c r="R84" s="73">
        <v>52</v>
      </c>
      <c r="S84" s="73">
        <v>49</v>
      </c>
      <c r="T84" s="73">
        <v>56</v>
      </c>
      <c r="U84" s="73">
        <v>56</v>
      </c>
      <c r="V84" s="73">
        <v>76</v>
      </c>
      <c r="W84" s="73">
        <v>62</v>
      </c>
      <c r="X84" s="73">
        <v>66</v>
      </c>
      <c r="Y84" s="73">
        <v>60</v>
      </c>
      <c r="Z84" s="73">
        <v>67</v>
      </c>
      <c r="AA84" s="73">
        <v>23</v>
      </c>
      <c r="AB84" s="73">
        <v>20</v>
      </c>
      <c r="AC84" s="73">
        <v>17</v>
      </c>
      <c r="AD84" s="73">
        <v>18</v>
      </c>
      <c r="AE84" s="73">
        <v>16</v>
      </c>
      <c r="AF84" s="73">
        <v>18</v>
      </c>
      <c r="AG84" s="73">
        <v>17</v>
      </c>
      <c r="AH84" s="73">
        <v>14</v>
      </c>
      <c r="AI84" s="73">
        <v>0</v>
      </c>
      <c r="AJ84" s="73">
        <v>0</v>
      </c>
      <c r="AP84" s="73">
        <v>0</v>
      </c>
      <c r="CL84" s="146">
        <v>0</v>
      </c>
      <c r="CM84" s="146">
        <v>0</v>
      </c>
      <c r="CN84" s="146">
        <v>0</v>
      </c>
      <c r="CO84" s="146">
        <v>18</v>
      </c>
      <c r="CP84" s="147">
        <f>SUM(K84:N84)</f>
        <v>95</v>
      </c>
      <c r="CQ84" s="147">
        <f>SUM(O84:R84)</f>
        <v>161</v>
      </c>
      <c r="CR84" s="147">
        <f>SUM(S84:V84)</f>
        <v>237</v>
      </c>
      <c r="CS84" s="146">
        <f>SUM(W84:Z84)</f>
        <v>255</v>
      </c>
      <c r="CT84" s="146">
        <f>CS84*1.15</f>
        <v>293.25</v>
      </c>
      <c r="CU84" s="146">
        <f>CT84*1.15</f>
        <v>337.23749999999995</v>
      </c>
      <c r="CV84" s="146">
        <f>CU84*1.15</f>
        <v>387.82312499999989</v>
      </c>
      <c r="CW84" s="146">
        <f t="shared" ref="CW84:DC84" si="205">CV84*0.5</f>
        <v>193.91156249999995</v>
      </c>
      <c r="CX84" s="146">
        <f t="shared" si="205"/>
        <v>96.955781249999973</v>
      </c>
      <c r="CY84" s="146">
        <f t="shared" si="205"/>
        <v>48.477890624999986</v>
      </c>
      <c r="CZ84" s="146">
        <f t="shared" si="205"/>
        <v>24.238945312499993</v>
      </c>
      <c r="DA84" s="146">
        <f t="shared" si="205"/>
        <v>12.119472656249997</v>
      </c>
      <c r="DB84" s="146">
        <f t="shared" si="205"/>
        <v>6.0597363281249983</v>
      </c>
      <c r="DC84" s="146">
        <f t="shared" si="205"/>
        <v>3.0298681640624991</v>
      </c>
      <c r="DD84" s="146"/>
      <c r="DE84" s="146"/>
      <c r="DF84" s="146"/>
      <c r="DG84" s="146"/>
      <c r="DH84" s="146"/>
      <c r="DI84" s="146"/>
      <c r="DJ84" s="146"/>
    </row>
    <row r="85" spans="2:115" x14ac:dyDescent="0.2">
      <c r="B85" s="65" t="s">
        <v>454</v>
      </c>
      <c r="C85" s="171"/>
      <c r="D85" s="171"/>
      <c r="E85" s="171"/>
      <c r="F85" s="171"/>
      <c r="G85" s="147"/>
      <c r="H85" s="147"/>
      <c r="I85" s="147"/>
      <c r="J85" s="147"/>
      <c r="K85" s="146"/>
      <c r="S85" s="73">
        <v>2</v>
      </c>
      <c r="T85" s="73">
        <v>4</v>
      </c>
      <c r="U85" s="73">
        <v>5</v>
      </c>
      <c r="V85" s="73">
        <v>5</v>
      </c>
      <c r="AF85" s="73">
        <v>0</v>
      </c>
      <c r="AG85" s="73">
        <v>0</v>
      </c>
      <c r="AH85" s="73">
        <v>0</v>
      </c>
      <c r="AI85" s="73">
        <v>0</v>
      </c>
      <c r="AJ85" s="73">
        <v>0</v>
      </c>
      <c r="AP85" s="73">
        <v>0</v>
      </c>
      <c r="CL85" s="146"/>
      <c r="CM85" s="146"/>
      <c r="CN85" s="146"/>
      <c r="CO85" s="146"/>
      <c r="CP85" s="147"/>
      <c r="CQ85" s="147"/>
      <c r="CR85" s="147">
        <f>SUM(S85:W85)</f>
        <v>16</v>
      </c>
      <c r="CS85" s="146"/>
      <c r="CT85" s="146"/>
      <c r="CU85" s="146"/>
      <c r="CV85" s="146"/>
      <c r="CW85" s="146"/>
      <c r="CX85" s="146"/>
      <c r="CY85" s="146"/>
      <c r="CZ85" s="146"/>
      <c r="DB85" s="152"/>
      <c r="DC85" s="152"/>
      <c r="DD85" s="146"/>
      <c r="DE85" s="152"/>
      <c r="DF85" s="152"/>
      <c r="DG85" s="152"/>
      <c r="DH85" s="152"/>
      <c r="DI85" s="152"/>
      <c r="DJ85" s="152"/>
    </row>
    <row r="86" spans="2:115" x14ac:dyDescent="0.2">
      <c r="B86" s="65" t="s">
        <v>453</v>
      </c>
      <c r="C86" s="172"/>
      <c r="D86" s="172"/>
      <c r="E86" s="172"/>
      <c r="F86" s="172"/>
      <c r="G86" s="147"/>
      <c r="H86" s="147"/>
      <c r="I86" s="147"/>
      <c r="J86" s="147"/>
      <c r="K86" s="146">
        <v>0</v>
      </c>
      <c r="L86" s="73">
        <v>17</v>
      </c>
      <c r="M86" s="73">
        <v>30</v>
      </c>
      <c r="N86" s="73">
        <v>37</v>
      </c>
      <c r="O86" s="73">
        <v>92</v>
      </c>
      <c r="P86" s="73">
        <v>67</v>
      </c>
      <c r="Q86" s="73">
        <v>28</v>
      </c>
      <c r="R86" s="73">
        <v>75</v>
      </c>
      <c r="S86" s="73">
        <v>29</v>
      </c>
      <c r="T86" s="73">
        <v>3</v>
      </c>
      <c r="U86" s="73">
        <v>12</v>
      </c>
      <c r="V86" s="73">
        <v>13</v>
      </c>
      <c r="W86" s="73">
        <v>222</v>
      </c>
      <c r="X86" s="73">
        <v>60</v>
      </c>
      <c r="Y86" s="73">
        <v>182</v>
      </c>
      <c r="Z86" s="73">
        <v>256</v>
      </c>
      <c r="AA86" s="73">
        <v>84</v>
      </c>
      <c r="AB86" s="73">
        <v>8</v>
      </c>
      <c r="AC86" s="73">
        <v>18</v>
      </c>
      <c r="AD86" s="73">
        <v>11</v>
      </c>
      <c r="AE86" s="73">
        <v>9</v>
      </c>
      <c r="AF86" s="73">
        <v>12</v>
      </c>
      <c r="AG86" s="73">
        <v>2</v>
      </c>
      <c r="AH86" s="73">
        <v>4</v>
      </c>
      <c r="AI86" s="73">
        <v>0</v>
      </c>
      <c r="AJ86" s="73">
        <v>0</v>
      </c>
      <c r="AP86" s="73">
        <v>0</v>
      </c>
      <c r="CL86" s="147"/>
      <c r="CM86" s="147"/>
      <c r="CN86" s="147"/>
      <c r="CO86" s="146"/>
      <c r="CP86" s="147">
        <f>SUM(K86:N86)</f>
        <v>84</v>
      </c>
      <c r="CQ86" s="147">
        <f>SUM(O86:R86)</f>
        <v>262</v>
      </c>
      <c r="CR86" s="147">
        <f>SUM(S86:V86)</f>
        <v>57</v>
      </c>
      <c r="CS86" s="146">
        <f>SUM(W86:Z86)</f>
        <v>720</v>
      </c>
      <c r="CT86" s="146">
        <f>SUM(AA86:AD86)</f>
        <v>121</v>
      </c>
      <c r="CU86" s="146">
        <f>CT86*0.2</f>
        <v>24.200000000000003</v>
      </c>
      <c r="CV86" s="146">
        <f t="shared" ref="CV86:DA86" si="206">CU86</f>
        <v>24.200000000000003</v>
      </c>
      <c r="CW86" s="146">
        <f t="shared" si="206"/>
        <v>24.200000000000003</v>
      </c>
      <c r="CX86" s="146">
        <f t="shared" si="206"/>
        <v>24.200000000000003</v>
      </c>
      <c r="CY86" s="146">
        <f t="shared" si="206"/>
        <v>24.200000000000003</v>
      </c>
      <c r="CZ86" s="146">
        <f t="shared" si="206"/>
        <v>24.200000000000003</v>
      </c>
      <c r="DA86" s="146">
        <f t="shared" si="206"/>
        <v>24.200000000000003</v>
      </c>
      <c r="DB86" s="146">
        <f>DA86</f>
        <v>24.200000000000003</v>
      </c>
      <c r="DC86" s="146">
        <f>DB86</f>
        <v>24.200000000000003</v>
      </c>
      <c r="DD86" s="146"/>
      <c r="DE86" s="146"/>
      <c r="DF86" s="146"/>
      <c r="DG86" s="146"/>
      <c r="DH86" s="146"/>
      <c r="DI86" s="146"/>
      <c r="DJ86" s="146"/>
    </row>
    <row r="87" spans="2:115" x14ac:dyDescent="0.2">
      <c r="B87" s="65" t="s">
        <v>558</v>
      </c>
      <c r="C87" s="172"/>
      <c r="D87" s="172"/>
      <c r="E87" s="172"/>
      <c r="F87" s="172"/>
      <c r="G87" s="147"/>
      <c r="H87" s="147"/>
      <c r="I87" s="147"/>
      <c r="J87" s="147"/>
      <c r="K87" s="146"/>
      <c r="U87" s="73">
        <v>10</v>
      </c>
      <c r="V87" s="73">
        <v>17</v>
      </c>
      <c r="W87" s="73">
        <v>6</v>
      </c>
      <c r="X87" s="73">
        <v>30</v>
      </c>
      <c r="Y87" s="73">
        <v>11</v>
      </c>
      <c r="Z87" s="73">
        <v>836</v>
      </c>
      <c r="AA87" s="73">
        <v>698</v>
      </c>
      <c r="AB87" s="73">
        <v>275</v>
      </c>
      <c r="AC87" s="73">
        <v>58</v>
      </c>
      <c r="AD87" s="73">
        <v>161</v>
      </c>
      <c r="AE87" s="73">
        <v>5</v>
      </c>
      <c r="AF87" s="73">
        <v>4</v>
      </c>
      <c r="AG87" s="73">
        <v>1</v>
      </c>
      <c r="AH87" s="73">
        <v>8</v>
      </c>
      <c r="AI87" s="73">
        <v>0</v>
      </c>
      <c r="AJ87" s="73">
        <v>0</v>
      </c>
      <c r="AP87" s="73">
        <v>0</v>
      </c>
      <c r="CL87" s="147"/>
      <c r="CM87" s="147"/>
      <c r="CN87" s="147"/>
      <c r="CO87" s="146"/>
      <c r="CP87" s="147"/>
      <c r="CQ87" s="147"/>
      <c r="CR87" s="147"/>
      <c r="CS87" s="146">
        <f>SUM(W87:Z87)</f>
        <v>883</v>
      </c>
      <c r="CT87" s="146">
        <f>SUM(AA87:AD87)</f>
        <v>1192</v>
      </c>
      <c r="CU87" s="146">
        <v>10</v>
      </c>
      <c r="CV87" s="146">
        <v>0</v>
      </c>
      <c r="CW87" s="146">
        <v>0</v>
      </c>
      <c r="CX87" s="146">
        <v>0</v>
      </c>
      <c r="CY87" s="146">
        <v>0</v>
      </c>
      <c r="CZ87" s="146">
        <v>0</v>
      </c>
      <c r="DA87" s="152">
        <v>0</v>
      </c>
      <c r="DB87" s="152">
        <v>0</v>
      </c>
      <c r="DC87" s="152">
        <v>0</v>
      </c>
      <c r="DD87" s="146"/>
      <c r="DE87" s="152"/>
      <c r="DF87" s="152"/>
      <c r="DG87" s="152"/>
      <c r="DH87" s="152"/>
      <c r="DI87" s="152"/>
      <c r="DJ87" s="152"/>
    </row>
    <row r="88" spans="2:115" x14ac:dyDescent="0.2">
      <c r="B88" s="65" t="s">
        <v>591</v>
      </c>
      <c r="C88" s="172"/>
      <c r="D88" s="172"/>
      <c r="E88" s="172"/>
      <c r="F88" s="172"/>
      <c r="G88" s="147"/>
      <c r="H88" s="147"/>
      <c r="I88" s="147"/>
      <c r="J88" s="147"/>
      <c r="AF88" s="73">
        <v>0</v>
      </c>
      <c r="AG88" s="73">
        <v>0</v>
      </c>
      <c r="AH88" s="162">
        <v>0</v>
      </c>
      <c r="AI88" s="73">
        <v>0</v>
      </c>
      <c r="AJ88" s="73">
        <v>0</v>
      </c>
      <c r="AP88" s="73">
        <v>0</v>
      </c>
      <c r="CL88" s="147"/>
      <c r="CM88" s="147"/>
      <c r="CN88" s="147"/>
      <c r="CO88" s="146"/>
      <c r="CP88" s="146"/>
      <c r="CQ88" s="147"/>
      <c r="CR88" s="147"/>
      <c r="CS88" s="146"/>
      <c r="CT88" s="167" t="s">
        <v>449</v>
      </c>
      <c r="CU88" s="146">
        <v>100</v>
      </c>
      <c r="CV88" s="146">
        <v>150</v>
      </c>
      <c r="CW88" s="146">
        <v>200</v>
      </c>
      <c r="CX88" s="146">
        <v>200</v>
      </c>
      <c r="CY88" s="146">
        <v>200</v>
      </c>
      <c r="CZ88" s="146">
        <v>200</v>
      </c>
      <c r="DA88" s="146">
        <v>200</v>
      </c>
      <c r="DB88" s="146">
        <v>200</v>
      </c>
      <c r="DC88" s="146">
        <v>200</v>
      </c>
      <c r="DD88" s="146"/>
      <c r="DE88" s="146"/>
      <c r="DF88" s="146"/>
      <c r="DG88" s="146"/>
      <c r="DH88" s="146"/>
      <c r="DI88" s="146"/>
      <c r="DJ88" s="146"/>
    </row>
    <row r="89" spans="2:115" x14ac:dyDescent="0.2">
      <c r="B89" s="112" t="s">
        <v>1225</v>
      </c>
      <c r="C89" s="172"/>
      <c r="D89" s="172"/>
      <c r="E89" s="172"/>
      <c r="F89" s="172"/>
      <c r="G89" s="147"/>
      <c r="H89" s="147"/>
      <c r="I89" s="147"/>
      <c r="J89" s="147"/>
      <c r="AF89" s="73">
        <v>0</v>
      </c>
      <c r="AG89" s="73">
        <v>0</v>
      </c>
      <c r="AH89" s="73">
        <v>0</v>
      </c>
      <c r="AI89" s="73">
        <v>0</v>
      </c>
      <c r="AJ89" s="73">
        <v>0</v>
      </c>
      <c r="AP89" s="73">
        <v>0</v>
      </c>
      <c r="CL89" s="147"/>
      <c r="CM89" s="147"/>
      <c r="CN89" s="147"/>
      <c r="CO89" s="146"/>
      <c r="CP89" s="146"/>
      <c r="CQ89" s="147" t="s">
        <v>449</v>
      </c>
      <c r="CR89" s="147" t="s">
        <v>449</v>
      </c>
      <c r="CS89" s="146" t="s">
        <v>449</v>
      </c>
      <c r="CT89" s="167" t="s">
        <v>449</v>
      </c>
      <c r="CU89" s="146"/>
      <c r="CV89" s="146"/>
      <c r="CW89" s="146"/>
      <c r="CX89" s="146"/>
      <c r="CY89" s="146"/>
      <c r="CZ89" s="146"/>
      <c r="DA89" s="146"/>
      <c r="DD89" s="146"/>
    </row>
    <row r="90" spans="2:115" x14ac:dyDescent="0.2">
      <c r="B90" s="65" t="s">
        <v>80</v>
      </c>
      <c r="C90" s="171">
        <v>17</v>
      </c>
      <c r="D90" s="171">
        <v>9</v>
      </c>
      <c r="E90" s="171">
        <v>11</v>
      </c>
      <c r="F90" s="171">
        <v>12</v>
      </c>
      <c r="G90" s="147">
        <v>10</v>
      </c>
      <c r="H90" s="147">
        <v>11</v>
      </c>
      <c r="I90" s="147">
        <v>9</v>
      </c>
      <c r="J90" s="147">
        <v>10</v>
      </c>
      <c r="K90" s="147">
        <v>11</v>
      </c>
      <c r="L90" s="73">
        <v>9</v>
      </c>
      <c r="M90" s="73">
        <v>11</v>
      </c>
      <c r="N90" s="73">
        <v>12</v>
      </c>
      <c r="O90" s="73">
        <v>14</v>
      </c>
      <c r="P90" s="73">
        <v>11</v>
      </c>
      <c r="Q90" s="73">
        <v>13</v>
      </c>
      <c r="R90" s="73">
        <v>11</v>
      </c>
      <c r="S90" s="73">
        <v>14</v>
      </c>
      <c r="T90" s="73">
        <v>13</v>
      </c>
      <c r="U90" s="73">
        <v>16</v>
      </c>
      <c r="V90" s="73">
        <v>17</v>
      </c>
      <c r="W90" s="73">
        <v>20</v>
      </c>
      <c r="X90" s="73">
        <v>18</v>
      </c>
      <c r="Y90" s="73">
        <v>20</v>
      </c>
      <c r="Z90" s="73">
        <v>17</v>
      </c>
      <c r="AA90" s="73">
        <v>0</v>
      </c>
      <c r="AB90" s="73">
        <v>0</v>
      </c>
      <c r="AC90" s="73">
        <v>0</v>
      </c>
      <c r="AD90" s="73">
        <f t="shared" ref="AD90" si="207">AC90</f>
        <v>0</v>
      </c>
      <c r="AE90" s="73">
        <f>AD90</f>
        <v>0</v>
      </c>
      <c r="AF90" s="73">
        <f>AE90</f>
        <v>0</v>
      </c>
      <c r="AG90" s="73">
        <f>AF90</f>
        <v>0</v>
      </c>
      <c r="AH90" s="73">
        <v>0</v>
      </c>
      <c r="AI90" s="73">
        <v>33</v>
      </c>
      <c r="AJ90" s="73">
        <v>30</v>
      </c>
      <c r="AP90" s="73">
        <v>0</v>
      </c>
      <c r="CL90" s="146" t="s">
        <v>449</v>
      </c>
      <c r="CM90" s="146">
        <v>37</v>
      </c>
      <c r="CN90" s="146">
        <v>49</v>
      </c>
      <c r="CO90" s="146">
        <v>40</v>
      </c>
      <c r="CP90" s="147">
        <f>SUM(K90:N90)</f>
        <v>43</v>
      </c>
      <c r="CQ90" s="147">
        <f>SUM(O90:R90)</f>
        <v>49</v>
      </c>
      <c r="CR90" s="147">
        <f>SUM(S90:V90)</f>
        <v>60</v>
      </c>
      <c r="CS90" s="146">
        <f>SUM(W90:Z90)</f>
        <v>75</v>
      </c>
      <c r="CT90" s="146"/>
      <c r="CU90" s="147"/>
      <c r="CV90" s="147"/>
      <c r="CW90" s="147"/>
      <c r="CX90" s="147"/>
      <c r="CY90" s="147"/>
      <c r="CZ90" s="147"/>
      <c r="DA90" s="147"/>
      <c r="DB90" s="147"/>
      <c r="DC90" s="147"/>
      <c r="DD90" s="146"/>
      <c r="DE90" s="147"/>
      <c r="DF90" s="147"/>
      <c r="DG90" s="147"/>
      <c r="DH90" s="147"/>
      <c r="DI90" s="147"/>
      <c r="DJ90" s="147"/>
    </row>
    <row r="91" spans="2:115" x14ac:dyDescent="0.2">
      <c r="B91" s="65" t="s">
        <v>83</v>
      </c>
      <c r="C91" s="171">
        <v>0</v>
      </c>
      <c r="D91" s="171">
        <v>0</v>
      </c>
      <c r="E91" s="171">
        <v>0</v>
      </c>
      <c r="F91" s="171">
        <v>0</v>
      </c>
      <c r="G91" s="147">
        <v>3</v>
      </c>
      <c r="H91" s="147">
        <v>1</v>
      </c>
      <c r="I91" s="147">
        <v>4</v>
      </c>
      <c r="J91" s="147">
        <v>5</v>
      </c>
      <c r="K91" s="146">
        <v>0</v>
      </c>
      <c r="L91" s="73">
        <v>0</v>
      </c>
      <c r="M91" s="73">
        <v>0</v>
      </c>
      <c r="N91" s="73">
        <v>0</v>
      </c>
      <c r="O91" s="73">
        <v>11</v>
      </c>
      <c r="P91" s="73">
        <v>12</v>
      </c>
      <c r="Q91" s="73">
        <v>13</v>
      </c>
      <c r="R91" s="73">
        <v>14</v>
      </c>
      <c r="S91" s="73">
        <v>14</v>
      </c>
      <c r="T91" s="73">
        <v>16</v>
      </c>
      <c r="U91" s="73">
        <v>18</v>
      </c>
      <c r="V91" s="73">
        <v>23</v>
      </c>
      <c r="W91" s="73">
        <v>24</v>
      </c>
      <c r="X91" s="73">
        <v>26</v>
      </c>
      <c r="Y91" s="73">
        <v>25</v>
      </c>
      <c r="Z91" s="73">
        <v>29</v>
      </c>
      <c r="AA91" s="73">
        <v>25</v>
      </c>
      <c r="AB91" s="73">
        <v>30</v>
      </c>
      <c r="AC91" s="73">
        <v>28</v>
      </c>
      <c r="AD91" s="73">
        <v>31</v>
      </c>
      <c r="AE91" s="73">
        <v>28</v>
      </c>
      <c r="AF91" s="73">
        <v>33</v>
      </c>
      <c r="AG91" s="73">
        <v>33</v>
      </c>
      <c r="AH91" s="73">
        <v>32</v>
      </c>
      <c r="AI91" s="73">
        <v>174</v>
      </c>
      <c r="AJ91" s="73">
        <v>0</v>
      </c>
      <c r="AP91" s="73">
        <v>0</v>
      </c>
      <c r="CL91" s="146"/>
      <c r="CM91" s="146">
        <v>0</v>
      </c>
      <c r="CN91" s="146">
        <v>0</v>
      </c>
      <c r="CO91" s="146">
        <v>13</v>
      </c>
      <c r="CP91" s="147">
        <f>SUM(K91:N91)</f>
        <v>0</v>
      </c>
      <c r="CQ91" s="147">
        <f>SUM(O91:R91)</f>
        <v>50</v>
      </c>
      <c r="CR91" s="147">
        <f>SUM(S91:V91)</f>
        <v>71</v>
      </c>
      <c r="CS91" s="146">
        <f>SUM(W91:Z91)</f>
        <v>104</v>
      </c>
      <c r="CT91" s="146">
        <f>SUM(AA91:AD91)</f>
        <v>114</v>
      </c>
      <c r="CU91" s="146">
        <v>200</v>
      </c>
      <c r="CV91" s="146">
        <v>0</v>
      </c>
      <c r="CW91" s="146">
        <v>0</v>
      </c>
      <c r="CX91" s="146">
        <v>0</v>
      </c>
      <c r="CY91" s="146">
        <v>0</v>
      </c>
      <c r="CZ91" s="146">
        <v>0</v>
      </c>
      <c r="DA91" s="146">
        <v>0</v>
      </c>
      <c r="DB91" s="146">
        <v>0</v>
      </c>
      <c r="DC91" s="146">
        <v>0</v>
      </c>
      <c r="DD91" s="146"/>
      <c r="DE91" s="146"/>
      <c r="DF91" s="146"/>
      <c r="DG91" s="146"/>
      <c r="DH91" s="146"/>
      <c r="DI91" s="146"/>
      <c r="DJ91" s="146"/>
    </row>
    <row r="92" spans="2:115" x14ac:dyDescent="0.2">
      <c r="B92" s="65" t="s">
        <v>791</v>
      </c>
      <c r="C92" s="172"/>
      <c r="D92" s="172"/>
      <c r="E92" s="172"/>
      <c r="F92" s="172"/>
      <c r="G92" s="147"/>
      <c r="H92" s="147"/>
      <c r="I92" s="147"/>
      <c r="J92" s="147"/>
      <c r="AB92" s="73">
        <v>19</v>
      </c>
      <c r="AC92" s="73">
        <v>20</v>
      </c>
      <c r="AD92" s="73">
        <v>22</v>
      </c>
      <c r="AE92" s="73">
        <v>23</v>
      </c>
      <c r="AF92" s="73">
        <v>0</v>
      </c>
      <c r="AG92" s="73">
        <v>0</v>
      </c>
      <c r="AH92" s="73">
        <v>0</v>
      </c>
      <c r="AI92" s="73">
        <v>0</v>
      </c>
      <c r="AJ92" s="73">
        <v>0</v>
      </c>
      <c r="AP92" s="73">
        <v>0</v>
      </c>
      <c r="BO92" s="73">
        <v>26</v>
      </c>
      <c r="BP92" s="73">
        <v>21</v>
      </c>
      <c r="CL92" s="147"/>
      <c r="CM92" s="147"/>
      <c r="CN92" s="147"/>
      <c r="CO92" s="146"/>
      <c r="CP92" s="146"/>
      <c r="CQ92" s="147"/>
      <c r="CR92" s="147"/>
      <c r="CS92" s="146"/>
      <c r="CT92" s="146">
        <f>SUM(AA92:AD92)</f>
        <v>61</v>
      </c>
      <c r="CU92" s="146">
        <f t="shared" ref="CU92" si="208">SUM(AE92:AH92)</f>
        <v>23</v>
      </c>
      <c r="CV92" s="146"/>
      <c r="CW92" s="146"/>
      <c r="CX92" s="146"/>
      <c r="CY92" s="146"/>
      <c r="CZ92" s="146"/>
      <c r="DA92" s="146"/>
      <c r="DD92" s="146">
        <f t="shared" ref="DD92:DD102" si="209">SUM(BO92:BR92)</f>
        <v>47</v>
      </c>
    </row>
    <row r="93" spans="2:115" x14ac:dyDescent="0.2">
      <c r="B93" s="65" t="s">
        <v>358</v>
      </c>
      <c r="C93" s="171">
        <v>9</v>
      </c>
      <c r="D93" s="171">
        <v>15</v>
      </c>
      <c r="E93" s="171">
        <v>18</v>
      </c>
      <c r="F93" s="171">
        <v>21</v>
      </c>
      <c r="G93" s="147">
        <v>11</v>
      </c>
      <c r="H93" s="147">
        <v>26</v>
      </c>
      <c r="I93" s="147">
        <v>31</v>
      </c>
      <c r="J93" s="147">
        <v>33</v>
      </c>
      <c r="K93" s="147">
        <v>33</v>
      </c>
      <c r="L93" s="73">
        <v>32</v>
      </c>
      <c r="M93" s="73">
        <v>32</v>
      </c>
      <c r="N93" s="73">
        <v>34</v>
      </c>
      <c r="O93" s="73">
        <v>35</v>
      </c>
      <c r="P93" s="73">
        <v>33</v>
      </c>
      <c r="Q93" s="73">
        <v>37</v>
      </c>
      <c r="R93" s="73">
        <v>36</v>
      </c>
      <c r="S93" s="73">
        <v>35</v>
      </c>
      <c r="T93" s="73">
        <v>38</v>
      </c>
      <c r="U93" s="73">
        <v>40</v>
      </c>
      <c r="V93" s="73">
        <v>47</v>
      </c>
      <c r="W93" s="73">
        <v>48</v>
      </c>
      <c r="X93" s="73">
        <v>43</v>
      </c>
      <c r="Y93" s="73">
        <v>43</v>
      </c>
      <c r="Z93" s="73">
        <v>44</v>
      </c>
      <c r="AA93" s="73">
        <v>41</v>
      </c>
      <c r="AB93" s="73">
        <v>39</v>
      </c>
      <c r="AC93" s="73">
        <v>39</v>
      </c>
      <c r="AD93" s="73">
        <v>36</v>
      </c>
      <c r="AE93" s="73">
        <v>32</v>
      </c>
      <c r="AF93" s="73">
        <v>0</v>
      </c>
      <c r="AG93" s="73">
        <v>0</v>
      </c>
      <c r="AH93" s="73">
        <v>0</v>
      </c>
      <c r="AI93" s="73">
        <v>0</v>
      </c>
      <c r="AJ93" s="73">
        <v>0</v>
      </c>
      <c r="AP93" s="73">
        <v>0</v>
      </c>
      <c r="CL93" s="146">
        <v>44</v>
      </c>
      <c r="CM93" s="146">
        <v>37</v>
      </c>
      <c r="CN93" s="146">
        <v>63</v>
      </c>
      <c r="CO93" s="146">
        <v>112</v>
      </c>
      <c r="CP93" s="147">
        <f t="shared" ref="CP93:CP99" si="210">SUM(K93:N93)</f>
        <v>131</v>
      </c>
      <c r="CQ93" s="147">
        <f t="shared" ref="CQ93:CQ99" si="211">SUM(O93:R93)</f>
        <v>141</v>
      </c>
      <c r="CR93" s="147">
        <f t="shared" ref="CR93:CR98" si="212">SUM(S93:V93)</f>
        <v>160</v>
      </c>
      <c r="CS93" s="146">
        <f t="shared" ref="CS93:CS98" si="213">SUM(W93:Z93)</f>
        <v>178</v>
      </c>
      <c r="CT93" s="147">
        <f>SUM(AA93:AD93)</f>
        <v>155</v>
      </c>
      <c r="CU93" s="147">
        <f>CT93*1.03</f>
        <v>159.65</v>
      </c>
      <c r="CV93" s="147">
        <f t="shared" ref="CV93:CZ93" si="214">CU93*1.03</f>
        <v>164.43950000000001</v>
      </c>
      <c r="CW93" s="147">
        <f t="shared" si="214"/>
        <v>169.37268500000002</v>
      </c>
      <c r="CX93" s="147">
        <f t="shared" si="214"/>
        <v>174.45386555000002</v>
      </c>
      <c r="CY93" s="147">
        <f t="shared" si="214"/>
        <v>179.68748151650001</v>
      </c>
      <c r="CZ93" s="147">
        <f t="shared" si="214"/>
        <v>185.07810596199502</v>
      </c>
      <c r="DA93" s="147">
        <f>CZ93*0.5</f>
        <v>92.539052980997511</v>
      </c>
      <c r="DB93" s="147">
        <f>DA93*0.5</f>
        <v>46.269526490498755</v>
      </c>
      <c r="DC93" s="147">
        <f>DB93*0.5</f>
        <v>23.134763245249378</v>
      </c>
      <c r="DD93" s="146"/>
      <c r="DE93" s="147"/>
      <c r="DF93" s="147"/>
      <c r="DG93" s="147"/>
      <c r="DH93" s="147"/>
      <c r="DI93" s="147"/>
      <c r="DJ93" s="147"/>
    </row>
    <row r="94" spans="2:115" x14ac:dyDescent="0.2">
      <c r="B94" s="65" t="s">
        <v>69</v>
      </c>
      <c r="C94" s="171">
        <v>71</v>
      </c>
      <c r="D94" s="171">
        <v>77</v>
      </c>
      <c r="E94" s="171">
        <v>73</v>
      </c>
      <c r="F94" s="171">
        <v>73</v>
      </c>
      <c r="G94" s="147">
        <v>66</v>
      </c>
      <c r="H94" s="147">
        <v>68</v>
      </c>
      <c r="I94" s="147">
        <v>65</v>
      </c>
      <c r="J94" s="147">
        <v>62</v>
      </c>
      <c r="K94" s="147">
        <v>60</v>
      </c>
      <c r="L94" s="73">
        <v>53</v>
      </c>
      <c r="M94" s="73">
        <v>46</v>
      </c>
      <c r="N94" s="73">
        <v>43</v>
      </c>
      <c r="O94" s="73">
        <v>41</v>
      </c>
      <c r="P94" s="73">
        <v>40</v>
      </c>
      <c r="Q94" s="73">
        <v>38</v>
      </c>
      <c r="R94" s="73">
        <v>37</v>
      </c>
      <c r="S94" s="73">
        <v>34</v>
      </c>
      <c r="T94" s="73">
        <v>34</v>
      </c>
      <c r="U94" s="73">
        <v>35</v>
      </c>
      <c r="V94" s="73">
        <v>36</v>
      </c>
      <c r="W94" s="73">
        <v>34</v>
      </c>
      <c r="X94" s="73">
        <v>31</v>
      </c>
      <c r="Y94" s="73">
        <v>34</v>
      </c>
      <c r="Z94" s="73">
        <v>30</v>
      </c>
      <c r="AA94" s="73">
        <v>28</v>
      </c>
      <c r="AB94" s="73">
        <v>27</v>
      </c>
      <c r="AC94" s="73">
        <v>31</v>
      </c>
      <c r="AD94" s="73">
        <v>29</v>
      </c>
      <c r="AE94" s="73">
        <v>26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P94" s="73">
        <v>0</v>
      </c>
      <c r="CL94" s="146">
        <v>295</v>
      </c>
      <c r="CM94" s="146">
        <v>293</v>
      </c>
      <c r="CN94" s="146">
        <v>294</v>
      </c>
      <c r="CO94" s="146">
        <v>261</v>
      </c>
      <c r="CP94" s="147">
        <f t="shared" si="210"/>
        <v>202</v>
      </c>
      <c r="CQ94" s="147">
        <f t="shared" si="211"/>
        <v>156</v>
      </c>
      <c r="CR94" s="147">
        <f t="shared" si="212"/>
        <v>139</v>
      </c>
      <c r="CS94" s="146">
        <f t="shared" si="213"/>
        <v>129</v>
      </c>
      <c r="CT94" s="147">
        <f>CS94</f>
        <v>129</v>
      </c>
      <c r="CU94" s="147">
        <f>CT94</f>
        <v>129</v>
      </c>
      <c r="CV94" s="147">
        <f>CU94</f>
        <v>129</v>
      </c>
      <c r="CW94" s="147">
        <f t="shared" ref="CW94:DC94" si="215">CV94*0.5</f>
        <v>64.5</v>
      </c>
      <c r="CX94" s="147">
        <f t="shared" si="215"/>
        <v>32.25</v>
      </c>
      <c r="CY94" s="147">
        <f t="shared" si="215"/>
        <v>16.125</v>
      </c>
      <c r="CZ94" s="147">
        <f t="shared" si="215"/>
        <v>8.0625</v>
      </c>
      <c r="DA94" s="147">
        <f t="shared" si="215"/>
        <v>4.03125</v>
      </c>
      <c r="DB94" s="147">
        <f t="shared" si="215"/>
        <v>2.015625</v>
      </c>
      <c r="DC94" s="147">
        <f t="shared" si="215"/>
        <v>1.0078125</v>
      </c>
      <c r="DD94" s="146"/>
      <c r="DE94" s="147"/>
      <c r="DF94" s="147"/>
      <c r="DG94" s="147"/>
      <c r="DH94" s="147"/>
      <c r="DI94" s="147"/>
      <c r="DJ94" s="147"/>
    </row>
    <row r="95" spans="2:115" x14ac:dyDescent="0.2">
      <c r="B95" s="65" t="s">
        <v>356</v>
      </c>
      <c r="C95" s="171">
        <v>38</v>
      </c>
      <c r="D95" s="171">
        <v>37</v>
      </c>
      <c r="E95" s="171">
        <v>42</v>
      </c>
      <c r="F95" s="171">
        <v>38</v>
      </c>
      <c r="G95" s="147">
        <v>33</v>
      </c>
      <c r="H95" s="147">
        <v>36</v>
      </c>
      <c r="I95" s="147">
        <v>33</v>
      </c>
      <c r="J95" s="147">
        <v>34</v>
      </c>
      <c r="K95" s="147">
        <v>32</v>
      </c>
      <c r="L95" s="73">
        <v>29</v>
      </c>
      <c r="M95" s="73">
        <v>28</v>
      </c>
      <c r="N95" s="73">
        <v>28</v>
      </c>
      <c r="O95" s="73">
        <v>26</v>
      </c>
      <c r="P95" s="73">
        <v>27</v>
      </c>
      <c r="Q95" s="73">
        <v>28</v>
      </c>
      <c r="R95" s="73">
        <v>28</v>
      </c>
      <c r="S95" s="73">
        <v>25</v>
      </c>
      <c r="T95" s="73">
        <v>26</v>
      </c>
      <c r="U95" s="73">
        <v>27</v>
      </c>
      <c r="V95" s="73">
        <v>28</v>
      </c>
      <c r="W95" s="73">
        <v>27</v>
      </c>
      <c r="X95" s="73">
        <v>25</v>
      </c>
      <c r="Y95" s="73">
        <v>26</v>
      </c>
      <c r="Z95" s="73">
        <v>27</v>
      </c>
      <c r="AA95" s="73" t="s">
        <v>449</v>
      </c>
      <c r="AB95" s="73" t="s">
        <v>449</v>
      </c>
      <c r="AC95" s="73" t="s">
        <v>449</v>
      </c>
      <c r="AD95" s="73" t="str">
        <f>AC95</f>
        <v>-</v>
      </c>
      <c r="AE95" s="73" t="str">
        <f>AD95</f>
        <v>-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P95" s="73">
        <v>0</v>
      </c>
      <c r="CL95" s="146">
        <v>173</v>
      </c>
      <c r="CM95" s="146">
        <v>167</v>
      </c>
      <c r="CN95" s="146">
        <v>155</v>
      </c>
      <c r="CO95" s="146">
        <v>136</v>
      </c>
      <c r="CP95" s="147">
        <f t="shared" si="210"/>
        <v>117</v>
      </c>
      <c r="CQ95" s="147">
        <f t="shared" si="211"/>
        <v>109</v>
      </c>
      <c r="CR95" s="147">
        <f t="shared" si="212"/>
        <v>106</v>
      </c>
      <c r="CS95" s="146">
        <f t="shared" si="213"/>
        <v>105</v>
      </c>
      <c r="CT95" s="147">
        <f t="shared" ref="CT95:CZ95" si="216">CS95*0.9</f>
        <v>94.5</v>
      </c>
      <c r="CU95" s="147">
        <v>0</v>
      </c>
      <c r="CV95" s="147">
        <f t="shared" si="216"/>
        <v>0</v>
      </c>
      <c r="CW95" s="147">
        <f t="shared" si="216"/>
        <v>0</v>
      </c>
      <c r="CX95" s="147">
        <f t="shared" si="216"/>
        <v>0</v>
      </c>
      <c r="CY95" s="147">
        <f t="shared" si="216"/>
        <v>0</v>
      </c>
      <c r="CZ95" s="147">
        <f t="shared" si="216"/>
        <v>0</v>
      </c>
      <c r="DA95" s="147">
        <f>CZ95*0.9</f>
        <v>0</v>
      </c>
      <c r="DB95" s="147">
        <f>DA95*0.9</f>
        <v>0</v>
      </c>
      <c r="DC95" s="147">
        <f>DB95*0.9</f>
        <v>0</v>
      </c>
      <c r="DD95" s="146"/>
      <c r="DE95" s="147"/>
      <c r="DF95" s="147"/>
      <c r="DG95" s="147"/>
      <c r="DH95" s="147"/>
      <c r="DI95" s="147"/>
      <c r="DJ95" s="147"/>
    </row>
    <row r="96" spans="2:115" x14ac:dyDescent="0.2">
      <c r="B96" s="65" t="s">
        <v>68</v>
      </c>
      <c r="C96" s="171">
        <v>81</v>
      </c>
      <c r="D96" s="171">
        <v>87</v>
      </c>
      <c r="E96" s="171">
        <v>79</v>
      </c>
      <c r="F96" s="171">
        <v>75</v>
      </c>
      <c r="G96" s="147">
        <v>74</v>
      </c>
      <c r="H96" s="147">
        <v>75</v>
      </c>
      <c r="I96" s="147">
        <v>77</v>
      </c>
      <c r="J96" s="147">
        <v>77</v>
      </c>
      <c r="K96" s="147">
        <v>72</v>
      </c>
      <c r="L96" s="73">
        <v>72</v>
      </c>
      <c r="M96" s="73">
        <v>63</v>
      </c>
      <c r="N96" s="73">
        <v>61</v>
      </c>
      <c r="O96" s="73">
        <v>62</v>
      </c>
      <c r="P96" s="73">
        <v>60</v>
      </c>
      <c r="Q96" s="73">
        <v>55</v>
      </c>
      <c r="R96" s="73">
        <v>56</v>
      </c>
      <c r="S96" s="73">
        <v>54</v>
      </c>
      <c r="T96" s="73">
        <v>50</v>
      </c>
      <c r="U96" s="73">
        <v>49</v>
      </c>
      <c r="V96" s="73">
        <v>59</v>
      </c>
      <c r="W96" s="73">
        <v>56</v>
      </c>
      <c r="X96" s="73">
        <v>48</v>
      </c>
      <c r="Y96" s="73">
        <v>48</v>
      </c>
      <c r="Z96" s="73">
        <v>49</v>
      </c>
      <c r="AA96" s="73">
        <v>38</v>
      </c>
      <c r="AB96" s="73">
        <v>36</v>
      </c>
      <c r="AC96" s="73">
        <v>38</v>
      </c>
      <c r="AD96" s="73">
        <v>32</v>
      </c>
      <c r="AE96" s="73">
        <v>30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P96" s="73">
        <v>0</v>
      </c>
      <c r="CL96" s="146">
        <v>315</v>
      </c>
      <c r="CM96" s="146">
        <v>375</v>
      </c>
      <c r="CN96" s="146">
        <v>322</v>
      </c>
      <c r="CO96" s="146">
        <v>303</v>
      </c>
      <c r="CP96" s="147">
        <f t="shared" si="210"/>
        <v>268</v>
      </c>
      <c r="CQ96" s="147">
        <f t="shared" si="211"/>
        <v>233</v>
      </c>
      <c r="CR96" s="147">
        <f t="shared" si="212"/>
        <v>212</v>
      </c>
      <c r="CS96" s="146">
        <f t="shared" si="213"/>
        <v>201</v>
      </c>
      <c r="CT96" s="147">
        <f>SUM(AA96:AD96)</f>
        <v>144</v>
      </c>
      <c r="CU96" s="147">
        <f>CT96*0.8</f>
        <v>115.2</v>
      </c>
      <c r="CV96" s="147">
        <f t="shared" ref="CV96:DA96" si="217">CU96*0.8</f>
        <v>92.160000000000011</v>
      </c>
      <c r="CW96" s="147">
        <f t="shared" si="217"/>
        <v>73.728000000000009</v>
      </c>
      <c r="CX96" s="147">
        <f t="shared" si="217"/>
        <v>58.982400000000013</v>
      </c>
      <c r="CY96" s="147">
        <f t="shared" si="217"/>
        <v>47.18592000000001</v>
      </c>
      <c r="CZ96" s="147">
        <f t="shared" si="217"/>
        <v>37.748736000000008</v>
      </c>
      <c r="DA96" s="147">
        <f t="shared" si="217"/>
        <v>30.198988800000009</v>
      </c>
      <c r="DB96" s="147">
        <f t="shared" ref="DB96:DC97" si="218">DA96*0.8</f>
        <v>24.15919104000001</v>
      </c>
      <c r="DC96" s="147">
        <f t="shared" si="218"/>
        <v>19.32735283200001</v>
      </c>
      <c r="DD96" s="146"/>
      <c r="DE96" s="147"/>
      <c r="DF96" s="147"/>
      <c r="DG96" s="147"/>
      <c r="DH96" s="147"/>
      <c r="DI96" s="147"/>
      <c r="DJ96" s="147"/>
    </row>
    <row r="97" spans="2:193" x14ac:dyDescent="0.2">
      <c r="B97" s="65" t="s">
        <v>67</v>
      </c>
      <c r="C97" s="171">
        <v>139</v>
      </c>
      <c r="D97" s="171">
        <v>141</v>
      </c>
      <c r="E97" s="171">
        <v>144</v>
      </c>
      <c r="F97" s="171">
        <v>146</v>
      </c>
      <c r="G97" s="147">
        <v>140</v>
      </c>
      <c r="H97" s="147">
        <v>148</v>
      </c>
      <c r="I97" s="147">
        <v>147</v>
      </c>
      <c r="J97" s="147">
        <v>148</v>
      </c>
      <c r="K97" s="147">
        <v>143</v>
      </c>
      <c r="L97" s="73">
        <v>141</v>
      </c>
      <c r="M97" s="73">
        <v>125</v>
      </c>
      <c r="N97" s="73">
        <v>119</v>
      </c>
      <c r="O97" s="73">
        <v>115</v>
      </c>
      <c r="P97" s="73">
        <v>117</v>
      </c>
      <c r="Q97" s="73">
        <v>115</v>
      </c>
      <c r="R97" s="73">
        <v>108</v>
      </c>
      <c r="S97" s="73">
        <v>105</v>
      </c>
      <c r="T97" s="73">
        <v>104</v>
      </c>
      <c r="U97" s="73">
        <v>110</v>
      </c>
      <c r="V97" s="73">
        <v>114</v>
      </c>
      <c r="W97" s="73">
        <v>112</v>
      </c>
      <c r="X97" s="73">
        <v>102</v>
      </c>
      <c r="Y97" s="73">
        <v>102</v>
      </c>
      <c r="Z97" s="73">
        <v>109</v>
      </c>
      <c r="AA97" s="73">
        <v>82</v>
      </c>
      <c r="AB97" s="73">
        <v>86</v>
      </c>
      <c r="AC97" s="73">
        <v>96</v>
      </c>
      <c r="AD97" s="73">
        <v>99</v>
      </c>
      <c r="AE97" s="73">
        <v>71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P97" s="73">
        <v>0</v>
      </c>
      <c r="CL97" s="146">
        <v>588</v>
      </c>
      <c r="CM97" s="146">
        <v>588</v>
      </c>
      <c r="CN97" s="146">
        <v>570</v>
      </c>
      <c r="CO97" s="146">
        <v>583</v>
      </c>
      <c r="CP97" s="147">
        <f t="shared" si="210"/>
        <v>528</v>
      </c>
      <c r="CQ97" s="147">
        <f t="shared" si="211"/>
        <v>455</v>
      </c>
      <c r="CR97" s="147">
        <f t="shared" si="212"/>
        <v>433</v>
      </c>
      <c r="CS97" s="146">
        <f t="shared" si="213"/>
        <v>425</v>
      </c>
      <c r="CT97" s="146">
        <f>SUM(AA97:AD97)</f>
        <v>363</v>
      </c>
      <c r="CU97" s="147">
        <f>SUM(AE97:AH97)</f>
        <v>71</v>
      </c>
      <c r="CV97" s="147">
        <f>CU97*0.5</f>
        <v>35.5</v>
      </c>
      <c r="CW97" s="147">
        <f>+CV97*0.4</f>
        <v>14.200000000000001</v>
      </c>
      <c r="CX97" s="147">
        <f t="shared" ref="CX97:DA97" si="219">CW97*0.8</f>
        <v>11.360000000000001</v>
      </c>
      <c r="CY97" s="147">
        <f t="shared" si="219"/>
        <v>9.088000000000001</v>
      </c>
      <c r="CZ97" s="147">
        <f t="shared" si="219"/>
        <v>7.2704000000000013</v>
      </c>
      <c r="DA97" s="147">
        <f t="shared" si="219"/>
        <v>5.816320000000001</v>
      </c>
      <c r="DB97" s="147">
        <f t="shared" si="218"/>
        <v>4.6530560000000012</v>
      </c>
      <c r="DC97" s="147">
        <f t="shared" si="218"/>
        <v>3.7224448000000012</v>
      </c>
      <c r="DD97" s="146"/>
      <c r="DE97" s="147"/>
      <c r="DF97" s="147"/>
      <c r="DG97" s="147"/>
      <c r="DH97" s="147"/>
      <c r="DI97" s="147"/>
      <c r="DJ97" s="147"/>
      <c r="DK97" s="112"/>
    </row>
    <row r="98" spans="2:193" x14ac:dyDescent="0.2">
      <c r="B98" s="65" t="s">
        <v>359</v>
      </c>
      <c r="C98" s="171">
        <v>0</v>
      </c>
      <c r="D98" s="171">
        <v>0</v>
      </c>
      <c r="E98" s="171">
        <v>0</v>
      </c>
      <c r="F98" s="171">
        <v>0</v>
      </c>
      <c r="G98" s="146">
        <v>17</v>
      </c>
      <c r="H98" s="146">
        <v>23</v>
      </c>
      <c r="I98" s="146">
        <v>34</v>
      </c>
      <c r="J98" s="146">
        <v>44</v>
      </c>
      <c r="K98" s="146">
        <v>51</v>
      </c>
      <c r="L98" s="73">
        <v>58</v>
      </c>
      <c r="M98" s="73">
        <v>63</v>
      </c>
      <c r="N98" s="73">
        <v>69</v>
      </c>
      <c r="O98" s="73">
        <v>75</v>
      </c>
      <c r="P98" s="73">
        <v>79</v>
      </c>
      <c r="Q98" s="73">
        <v>80</v>
      </c>
      <c r="R98" s="73">
        <v>90</v>
      </c>
      <c r="S98" s="73">
        <v>99</v>
      </c>
      <c r="T98" s="73">
        <v>104</v>
      </c>
      <c r="U98" s="73">
        <v>110</v>
      </c>
      <c r="V98" s="73">
        <v>129</v>
      </c>
      <c r="W98" s="73">
        <v>137</v>
      </c>
      <c r="X98" s="73">
        <v>129</v>
      </c>
      <c r="Y98" s="73">
        <v>131</v>
      </c>
      <c r="Z98" s="73">
        <v>149</v>
      </c>
      <c r="AA98" s="73">
        <v>131</v>
      </c>
      <c r="AB98" s="73">
        <v>140</v>
      </c>
      <c r="AC98" s="73">
        <v>138</v>
      </c>
      <c r="AD98" s="73">
        <v>146</v>
      </c>
      <c r="AE98" s="73">
        <v>140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P98" s="73">
        <v>0</v>
      </c>
      <c r="BO98" s="73">
        <v>9</v>
      </c>
      <c r="BP98" s="73">
        <v>9</v>
      </c>
      <c r="CL98" s="146" t="s">
        <v>449</v>
      </c>
      <c r="CM98" s="146" t="s">
        <v>449</v>
      </c>
      <c r="CN98" s="146">
        <v>15</v>
      </c>
      <c r="CO98" s="146">
        <v>118</v>
      </c>
      <c r="CP98" s="147">
        <f t="shared" si="210"/>
        <v>241</v>
      </c>
      <c r="CQ98" s="147">
        <f t="shared" si="211"/>
        <v>324</v>
      </c>
      <c r="CR98" s="147">
        <f t="shared" si="212"/>
        <v>442</v>
      </c>
      <c r="CS98" s="146">
        <f t="shared" si="213"/>
        <v>546</v>
      </c>
      <c r="CT98" s="146">
        <f>SUM(AA98:AD98)</f>
        <v>555</v>
      </c>
      <c r="CU98" s="146">
        <f>CT98</f>
        <v>555</v>
      </c>
      <c r="CV98" s="146">
        <f>CU98</f>
        <v>555</v>
      </c>
      <c r="CW98" s="146">
        <f t="shared" ref="CW98:DC98" si="220">CV98*0.7</f>
        <v>388.5</v>
      </c>
      <c r="CX98" s="146">
        <f t="shared" si="220"/>
        <v>271.95</v>
      </c>
      <c r="CY98" s="146">
        <f t="shared" si="220"/>
        <v>190.36499999999998</v>
      </c>
      <c r="CZ98" s="146">
        <f t="shared" si="220"/>
        <v>133.25549999999998</v>
      </c>
      <c r="DA98" s="146">
        <f t="shared" si="220"/>
        <v>93.278849999999977</v>
      </c>
      <c r="DB98" s="146">
        <f t="shared" si="220"/>
        <v>65.295194999999978</v>
      </c>
      <c r="DC98" s="146">
        <f t="shared" si="220"/>
        <v>45.706636499999981</v>
      </c>
      <c r="DD98" s="146">
        <f t="shared" si="209"/>
        <v>18</v>
      </c>
      <c r="DE98" s="146"/>
      <c r="DF98" s="146"/>
      <c r="DG98" s="146"/>
      <c r="DH98" s="146"/>
      <c r="DI98" s="146"/>
      <c r="DJ98" s="146"/>
    </row>
    <row r="99" spans="2:193" x14ac:dyDescent="0.2">
      <c r="B99" s="65" t="s">
        <v>84</v>
      </c>
      <c r="C99" s="171">
        <v>68</v>
      </c>
      <c r="D99" s="171">
        <v>70</v>
      </c>
      <c r="E99" s="171">
        <v>66</v>
      </c>
      <c r="F99" s="171">
        <v>69</v>
      </c>
      <c r="G99" s="147">
        <v>59</v>
      </c>
      <c r="H99" s="147">
        <v>60</v>
      </c>
      <c r="I99" s="147">
        <v>61</v>
      </c>
      <c r="J99" s="147">
        <v>64</v>
      </c>
      <c r="K99" s="147">
        <v>65</v>
      </c>
      <c r="L99" s="73">
        <v>61</v>
      </c>
      <c r="M99" s="73">
        <v>51</v>
      </c>
      <c r="N99" s="73">
        <v>55</v>
      </c>
      <c r="O99" s="73">
        <v>48</v>
      </c>
      <c r="P99" s="73">
        <v>40</v>
      </c>
      <c r="Q99" s="73">
        <v>37</v>
      </c>
      <c r="R99" s="73">
        <v>43</v>
      </c>
      <c r="AP99" s="73">
        <v>0</v>
      </c>
      <c r="CL99" s="146">
        <v>382</v>
      </c>
      <c r="CM99" s="146">
        <v>328</v>
      </c>
      <c r="CN99" s="146">
        <v>273</v>
      </c>
      <c r="CO99" s="146">
        <v>244</v>
      </c>
      <c r="CP99" s="147">
        <f t="shared" si="210"/>
        <v>232</v>
      </c>
      <c r="CQ99" s="147">
        <f t="shared" si="211"/>
        <v>168</v>
      </c>
      <c r="CR99" s="147"/>
      <c r="CS99" s="147"/>
      <c r="CT99" s="147"/>
      <c r="CU99" s="147"/>
      <c r="CV99" s="147"/>
      <c r="CW99" s="147"/>
      <c r="CX99" s="147"/>
      <c r="CY99" s="147"/>
      <c r="CZ99" s="147"/>
      <c r="DD99" s="146"/>
    </row>
    <row r="100" spans="2:193" x14ac:dyDescent="0.2">
      <c r="B100" s="112" t="s">
        <v>1332</v>
      </c>
      <c r="C100" s="151">
        <f>4885-SUM(C4:C80)</f>
        <v>1326</v>
      </c>
      <c r="D100" s="151">
        <f>4971-SUM(D4:D80)</f>
        <v>1388</v>
      </c>
      <c r="E100" s="172"/>
      <c r="F100" s="172"/>
      <c r="G100" s="147"/>
      <c r="H100" s="147"/>
      <c r="I100" s="147"/>
      <c r="J100" s="147"/>
      <c r="AC100" s="157"/>
      <c r="AH100" s="73">
        <v>0</v>
      </c>
      <c r="AI100" s="73">
        <v>0</v>
      </c>
      <c r="AJ100" s="73">
        <v>0</v>
      </c>
      <c r="AP100" s="73">
        <v>0</v>
      </c>
      <c r="CL100" s="147"/>
      <c r="CM100" s="147"/>
      <c r="CN100" s="147"/>
      <c r="CO100" s="146"/>
      <c r="CP100" s="146"/>
      <c r="CQ100" s="147"/>
      <c r="CR100" s="147"/>
      <c r="CS100" s="146"/>
      <c r="CT100" s="146"/>
      <c r="CU100" s="146">
        <v>50</v>
      </c>
      <c r="CV100" s="146"/>
      <c r="CW100" s="146"/>
      <c r="CX100" s="146"/>
      <c r="CY100" s="146"/>
      <c r="CZ100" s="146"/>
      <c r="DA100" s="146"/>
      <c r="DB100" s="146"/>
      <c r="DC100" s="146"/>
      <c r="DD100" s="146"/>
      <c r="DE100" s="146"/>
      <c r="DF100" s="146"/>
      <c r="DG100" s="146"/>
      <c r="DH100" s="146"/>
      <c r="DI100" s="146"/>
      <c r="DJ100" s="146"/>
    </row>
    <row r="101" spans="2:193" s="69" customFormat="1" x14ac:dyDescent="0.2">
      <c r="B101" s="69" t="s">
        <v>370</v>
      </c>
      <c r="C101" s="159">
        <f>SUM(C4:C100)</f>
        <v>5545</v>
      </c>
      <c r="D101" s="159">
        <f>SUM(D4:D100)</f>
        <v>5713</v>
      </c>
      <c r="E101" s="159">
        <v>4924</v>
      </c>
      <c r="F101" s="159">
        <v>5236</v>
      </c>
      <c r="G101" s="72">
        <f>SUM(G3:G100)</f>
        <v>4973</v>
      </c>
      <c r="H101" s="72">
        <f>SUM(H3:H100)</f>
        <v>5206</v>
      </c>
      <c r="I101" s="72">
        <f>SUM(I3:I100)</f>
        <v>5430</v>
      </c>
      <c r="J101" s="72">
        <f>SUM(J3:J100)</f>
        <v>5853</v>
      </c>
      <c r="K101" s="72">
        <f>SUM(K3:K100)</f>
        <v>5813</v>
      </c>
      <c r="L101" s="72">
        <f>SUM(L3:L100)</f>
        <v>5811</v>
      </c>
      <c r="M101" s="72">
        <f>SUM(M3:M100)</f>
        <v>5642</v>
      </c>
      <c r="N101" s="72">
        <f>SUM(N3:N100)</f>
        <v>5959</v>
      </c>
      <c r="O101" s="72">
        <f>SUM(O3:O100)</f>
        <v>5592</v>
      </c>
      <c r="P101" s="72">
        <f>SUM(P3:P100)</f>
        <v>5674</v>
      </c>
      <c r="Q101" s="72">
        <f>SUM(Q3:Q100)</f>
        <v>5476</v>
      </c>
      <c r="R101" s="72">
        <f>SUM(R3:R100)</f>
        <v>5983</v>
      </c>
      <c r="S101" s="72">
        <f>SUM(S3:S100)</f>
        <v>5686</v>
      </c>
      <c r="T101" s="72">
        <f>SUM(T3:T100)</f>
        <v>5874</v>
      </c>
      <c r="U101" s="72">
        <f>SUM(U3:U100)</f>
        <v>5882</v>
      </c>
      <c r="V101" s="72">
        <f>SUM(V3:V100)</f>
        <v>6910</v>
      </c>
      <c r="W101" s="72">
        <f>SUM(W3:W100)</f>
        <v>6769</v>
      </c>
      <c r="X101" s="72">
        <f>SUM(X3:X100)</f>
        <v>6747</v>
      </c>
      <c r="Y101" s="72">
        <f>SUM(Y3:Y100)</f>
        <v>6758</v>
      </c>
      <c r="Z101" s="72">
        <f>SUM(Z3:Z100)</f>
        <v>8094</v>
      </c>
      <c r="AA101" s="72">
        <f>SUM(AA3:AA100)</f>
        <v>7357</v>
      </c>
      <c r="AB101" s="72">
        <f>SUM(AB3:AB100)</f>
        <v>7025</v>
      </c>
      <c r="AC101" s="72">
        <f>SUM(AC3:AC100)</f>
        <v>6813</v>
      </c>
      <c r="AD101" s="72">
        <f>SUM(AD3:AD100)</f>
        <v>7197</v>
      </c>
      <c r="AE101" s="72">
        <f>SUM(AE3:AE100)</f>
        <v>6585</v>
      </c>
      <c r="AF101" s="72">
        <f>SUM(AF3:AF100)</f>
        <v>6720</v>
      </c>
      <c r="AG101" s="72">
        <f>SUM(AG3:AG100)</f>
        <v>7104</v>
      </c>
      <c r="AH101" s="72">
        <f>SUM(AH3:AH100)</f>
        <v>6978</v>
      </c>
      <c r="AI101" s="72">
        <f>SUM(AI3:AI100)</f>
        <v>6640</v>
      </c>
      <c r="AJ101" s="72">
        <f>SUM(AJ3:AJ100)</f>
        <v>6462</v>
      </c>
      <c r="AK101" s="72"/>
      <c r="AL101" s="72"/>
      <c r="AM101" s="72"/>
      <c r="AN101" s="72"/>
      <c r="AO101" s="72"/>
      <c r="AP101" s="72">
        <f>SUM(AP3:AP100)</f>
        <v>5688</v>
      </c>
      <c r="AQ101" s="72">
        <f>SUM(AQ3:AQ100)</f>
        <v>0</v>
      </c>
      <c r="AR101" s="72">
        <f>SUM(AR3:AR100)</f>
        <v>5561</v>
      </c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>
        <v>8899</v>
      </c>
      <c r="BO101" s="72">
        <f>SUM(BO3:BO100)</f>
        <v>6201</v>
      </c>
      <c r="BP101" s="72">
        <f>SUM(BP3:BP100)</f>
        <v>5153</v>
      </c>
      <c r="BQ101" s="72">
        <f>SUM(BQ3:BQ100)</f>
        <v>6148</v>
      </c>
      <c r="BR101" s="72">
        <f>SUM(BR3:BR100)</f>
        <v>6317</v>
      </c>
      <c r="BS101" s="72">
        <f>SUM(BS3:BS100)</f>
        <v>5086</v>
      </c>
      <c r="BT101" s="72">
        <f>SUM(BT3:BT100)</f>
        <v>5797</v>
      </c>
      <c r="BU101" s="72">
        <f>SUM(BU3:BU100)</f>
        <v>6565</v>
      </c>
      <c r="BV101" s="72">
        <f>SUM(BV3:BV100)</f>
        <v>7027</v>
      </c>
      <c r="BW101" s="72">
        <f>SUM(BW3:BW100)</f>
        <v>7137</v>
      </c>
      <c r="BX101" s="72">
        <f>SUM(BX3:BX100)</f>
        <v>6929</v>
      </c>
      <c r="BY101" s="72">
        <f>SUM(BY3:BY100)</f>
        <v>7820</v>
      </c>
      <c r="BZ101" s="72">
        <f>SUM(BZ3:BZ100)</f>
        <v>7375</v>
      </c>
      <c r="CA101" s="72">
        <f>SUM(CA3:CA100)</f>
        <v>6241.9333333333325</v>
      </c>
      <c r="CB101" s="72">
        <f>SUM(CB3:CB100)</f>
        <v>6677.4477777777793</v>
      </c>
      <c r="CC101" s="72">
        <f>SUM(CC3:CC100)</f>
        <v>7451.3492037037031</v>
      </c>
      <c r="CD101" s="72">
        <f>SUM(CD3:CD100)</f>
        <v>7200.9065966049393</v>
      </c>
      <c r="CE101" s="72"/>
      <c r="CF101" s="72"/>
      <c r="CG101" s="72"/>
      <c r="CH101" s="72"/>
      <c r="CI101" s="72"/>
      <c r="CJ101" s="13"/>
      <c r="CK101" s="13"/>
      <c r="CL101" s="72"/>
      <c r="CM101" s="72">
        <f>SUM(CM4:CM81)</f>
        <v>16538</v>
      </c>
      <c r="CN101" s="72">
        <f>SUM(CN3:CN81)</f>
        <v>17008</v>
      </c>
      <c r="CO101" s="72">
        <f>SUM(CO3:CO100)</f>
        <v>21482</v>
      </c>
      <c r="CP101" s="72">
        <f>SUM(CP3:CP100)</f>
        <v>23225</v>
      </c>
      <c r="CQ101" s="72">
        <f>SUM(CQ3:CQ100)</f>
        <v>22725</v>
      </c>
      <c r="CR101" s="72">
        <f>SUM(CR3:CR100)</f>
        <v>24463</v>
      </c>
      <c r="CS101" s="72">
        <f>SUM(CS3:CS100)</f>
        <v>28623</v>
      </c>
      <c r="CT101" s="72">
        <f>SUM(CT3:CT100)</f>
        <v>28591.7</v>
      </c>
      <c r="CU101" s="72">
        <f>SUM(CU3:CU100)</f>
        <v>26320.685000000005</v>
      </c>
      <c r="CV101" s="72">
        <f>SUM(CV3:CV100)</f>
        <v>25744.276999999991</v>
      </c>
      <c r="CW101" s="72">
        <f>SUM(CW3:CW100)</f>
        <v>25017.536966249994</v>
      </c>
      <c r="CX101" s="72">
        <f>SUM(CX3:CX100)</f>
        <v>24514.683238747508</v>
      </c>
      <c r="CY101" s="72">
        <f>SUM(CY3:CY100)</f>
        <v>23656.658536001978</v>
      </c>
      <c r="CZ101" s="72">
        <f>SUM(CZ3:CZ100)</f>
        <v>23357.842308673</v>
      </c>
      <c r="DA101" s="72">
        <f>SUM(DA3:DA100)</f>
        <v>22915.741223787241</v>
      </c>
      <c r="DB101" s="72">
        <f>SUM(DB3:DB100)</f>
        <v>7778.3278774838564</v>
      </c>
      <c r="DC101" s="72">
        <f>SUM(DC3:DC100)</f>
        <v>1327.5663907975138</v>
      </c>
      <c r="DD101" s="72">
        <f>SUM(DD3:DD100)</f>
        <v>23819</v>
      </c>
      <c r="DE101" s="72">
        <f>SUM(DE3:DE100)</f>
        <v>24475</v>
      </c>
      <c r="DF101" s="72">
        <f>SUM(DF3:DF100)</f>
        <v>29261</v>
      </c>
      <c r="DG101" s="72">
        <f>SUM(DG3:DG100)</f>
        <v>27571.636911419759</v>
      </c>
      <c r="DH101" s="72">
        <f>SUM(DH3:DH100)</f>
        <v>27183.197059783954</v>
      </c>
      <c r="DI101" s="72">
        <f>SUM(DI3:DI100)</f>
        <v>27449.579251706797</v>
      </c>
      <c r="DJ101" s="72">
        <f>SUM(DJ3:DJ100)</f>
        <v>27610.15169541636</v>
      </c>
      <c r="DK101" s="72">
        <f>SUM(DK3:DK100)</f>
        <v>26534.773484619593</v>
      </c>
      <c r="DL101" s="72">
        <f>SUM(DL3:DL100)</f>
        <v>21905.054610290583</v>
      </c>
      <c r="DM101" s="72">
        <f>SUM(DM3:DM100)</f>
        <v>21452.983209867052</v>
      </c>
      <c r="DN101" s="72">
        <f>SUM(DN3:DN100)</f>
        <v>21390.226674608781</v>
      </c>
      <c r="DO101" s="72">
        <f>SUM(DO3:DO100)</f>
        <v>21453.163388123572</v>
      </c>
      <c r="DP101" s="72">
        <f>SUM(DP3:DP100)</f>
        <v>20643.569040214265</v>
      </c>
      <c r="DQ101" s="72">
        <f>SUM(DQ3:DQ100)</f>
        <v>20677.42867045819</v>
      </c>
      <c r="DR101" s="72">
        <f>SUM(DR3:DR100)</f>
        <v>20852.668801360316</v>
      </c>
      <c r="DS101" s="72">
        <f>SUM(DS3:DS100)</f>
        <v>21096.239797814796</v>
      </c>
    </row>
    <row r="102" spans="2:193" x14ac:dyDescent="0.2">
      <c r="B102" s="65" t="s">
        <v>86</v>
      </c>
      <c r="C102" s="151">
        <v>1035</v>
      </c>
      <c r="D102" s="151">
        <v>1044</v>
      </c>
      <c r="E102" s="151">
        <v>-1105</v>
      </c>
      <c r="F102" s="151">
        <v>-1176</v>
      </c>
      <c r="G102" s="73">
        <v>-1127</v>
      </c>
      <c r="H102" s="73">
        <v>-1155</v>
      </c>
      <c r="I102" s="73">
        <v>1184</v>
      </c>
      <c r="J102" s="73">
        <v>1298</v>
      </c>
      <c r="K102" s="73">
        <v>1134</v>
      </c>
      <c r="L102" s="73">
        <v>1209</v>
      </c>
      <c r="M102" s="73">
        <v>1222</v>
      </c>
      <c r="N102" s="73">
        <v>1445</v>
      </c>
      <c r="O102" s="73">
        <v>1234</v>
      </c>
      <c r="P102" s="73">
        <v>1212</v>
      </c>
      <c r="Q102" s="73">
        <v>1232</v>
      </c>
      <c r="R102" s="73">
        <v>1528</v>
      </c>
      <c r="S102" s="73">
        <v>1299</v>
      </c>
      <c r="T102" s="73">
        <v>1375</v>
      </c>
      <c r="U102" s="73">
        <v>1460</v>
      </c>
      <c r="V102" s="73">
        <v>1642</v>
      </c>
      <c r="W102" s="73">
        <v>1644</v>
      </c>
      <c r="X102" s="73">
        <v>1621</v>
      </c>
      <c r="Y102" s="73">
        <v>1732</v>
      </c>
      <c r="Z102" s="73">
        <v>2098</v>
      </c>
      <c r="AA102" s="73">
        <v>1924</v>
      </c>
      <c r="AB102" s="73">
        <v>1626</v>
      </c>
      <c r="AC102" s="73">
        <f>1875-77</f>
        <v>1798</v>
      </c>
      <c r="AD102" s="73">
        <v>1980</v>
      </c>
      <c r="AE102" s="73">
        <v>1780</v>
      </c>
      <c r="AF102" s="73">
        <v>1625</v>
      </c>
      <c r="AG102" s="73">
        <v>1978</v>
      </c>
      <c r="AH102" s="73">
        <v>1876</v>
      </c>
      <c r="AI102" s="73">
        <v>1810</v>
      </c>
      <c r="AR102" s="73">
        <v>1722</v>
      </c>
      <c r="BN102" s="73">
        <v>2848</v>
      </c>
      <c r="BO102" s="73">
        <v>2610</v>
      </c>
      <c r="BP102" s="73">
        <v>2449</v>
      </c>
      <c r="BQ102" s="73">
        <v>2540</v>
      </c>
      <c r="BR102" s="73">
        <v>2792</v>
      </c>
      <c r="BS102" s="73">
        <v>2236</v>
      </c>
      <c r="BT102" s="73">
        <v>1522</v>
      </c>
      <c r="BU102" s="73">
        <v>2646</v>
      </c>
      <c r="BV102" s="73">
        <v>3496</v>
      </c>
      <c r="BW102" s="73">
        <v>2717</v>
      </c>
      <c r="BX102" s="73">
        <v>1970</v>
      </c>
      <c r="BY102" s="73">
        <v>2214</v>
      </c>
      <c r="BZ102" s="73">
        <v>2030</v>
      </c>
      <c r="CA102" s="73">
        <f t="shared" ref="CA102:CD102" si="221">+CA101-CA103</f>
        <v>1934.9993333333332</v>
      </c>
      <c r="CB102" s="73">
        <f t="shared" si="221"/>
        <v>2070.0088111111118</v>
      </c>
      <c r="CC102" s="73">
        <f t="shared" si="221"/>
        <v>2309.9182531481483</v>
      </c>
      <c r="CD102" s="73">
        <f t="shared" si="221"/>
        <v>2232.2810449475319</v>
      </c>
      <c r="CM102" s="73">
        <v>4221</v>
      </c>
      <c r="CN102" s="73">
        <v>4360</v>
      </c>
      <c r="CO102" s="73">
        <v>4764</v>
      </c>
      <c r="CP102" s="73">
        <v>5010</v>
      </c>
      <c r="CQ102" s="73">
        <f>CQ101-CQ103</f>
        <v>5206</v>
      </c>
      <c r="CR102" s="73">
        <f>CR101-CR103</f>
        <v>5887</v>
      </c>
      <c r="CS102" s="73">
        <f>SUM(W102:Z102)</f>
        <v>7095</v>
      </c>
      <c r="CT102" s="73">
        <f>SUM(AA102:AD102)</f>
        <v>7328</v>
      </c>
      <c r="CU102" s="73">
        <f>CU101-CU103</f>
        <v>6772.2637272115498</v>
      </c>
      <c r="CV102" s="73">
        <f t="shared" ref="CV102:CY102" si="222">CV101-CV103</f>
        <v>6649.6992884439096</v>
      </c>
      <c r="CW102" s="73">
        <f t="shared" si="222"/>
        <v>6487.0012144683169</v>
      </c>
      <c r="CX102" s="73">
        <f t="shared" si="222"/>
        <v>6381.1268531976384</v>
      </c>
      <c r="CY102" s="73">
        <f t="shared" si="222"/>
        <v>6181.4412634135624</v>
      </c>
      <c r="CZ102" s="73">
        <f>CZ101-CZ103</f>
        <v>6126.7189764014402</v>
      </c>
      <c r="DA102" s="73">
        <f>DA101-DA103</f>
        <v>22915.741223787241</v>
      </c>
      <c r="DB102" s="73">
        <f t="shared" ref="DB102:DC102" si="223">DB101-DB103</f>
        <v>7778.3278774838564</v>
      </c>
      <c r="DC102" s="73">
        <f t="shared" si="223"/>
        <v>1327.5663907975138</v>
      </c>
      <c r="DD102" s="146">
        <f t="shared" si="209"/>
        <v>10391</v>
      </c>
      <c r="DE102" s="146">
        <f t="shared" ref="DE102" si="224">SUM(BS102:BV102)</f>
        <v>9900</v>
      </c>
      <c r="DF102" s="146">
        <f>+DF101-DF103</f>
        <v>8931</v>
      </c>
      <c r="DG102" s="73">
        <f>+DG101-DG103</f>
        <v>8271.4910734259283</v>
      </c>
      <c r="DH102" s="73">
        <f t="shared" ref="DH102:DS102" si="225">+DH101-DH103</f>
        <v>8154.9591179351883</v>
      </c>
      <c r="DI102" s="73">
        <f t="shared" si="225"/>
        <v>8234.8737755120419</v>
      </c>
      <c r="DJ102" s="73">
        <f t="shared" si="225"/>
        <v>8283.0455086249094</v>
      </c>
      <c r="DK102" s="73">
        <f t="shared" si="225"/>
        <v>7960.4320453858782</v>
      </c>
      <c r="DL102" s="73">
        <f t="shared" si="225"/>
        <v>6571.5163830871752</v>
      </c>
      <c r="DM102" s="73">
        <f t="shared" si="225"/>
        <v>6435.8949629601175</v>
      </c>
      <c r="DN102" s="73">
        <f t="shared" si="225"/>
        <v>6417.0680023826353</v>
      </c>
      <c r="DO102" s="73">
        <f t="shared" si="225"/>
        <v>6435.9490164370727</v>
      </c>
      <c r="DP102" s="73">
        <f t="shared" si="225"/>
        <v>6193.0707120642801</v>
      </c>
      <c r="DQ102" s="73">
        <f t="shared" si="225"/>
        <v>6203.2286011374581</v>
      </c>
      <c r="DR102" s="73">
        <f t="shared" si="225"/>
        <v>6255.8006404080952</v>
      </c>
      <c r="DS102" s="73">
        <f t="shared" si="225"/>
        <v>6328.8719393444408</v>
      </c>
    </row>
    <row r="103" spans="2:193" x14ac:dyDescent="0.2">
      <c r="B103" s="65" t="s">
        <v>87</v>
      </c>
      <c r="C103" s="151">
        <f>C101-C102</f>
        <v>4510</v>
      </c>
      <c r="D103" s="151">
        <f>D101-D102</f>
        <v>4669</v>
      </c>
      <c r="E103" s="151">
        <v>3819</v>
      </c>
      <c r="F103" s="151">
        <v>4060</v>
      </c>
      <c r="G103" s="73">
        <v>3909</v>
      </c>
      <c r="H103" s="73">
        <v>4091</v>
      </c>
      <c r="I103" s="73">
        <v>4287</v>
      </c>
      <c r="J103" s="73">
        <v>4609</v>
      </c>
      <c r="K103" s="73">
        <f t="shared" ref="K103:R103" si="226">K101-K102</f>
        <v>4679</v>
      </c>
      <c r="L103" s="73">
        <f t="shared" si="226"/>
        <v>4602</v>
      </c>
      <c r="M103" s="73">
        <f t="shared" si="226"/>
        <v>4420</v>
      </c>
      <c r="N103" s="73">
        <f t="shared" si="226"/>
        <v>4514</v>
      </c>
      <c r="O103" s="73">
        <f t="shared" si="226"/>
        <v>4358</v>
      </c>
      <c r="P103" s="73">
        <f>P101-P102</f>
        <v>4462</v>
      </c>
      <c r="Q103" s="73">
        <f t="shared" si="226"/>
        <v>4244</v>
      </c>
      <c r="R103" s="73">
        <f t="shared" si="226"/>
        <v>4455</v>
      </c>
      <c r="S103" s="73">
        <f t="shared" ref="S103:X103" si="227">S101-S102</f>
        <v>4387</v>
      </c>
      <c r="T103" s="73">
        <f t="shared" si="227"/>
        <v>4499</v>
      </c>
      <c r="U103" s="73">
        <f>U101-U102</f>
        <v>4422</v>
      </c>
      <c r="V103" s="73">
        <f>V101-V102</f>
        <v>5268</v>
      </c>
      <c r="W103" s="73">
        <f t="shared" si="227"/>
        <v>5125</v>
      </c>
      <c r="X103" s="73">
        <f t="shared" si="227"/>
        <v>5126</v>
      </c>
      <c r="Y103" s="73">
        <f>Y101-Y102</f>
        <v>5026</v>
      </c>
      <c r="Z103" s="73">
        <f t="shared" ref="Z103:AE103" si="228">+Z101-Z102</f>
        <v>5996</v>
      </c>
      <c r="AA103" s="73">
        <f t="shared" si="228"/>
        <v>5433</v>
      </c>
      <c r="AB103" s="73">
        <f t="shared" si="228"/>
        <v>5399</v>
      </c>
      <c r="AC103" s="73">
        <f t="shared" si="228"/>
        <v>5015</v>
      </c>
      <c r="AD103" s="73">
        <f t="shared" si="228"/>
        <v>5217</v>
      </c>
      <c r="AE103" s="73">
        <f t="shared" si="228"/>
        <v>4805</v>
      </c>
      <c r="AF103" s="73">
        <f>AF101-AF102</f>
        <v>5095</v>
      </c>
      <c r="AG103" s="73">
        <f>AG101-AG102</f>
        <v>5126</v>
      </c>
      <c r="AH103" s="73">
        <f>AH101-AH102</f>
        <v>5102</v>
      </c>
      <c r="AI103" s="73">
        <f>AI101-AI102</f>
        <v>4830</v>
      </c>
      <c r="AR103" s="73">
        <f>+AR101-AR102</f>
        <v>3839</v>
      </c>
      <c r="BN103" s="73">
        <f t="shared" ref="BN103:BU103" si="229">+BN101-BN102</f>
        <v>6051</v>
      </c>
      <c r="BO103" s="73">
        <f t="shared" si="229"/>
        <v>3591</v>
      </c>
      <c r="BP103" s="73">
        <f t="shared" si="229"/>
        <v>2704</v>
      </c>
      <c r="BQ103" s="73">
        <f t="shared" si="229"/>
        <v>3608</v>
      </c>
      <c r="BR103" s="73">
        <f t="shared" si="229"/>
        <v>3525</v>
      </c>
      <c r="BS103" s="73">
        <f t="shared" si="229"/>
        <v>2850</v>
      </c>
      <c r="BT103" s="73">
        <f t="shared" si="229"/>
        <v>4275</v>
      </c>
      <c r="BU103" s="73">
        <f t="shared" si="229"/>
        <v>3919</v>
      </c>
      <c r="BV103" s="73">
        <f>BV101-BV102</f>
        <v>3531</v>
      </c>
      <c r="BW103" s="73">
        <f>BW101-BW102</f>
        <v>4420</v>
      </c>
      <c r="BX103" s="73">
        <f>+BX101-BX102</f>
        <v>4959</v>
      </c>
      <c r="BY103" s="73">
        <f>+BY101-BY102</f>
        <v>5606</v>
      </c>
      <c r="BZ103" s="73">
        <f>+BZ101-BZ102</f>
        <v>5345</v>
      </c>
      <c r="CA103" s="73">
        <f t="shared" ref="CA103:CD103" si="230">+CA101*0.69</f>
        <v>4306.9339999999993</v>
      </c>
      <c r="CB103" s="73">
        <f t="shared" si="230"/>
        <v>4607.4389666666675</v>
      </c>
      <c r="CC103" s="73">
        <f t="shared" si="230"/>
        <v>5141.4309505555548</v>
      </c>
      <c r="CD103" s="73">
        <f t="shared" si="230"/>
        <v>4968.6255516574074</v>
      </c>
      <c r="CM103" s="73">
        <v>16849</v>
      </c>
      <c r="CN103" s="73">
        <v>15626</v>
      </c>
      <c r="CO103" s="73">
        <v>16896</v>
      </c>
      <c r="CP103" s="73">
        <f>CP101-CP102</f>
        <v>18215</v>
      </c>
      <c r="CQ103" s="73">
        <f>SUM(O103:R103)</f>
        <v>17519</v>
      </c>
      <c r="CR103" s="73">
        <f>SUM(S103:V103)</f>
        <v>18576</v>
      </c>
      <c r="CS103" s="73">
        <f>CS101-CS102</f>
        <v>21528</v>
      </c>
      <c r="CT103" s="73">
        <f>CT101-CT102</f>
        <v>21263.7</v>
      </c>
      <c r="CU103" s="73">
        <f t="shared" ref="CU103:DC103" si="231">CU101*CU123</f>
        <v>19548.421272788455</v>
      </c>
      <c r="CV103" s="73">
        <f t="shared" si="231"/>
        <v>19094.577711556081</v>
      </c>
      <c r="CW103" s="73">
        <f t="shared" si="231"/>
        <v>18530.535751781677</v>
      </c>
      <c r="CX103" s="73">
        <f t="shared" si="231"/>
        <v>18133.556385549869</v>
      </c>
      <c r="CY103" s="73">
        <f t="shared" si="231"/>
        <v>17475.217272588416</v>
      </c>
      <c r="CZ103" s="73">
        <f t="shared" si="231"/>
        <v>17231.12333227156</v>
      </c>
      <c r="DA103" s="73">
        <f t="shared" si="231"/>
        <v>0</v>
      </c>
      <c r="DB103" s="73">
        <f t="shared" si="231"/>
        <v>0</v>
      </c>
      <c r="DC103" s="73">
        <f t="shared" si="231"/>
        <v>0</v>
      </c>
      <c r="DD103" s="73">
        <f>+DD101-DD102</f>
        <v>13428</v>
      </c>
      <c r="DE103" s="73">
        <f>+DE101-DE102</f>
        <v>14575</v>
      </c>
      <c r="DF103" s="146">
        <f t="shared" ref="DF103:DF110" si="232">SUM(BW103:BZ103)</f>
        <v>20330</v>
      </c>
      <c r="DG103" s="73">
        <f>+DG101*0.7</f>
        <v>19300.14583799383</v>
      </c>
      <c r="DH103" s="73">
        <f t="shared" ref="DH103:DS103" si="233">+DH101*0.7</f>
        <v>19028.237941848765</v>
      </c>
      <c r="DI103" s="73">
        <f t="shared" si="233"/>
        <v>19214.705476194755</v>
      </c>
      <c r="DJ103" s="73">
        <f t="shared" si="233"/>
        <v>19327.10618679145</v>
      </c>
      <c r="DK103" s="73">
        <f t="shared" si="233"/>
        <v>18574.341439233714</v>
      </c>
      <c r="DL103" s="73">
        <f t="shared" si="233"/>
        <v>15333.538227203408</v>
      </c>
      <c r="DM103" s="73">
        <f t="shared" si="233"/>
        <v>15017.088246906935</v>
      </c>
      <c r="DN103" s="73">
        <f t="shared" si="233"/>
        <v>14973.158672226145</v>
      </c>
      <c r="DO103" s="73">
        <f t="shared" si="233"/>
        <v>15017.214371686499</v>
      </c>
      <c r="DP103" s="73">
        <f t="shared" si="233"/>
        <v>14450.498328149984</v>
      </c>
      <c r="DQ103" s="73">
        <f t="shared" si="233"/>
        <v>14474.200069320732</v>
      </c>
      <c r="DR103" s="73">
        <f t="shared" si="233"/>
        <v>14596.868160952221</v>
      </c>
      <c r="DS103" s="73">
        <f t="shared" si="233"/>
        <v>14767.367858470356</v>
      </c>
    </row>
    <row r="104" spans="2:193" x14ac:dyDescent="0.2">
      <c r="B104" s="65" t="s">
        <v>88</v>
      </c>
      <c r="C104" s="151">
        <v>1725</v>
      </c>
      <c r="D104" s="151">
        <v>1783</v>
      </c>
      <c r="E104" s="151">
        <v>-1648</v>
      </c>
      <c r="F104" s="151">
        <v>-2045</v>
      </c>
      <c r="G104" s="73">
        <v>-1645</v>
      </c>
      <c r="H104" s="73">
        <v>-1681</v>
      </c>
      <c r="I104" s="73">
        <v>1884</v>
      </c>
      <c r="J104" s="73">
        <v>2040</v>
      </c>
      <c r="K104" s="73">
        <v>1823</v>
      </c>
      <c r="L104" s="73">
        <v>1883</v>
      </c>
      <c r="M104" s="73">
        <v>1617</v>
      </c>
      <c r="N104" s="73">
        <v>1934</v>
      </c>
      <c r="O104" s="73">
        <v>1673</v>
      </c>
      <c r="P104" s="73">
        <v>1841</v>
      </c>
      <c r="Q104" s="73">
        <v>1617</v>
      </c>
      <c r="R104" s="73">
        <v>1686</v>
      </c>
      <c r="S104" s="73">
        <v>1720</v>
      </c>
      <c r="T104" s="73">
        <v>1765</v>
      </c>
      <c r="U104" s="73">
        <v>1662</v>
      </c>
      <c r="V104" s="73">
        <v>2205</v>
      </c>
      <c r="W104" s="73">
        <v>2129</v>
      </c>
      <c r="X104" s="73">
        <v>2227</v>
      </c>
      <c r="Y104" s="73">
        <v>2064</v>
      </c>
      <c r="Z104" s="73">
        <v>2780</v>
      </c>
      <c r="AA104" s="73">
        <v>2298</v>
      </c>
      <c r="AB104" s="73">
        <f>3845-1570</f>
        <v>2275</v>
      </c>
      <c r="AC104" s="73">
        <v>1956</v>
      </c>
      <c r="AD104" s="73">
        <f>4289-2165</f>
        <v>2124</v>
      </c>
      <c r="AE104" s="73">
        <v>2054</v>
      </c>
      <c r="AF104" s="73">
        <v>2244</v>
      </c>
      <c r="AG104" s="73">
        <v>2067</v>
      </c>
      <c r="AH104" s="73">
        <v>2064</v>
      </c>
      <c r="AI104" s="73">
        <v>2130</v>
      </c>
      <c r="AR104" s="73">
        <v>2055</v>
      </c>
      <c r="BN104" s="73">
        <v>3117</v>
      </c>
      <c r="BO104" s="73">
        <v>2786</v>
      </c>
      <c r="BP104" s="73">
        <v>2709</v>
      </c>
      <c r="BQ104" s="73">
        <v>2477</v>
      </c>
      <c r="BR104" s="73">
        <v>2924</v>
      </c>
      <c r="BS104" s="73">
        <v>2315</v>
      </c>
      <c r="BT104" s="73">
        <v>1646</v>
      </c>
      <c r="BU104" s="73">
        <v>2504</v>
      </c>
      <c r="BV104" s="73">
        <v>2908</v>
      </c>
      <c r="BW104" s="73">
        <v>1812</v>
      </c>
      <c r="BX104" s="73">
        <v>1955</v>
      </c>
      <c r="BY104" s="73">
        <v>1968</v>
      </c>
      <c r="BZ104" s="73">
        <v>2435</v>
      </c>
      <c r="CA104" s="73">
        <f>+BV104*0.8</f>
        <v>2326.4</v>
      </c>
      <c r="CB104" s="73">
        <f>+BW104*0.8</f>
        <v>1449.6000000000001</v>
      </c>
      <c r="CC104" s="73">
        <f>+BX104*0.95</f>
        <v>1857.25</v>
      </c>
      <c r="CD104" s="73">
        <f>+BY104*0.95</f>
        <v>1869.6</v>
      </c>
      <c r="CM104" s="73">
        <v>7434</v>
      </c>
      <c r="CN104" s="73">
        <v>7201</v>
      </c>
      <c r="CO104" s="73">
        <v>7250</v>
      </c>
      <c r="CP104" s="73">
        <v>7257</v>
      </c>
      <c r="CQ104" s="73">
        <f>SUM(O104:R104)</f>
        <v>6817</v>
      </c>
      <c r="CR104" s="73">
        <f>SUM(S104:V104)</f>
        <v>7352</v>
      </c>
      <c r="CS104" s="73">
        <f>SUM(W104:Z104)</f>
        <v>9200</v>
      </c>
      <c r="CT104" s="73">
        <f>SUM(AA104:AD104)</f>
        <v>8653</v>
      </c>
      <c r="CU104" s="73">
        <f t="shared" ref="CU104:CZ104" si="234">CU101*CU124</f>
        <v>7896.2055000000009</v>
      </c>
      <c r="CV104" s="73">
        <f t="shared" si="234"/>
        <v>7594.5617149999971</v>
      </c>
      <c r="CW104" s="73">
        <f t="shared" si="234"/>
        <v>7255.085720212498</v>
      </c>
      <c r="CX104" s="73">
        <f t="shared" si="234"/>
        <v>7052.8743677876582</v>
      </c>
      <c r="CY104" s="73">
        <f t="shared" si="234"/>
        <v>6806.0206608077697</v>
      </c>
      <c r="CZ104" s="73">
        <f t="shared" si="234"/>
        <v>6720.0512322052227</v>
      </c>
      <c r="DA104" s="73">
        <f>CZ104</f>
        <v>6720.0512322052227</v>
      </c>
      <c r="DB104" s="73">
        <f t="shared" ref="DB104" si="235">DA104</f>
        <v>6720.0512322052227</v>
      </c>
      <c r="DC104" s="73"/>
      <c r="DD104" s="146">
        <f t="shared" ref="DD104:DD105" si="236">SUM(BO104:BR104)</f>
        <v>10896</v>
      </c>
      <c r="DE104" s="146">
        <f t="shared" ref="DE104:DE105" si="237">SUM(BS104:BV104)</f>
        <v>9373</v>
      </c>
      <c r="DF104" s="146">
        <f t="shared" si="232"/>
        <v>8170</v>
      </c>
      <c r="DG104" s="73">
        <f>+DG101*0.25</f>
        <v>6892.9092278549397</v>
      </c>
      <c r="DH104" s="73">
        <f t="shared" ref="DH104:DS104" si="238">+DH101*0.25</f>
        <v>6795.7992649459884</v>
      </c>
      <c r="DI104" s="73">
        <f t="shared" si="238"/>
        <v>6862.3948129266992</v>
      </c>
      <c r="DJ104" s="73">
        <f t="shared" si="238"/>
        <v>6902.53792385409</v>
      </c>
      <c r="DK104" s="73">
        <f t="shared" si="238"/>
        <v>6633.6933711548982</v>
      </c>
      <c r="DL104" s="73">
        <f t="shared" si="238"/>
        <v>5476.2636525726457</v>
      </c>
      <c r="DM104" s="73">
        <f t="shared" si="238"/>
        <v>5363.2458024667631</v>
      </c>
      <c r="DN104" s="73">
        <f t="shared" si="238"/>
        <v>5347.5566686521952</v>
      </c>
      <c r="DO104" s="73">
        <f t="shared" si="238"/>
        <v>5363.290847030893</v>
      </c>
      <c r="DP104" s="73">
        <f t="shared" si="238"/>
        <v>5160.8922600535661</v>
      </c>
      <c r="DQ104" s="73">
        <f t="shared" si="238"/>
        <v>5169.3571676145475</v>
      </c>
      <c r="DR104" s="73">
        <f t="shared" si="238"/>
        <v>5213.167200340079</v>
      </c>
      <c r="DS104" s="73">
        <f t="shared" si="238"/>
        <v>5274.0599494536991</v>
      </c>
    </row>
    <row r="105" spans="2:193" x14ac:dyDescent="0.2">
      <c r="B105" s="65" t="s">
        <v>89</v>
      </c>
      <c r="C105" s="151">
        <v>659</v>
      </c>
      <c r="D105" s="151">
        <v>696</v>
      </c>
      <c r="E105" s="151">
        <v>-696</v>
      </c>
      <c r="F105" s="151">
        <v>-853</v>
      </c>
      <c r="G105" s="73">
        <v>-663</v>
      </c>
      <c r="H105" s="73">
        <v>-702</v>
      </c>
      <c r="I105" s="73">
        <v>-803</v>
      </c>
      <c r="J105" s="73">
        <v>-968</v>
      </c>
      <c r="K105" s="73">
        <v>753</v>
      </c>
      <c r="L105" s="73">
        <v>853</v>
      </c>
      <c r="M105" s="73">
        <v>871</v>
      </c>
      <c r="N105" s="73">
        <v>980</v>
      </c>
      <c r="O105" s="73">
        <v>726</v>
      </c>
      <c r="P105" s="73">
        <v>789</v>
      </c>
      <c r="Q105" s="73">
        <v>769</v>
      </c>
      <c r="R105" s="73">
        <v>953</v>
      </c>
      <c r="S105" s="73">
        <v>780</v>
      </c>
      <c r="T105" s="73">
        <v>802</v>
      </c>
      <c r="U105" s="73">
        <v>834</v>
      </c>
      <c r="V105" s="73">
        <v>1090</v>
      </c>
      <c r="W105" s="73">
        <v>1074</v>
      </c>
      <c r="X105" s="73">
        <v>923</v>
      </c>
      <c r="Y105" s="73">
        <v>862</v>
      </c>
      <c r="Z105" s="73">
        <v>1092</v>
      </c>
      <c r="AA105" s="73">
        <v>939</v>
      </c>
      <c r="AB105" s="73">
        <v>994</v>
      </c>
      <c r="AC105" s="73">
        <v>948</v>
      </c>
      <c r="AD105" s="73">
        <v>1083</v>
      </c>
      <c r="AE105" s="73">
        <v>898</v>
      </c>
      <c r="AF105" s="73">
        <v>944</v>
      </c>
      <c r="AG105" s="73">
        <v>971</v>
      </c>
      <c r="AH105" s="73">
        <v>1099</v>
      </c>
      <c r="AI105" s="73">
        <v>971</v>
      </c>
      <c r="AR105" s="73">
        <v>809</v>
      </c>
      <c r="BN105" s="73">
        <v>1164</v>
      </c>
      <c r="BO105" s="73">
        <v>1086</v>
      </c>
      <c r="BP105" s="73">
        <v>1301</v>
      </c>
      <c r="BQ105" s="73">
        <v>1049</v>
      </c>
      <c r="BR105" s="73">
        <v>1297</v>
      </c>
      <c r="BS105" s="73">
        <v>1077</v>
      </c>
      <c r="BT105" s="73">
        <v>1106</v>
      </c>
      <c r="BU105" s="73">
        <v>1169</v>
      </c>
      <c r="BV105" s="73">
        <v>1365</v>
      </c>
      <c r="BW105" s="73">
        <v>1103</v>
      </c>
      <c r="BX105" s="73">
        <v>1155</v>
      </c>
      <c r="BY105" s="73">
        <v>1297</v>
      </c>
      <c r="BZ105" s="73">
        <v>1522</v>
      </c>
      <c r="CA105" s="73">
        <f>+BV105*0.95</f>
        <v>1296.75</v>
      </c>
      <c r="CB105" s="73">
        <f>+BW105*0.95</f>
        <v>1047.8499999999999</v>
      </c>
      <c r="CC105" s="73">
        <f>+BX105*0.95</f>
        <v>1097.25</v>
      </c>
      <c r="CD105" s="73">
        <f>+BY105*0.95</f>
        <v>1232.1499999999999</v>
      </c>
      <c r="CM105" s="73">
        <v>2844</v>
      </c>
      <c r="CN105" s="73">
        <v>2904</v>
      </c>
      <c r="CO105" s="73">
        <v>3136</v>
      </c>
      <c r="CP105" s="73">
        <v>3457</v>
      </c>
      <c r="CQ105" s="73">
        <f>SUM(O105:R105)</f>
        <v>3237</v>
      </c>
      <c r="CR105" s="73">
        <f>SUM(S105:V105)</f>
        <v>3506</v>
      </c>
      <c r="CS105" s="73">
        <f>SUM(W105:Z105)</f>
        <v>3951</v>
      </c>
      <c r="CT105" s="73">
        <f>SUM(AA105:AD105)</f>
        <v>3964</v>
      </c>
      <c r="CU105" s="73">
        <f>CT105*0.95</f>
        <v>3765.7999999999997</v>
      </c>
      <c r="CV105" s="73">
        <f>CU105*0.95</f>
        <v>3577.5099999999998</v>
      </c>
      <c r="CW105" s="73">
        <v>500</v>
      </c>
      <c r="CX105" s="73">
        <v>500</v>
      </c>
      <c r="CY105" s="73">
        <v>500</v>
      </c>
      <c r="CZ105" s="73">
        <v>500</v>
      </c>
      <c r="DA105" s="73">
        <v>500</v>
      </c>
      <c r="DB105" s="73">
        <v>500</v>
      </c>
      <c r="DC105" s="73"/>
      <c r="DD105" s="146">
        <f t="shared" si="236"/>
        <v>4733</v>
      </c>
      <c r="DE105" s="146">
        <f t="shared" si="237"/>
        <v>4717</v>
      </c>
      <c r="DF105" s="146">
        <f t="shared" si="232"/>
        <v>5077</v>
      </c>
      <c r="DG105" s="73"/>
      <c r="DH105" s="73"/>
      <c r="DI105" s="73"/>
    </row>
    <row r="106" spans="2:193" x14ac:dyDescent="0.2">
      <c r="B106" s="65" t="s">
        <v>414</v>
      </c>
      <c r="C106" s="151">
        <v>57</v>
      </c>
      <c r="D106" s="151">
        <f>77+16</f>
        <v>93</v>
      </c>
      <c r="E106" s="151">
        <v>22</v>
      </c>
      <c r="F106" s="151">
        <v>79</v>
      </c>
      <c r="G106" s="73">
        <v>146</v>
      </c>
      <c r="H106" s="73">
        <v>3</v>
      </c>
      <c r="I106" s="73">
        <v>183</v>
      </c>
      <c r="J106" s="73">
        <v>32</v>
      </c>
      <c r="K106" s="73">
        <v>71</v>
      </c>
      <c r="L106" s="73">
        <v>45</v>
      </c>
      <c r="M106" s="73">
        <f>91+16</f>
        <v>107</v>
      </c>
      <c r="N106" s="73">
        <v>100</v>
      </c>
      <c r="O106" s="73">
        <f>207+15</f>
        <v>222</v>
      </c>
      <c r="P106" s="73">
        <f>97+11</f>
        <v>108</v>
      </c>
      <c r="Q106" s="73">
        <f>52+14</f>
        <v>66</v>
      </c>
      <c r="R106" s="73">
        <v>119</v>
      </c>
      <c r="S106" s="73">
        <v>161</v>
      </c>
      <c r="T106" s="73">
        <v>194</v>
      </c>
      <c r="U106" s="73">
        <v>53</v>
      </c>
      <c r="V106" s="73">
        <v>133</v>
      </c>
      <c r="W106" s="73">
        <v>54</v>
      </c>
      <c r="X106" s="73">
        <v>405</v>
      </c>
      <c r="Y106" s="73">
        <v>123</v>
      </c>
      <c r="Z106" s="73">
        <v>553</v>
      </c>
      <c r="AA106" s="73">
        <v>199</v>
      </c>
      <c r="AB106" s="73">
        <v>81</v>
      </c>
      <c r="AC106" s="73">
        <v>95</v>
      </c>
      <c r="AD106" s="73">
        <v>118</v>
      </c>
      <c r="AE106" s="73">
        <v>317</v>
      </c>
      <c r="AF106" s="73">
        <v>62</v>
      </c>
      <c r="AG106" s="73">
        <v>91</v>
      </c>
      <c r="AH106" s="73">
        <v>140</v>
      </c>
      <c r="AI106" s="73">
        <f>72+236</f>
        <v>308</v>
      </c>
      <c r="AR106" s="73">
        <f>72+90</f>
        <v>162</v>
      </c>
      <c r="BN106" s="73">
        <v>82</v>
      </c>
      <c r="BO106" s="73">
        <v>67</v>
      </c>
      <c r="BP106" s="73">
        <v>75</v>
      </c>
      <c r="BQ106" s="73">
        <v>85</v>
      </c>
      <c r="BR106" s="73">
        <v>91</v>
      </c>
      <c r="BS106" s="73">
        <v>91</v>
      </c>
      <c r="BT106" s="73">
        <v>77</v>
      </c>
      <c r="BU106" s="73">
        <f>116</f>
        <v>116</v>
      </c>
      <c r="BV106" s="73">
        <v>135</v>
      </c>
      <c r="BW106" s="73">
        <v>139</v>
      </c>
      <c r="BX106" s="73">
        <v>159</v>
      </c>
      <c r="BY106" s="73">
        <v>255</v>
      </c>
      <c r="BZ106" s="73">
        <v>206</v>
      </c>
      <c r="CM106" s="73">
        <v>126</v>
      </c>
      <c r="CN106" s="73">
        <v>235</v>
      </c>
      <c r="CO106" s="73">
        <v>364</v>
      </c>
      <c r="CP106" s="73">
        <v>307</v>
      </c>
      <c r="CQ106" s="73">
        <f>SUM(O106:R106)</f>
        <v>515</v>
      </c>
      <c r="CR106" s="73">
        <f>SUM(S106:V106)</f>
        <v>541</v>
      </c>
      <c r="CS106" s="73">
        <f>SUM(W106:Z106)</f>
        <v>1135</v>
      </c>
      <c r="CT106" s="73"/>
      <c r="CU106" s="73"/>
      <c r="CV106" s="73"/>
      <c r="CW106" s="73"/>
      <c r="CX106" s="73"/>
      <c r="CY106" s="73"/>
      <c r="CZ106" s="73"/>
      <c r="DD106" s="146">
        <f t="shared" ref="DD106" si="239">SUM(BO106:BR106)</f>
        <v>318</v>
      </c>
      <c r="DE106" s="146">
        <f t="shared" ref="DE106" si="240">SUM(BS106:BV106)</f>
        <v>419</v>
      </c>
      <c r="DF106" s="146">
        <f t="shared" si="232"/>
        <v>759</v>
      </c>
    </row>
    <row r="107" spans="2:193" x14ac:dyDescent="0.2">
      <c r="B107" s="65" t="s">
        <v>85</v>
      </c>
      <c r="C107" s="151">
        <f>C103-C104-C105+C106</f>
        <v>2183</v>
      </c>
      <c r="D107" s="151">
        <f>D103-D104-D105+D106</f>
        <v>2283</v>
      </c>
      <c r="E107" s="151">
        <v>1497</v>
      </c>
      <c r="F107" s="151">
        <v>1241</v>
      </c>
      <c r="G107" s="73">
        <v>1747</v>
      </c>
      <c r="H107" s="73">
        <v>1711</v>
      </c>
      <c r="I107" s="73">
        <v>1783</v>
      </c>
      <c r="J107" s="73">
        <v>1633</v>
      </c>
      <c r="K107" s="73">
        <f t="shared" ref="K107:Z107" si="241">K103-K104-K105+K106</f>
        <v>2174</v>
      </c>
      <c r="L107" s="73">
        <f t="shared" si="241"/>
        <v>1911</v>
      </c>
      <c r="M107" s="73">
        <f t="shared" si="241"/>
        <v>2039</v>
      </c>
      <c r="N107" s="73">
        <f t="shared" si="241"/>
        <v>1700</v>
      </c>
      <c r="O107" s="73">
        <f t="shared" si="241"/>
        <v>2181</v>
      </c>
      <c r="P107" s="73">
        <f t="shared" si="241"/>
        <v>1940</v>
      </c>
      <c r="Q107" s="73">
        <f t="shared" si="241"/>
        <v>1924</v>
      </c>
      <c r="R107" s="73">
        <f t="shared" si="241"/>
        <v>1935</v>
      </c>
      <c r="S107" s="73">
        <f t="shared" si="241"/>
        <v>2048</v>
      </c>
      <c r="T107" s="73">
        <f t="shared" si="241"/>
        <v>2126</v>
      </c>
      <c r="U107" s="73">
        <f t="shared" si="241"/>
        <v>1979</v>
      </c>
      <c r="V107" s="73">
        <f t="shared" si="241"/>
        <v>2106</v>
      </c>
      <c r="W107" s="73">
        <f t="shared" si="241"/>
        <v>1976</v>
      </c>
      <c r="X107" s="73">
        <f t="shared" si="241"/>
        <v>2381</v>
      </c>
      <c r="Y107" s="73">
        <f>Y103-Y104-Y105+Y106</f>
        <v>2223</v>
      </c>
      <c r="Z107" s="73">
        <f t="shared" si="241"/>
        <v>2677</v>
      </c>
      <c r="AA107" s="73">
        <f>AA103-AA104-AA105+AA106</f>
        <v>2395</v>
      </c>
      <c r="AB107" s="73">
        <f>AB103-AB104-AB105+AB106</f>
        <v>2211</v>
      </c>
      <c r="AC107" s="73">
        <f>AC103-AC104-AC105+AC106</f>
        <v>2206</v>
      </c>
      <c r="AD107" s="73">
        <f t="shared" ref="AD107:AI107" si="242">AD103-AD104-AD105+AD106</f>
        <v>2128</v>
      </c>
      <c r="AE107" s="73">
        <f>AE103-AE104-AE105+AE106</f>
        <v>2170</v>
      </c>
      <c r="AF107" s="73">
        <f>AF103-AF104-AF105+AF106</f>
        <v>1969</v>
      </c>
      <c r="AG107" s="73">
        <f t="shared" si="242"/>
        <v>2179</v>
      </c>
      <c r="AH107" s="73">
        <f t="shared" si="242"/>
        <v>2079</v>
      </c>
      <c r="AI107" s="73">
        <f t="shared" si="242"/>
        <v>2037</v>
      </c>
      <c r="AR107" s="73">
        <f>+AR103-AR104-AR105+AR106</f>
        <v>1137</v>
      </c>
      <c r="BN107" s="73">
        <f t="shared" ref="BN107:BP107" si="243">BN103-BN104-BN105+BN106</f>
        <v>1852</v>
      </c>
      <c r="BO107" s="73">
        <f t="shared" si="243"/>
        <v>-214</v>
      </c>
      <c r="BP107" s="73">
        <f t="shared" si="243"/>
        <v>-1231</v>
      </c>
      <c r="BQ107" s="73">
        <f t="shared" ref="BQ107:BX107" si="244">BQ103-BQ104-BQ105+BQ106</f>
        <v>167</v>
      </c>
      <c r="BR107" s="73">
        <f t="shared" si="244"/>
        <v>-605</v>
      </c>
      <c r="BS107" s="73">
        <f t="shared" si="244"/>
        <v>-451</v>
      </c>
      <c r="BT107" s="73">
        <f t="shared" si="244"/>
        <v>1600</v>
      </c>
      <c r="BU107" s="73">
        <f t="shared" si="244"/>
        <v>362</v>
      </c>
      <c r="BV107" s="73">
        <f t="shared" si="244"/>
        <v>-607</v>
      </c>
      <c r="BW107" s="73">
        <f t="shared" si="244"/>
        <v>1644</v>
      </c>
      <c r="BX107" s="73">
        <f t="shared" si="244"/>
        <v>2008</v>
      </c>
      <c r="BY107" s="73">
        <f t="shared" ref="BY107:CD107" si="245">BY103-BY104-BY105+BY106</f>
        <v>2596</v>
      </c>
      <c r="BZ107" s="73">
        <f t="shared" si="245"/>
        <v>1594</v>
      </c>
      <c r="CA107" s="73">
        <f t="shared" si="245"/>
        <v>683.7839999999992</v>
      </c>
      <c r="CB107" s="73">
        <f t="shared" si="245"/>
        <v>2109.9889666666672</v>
      </c>
      <c r="CC107" s="73">
        <f t="shared" si="245"/>
        <v>2186.9309505555548</v>
      </c>
      <c r="CD107" s="73">
        <f t="shared" si="245"/>
        <v>1866.8755516574076</v>
      </c>
      <c r="CM107" s="73">
        <v>6445</v>
      </c>
      <c r="CN107" s="73">
        <v>5756</v>
      </c>
      <c r="CO107" s="73">
        <v>6874</v>
      </c>
      <c r="CP107" s="73">
        <f>CP103-CP104-CP105+CP106</f>
        <v>7808</v>
      </c>
      <c r="CQ107" s="73">
        <f>CQ103-CQ104-CQ105+CQ106</f>
        <v>7980</v>
      </c>
      <c r="CR107" s="73">
        <f>CR103-CR104-CR105+CR106</f>
        <v>8259</v>
      </c>
      <c r="CS107" s="73">
        <f>CS103-CS104-CS105+CS106</f>
        <v>9512</v>
      </c>
      <c r="CT107" s="73">
        <f t="shared" ref="CT107:DA107" si="246">CT103-CT104-CT105</f>
        <v>8646.7000000000007</v>
      </c>
      <c r="CU107" s="73">
        <f t="shared" si="246"/>
        <v>7886.4157727884558</v>
      </c>
      <c r="CV107" s="73">
        <f t="shared" si="246"/>
        <v>7922.5059965560849</v>
      </c>
      <c r="CW107" s="73">
        <f t="shared" si="246"/>
        <v>10775.45003156918</v>
      </c>
      <c r="CX107" s="73">
        <f t="shared" si="246"/>
        <v>10580.68201776221</v>
      </c>
      <c r="CY107" s="73">
        <f t="shared" si="246"/>
        <v>10169.196611780646</v>
      </c>
      <c r="CZ107" s="73">
        <f t="shared" si="246"/>
        <v>10011.072100066336</v>
      </c>
      <c r="DA107" s="73">
        <f t="shared" si="246"/>
        <v>-7220.0512322052227</v>
      </c>
      <c r="DB107" s="73">
        <f t="shared" ref="DB107:DC107" si="247">DB103-DB104-DB105</f>
        <v>-7220.0512322052227</v>
      </c>
      <c r="DC107" s="73">
        <f t="shared" si="247"/>
        <v>0</v>
      </c>
      <c r="DD107" s="73">
        <f>DD103-DD104-DD105+DD106</f>
        <v>-1883</v>
      </c>
      <c r="DE107" s="73">
        <f>DE103-DE104-DE105+DE106</f>
        <v>904</v>
      </c>
      <c r="DF107" s="73">
        <f>DF103-DF104-DF105+DF106</f>
        <v>7842</v>
      </c>
      <c r="DG107" s="73">
        <f t="shared" ref="DG107:DS107" si="248">DG103-DG104-DG105</f>
        <v>12407.236610138891</v>
      </c>
      <c r="DH107" s="73">
        <f t="shared" si="248"/>
        <v>12232.438676902777</v>
      </c>
      <c r="DI107" s="73">
        <f t="shared" si="248"/>
        <v>12352.310663268056</v>
      </c>
      <c r="DJ107" s="73">
        <f t="shared" si="248"/>
        <v>12424.56826293736</v>
      </c>
      <c r="DK107" s="73">
        <f t="shared" si="248"/>
        <v>11940.648068078815</v>
      </c>
      <c r="DL107" s="73">
        <f t="shared" si="248"/>
        <v>9857.2745746307628</v>
      </c>
      <c r="DM107" s="73">
        <f t="shared" si="248"/>
        <v>9653.8424444401717</v>
      </c>
      <c r="DN107" s="73">
        <f t="shared" si="248"/>
        <v>9625.6020035739493</v>
      </c>
      <c r="DO107" s="73">
        <f t="shared" si="248"/>
        <v>9653.9235246556054</v>
      </c>
      <c r="DP107" s="73">
        <f t="shared" si="248"/>
        <v>9289.6060680964183</v>
      </c>
      <c r="DQ107" s="73">
        <f t="shared" si="248"/>
        <v>9304.8429017061844</v>
      </c>
      <c r="DR107" s="73">
        <f t="shared" si="248"/>
        <v>9383.7009606121428</v>
      </c>
      <c r="DS107" s="73">
        <f t="shared" si="248"/>
        <v>9493.3079090166575</v>
      </c>
    </row>
    <row r="108" spans="2:193" x14ac:dyDescent="0.2">
      <c r="B108" s="65" t="s">
        <v>450</v>
      </c>
      <c r="C108" s="151">
        <f>-41+14-21-2</f>
        <v>-50</v>
      </c>
      <c r="D108" s="151">
        <f>-46-25</f>
        <v>-71</v>
      </c>
      <c r="E108" s="151">
        <v>-60</v>
      </c>
      <c r="F108" s="151">
        <v>-39</v>
      </c>
      <c r="G108" s="73">
        <v>-49</v>
      </c>
      <c r="H108" s="73">
        <v>-59</v>
      </c>
      <c r="I108" s="73">
        <v>-46</v>
      </c>
      <c r="J108" s="73">
        <v>-40</v>
      </c>
      <c r="K108" s="73">
        <f>73-92+15</f>
        <v>-4</v>
      </c>
      <c r="L108" s="73">
        <f>67-93+12</f>
        <v>-14</v>
      </c>
      <c r="M108" s="73">
        <f>64-81</f>
        <v>-17</v>
      </c>
      <c r="N108" s="73">
        <v>10</v>
      </c>
      <c r="O108" s="73">
        <f>58-96</f>
        <v>-38</v>
      </c>
      <c r="P108" s="73">
        <f>77-121</f>
        <v>-44</v>
      </c>
      <c r="Q108" s="73">
        <f>75-117</f>
        <v>-42</v>
      </c>
      <c r="R108" s="73">
        <f>52-119-10</f>
        <v>-77</v>
      </c>
      <c r="S108" s="73">
        <f>82-169</f>
        <v>-87</v>
      </c>
      <c r="T108" s="73">
        <f>96-214+15</f>
        <v>-103</v>
      </c>
      <c r="U108" s="73">
        <f>98-218+16</f>
        <v>-104</v>
      </c>
      <c r="V108" s="73">
        <f>37-238+18</f>
        <v>-183</v>
      </c>
      <c r="W108" s="73">
        <f>28-202+115+14</f>
        <v>-45</v>
      </c>
      <c r="X108" s="73">
        <f>18-166+17</f>
        <v>-131</v>
      </c>
      <c r="Y108" s="73">
        <f>19-199+22</f>
        <v>-158</v>
      </c>
      <c r="Z108" s="73">
        <f>5-213+11</f>
        <v>-197</v>
      </c>
      <c r="AA108" s="73">
        <f>17-204+25</f>
        <v>-162</v>
      </c>
      <c r="AB108" s="73">
        <f>19-188+22</f>
        <v>-147</v>
      </c>
      <c r="AC108" s="73">
        <f>-196+16+22</f>
        <v>-158</v>
      </c>
      <c r="AD108" s="73">
        <f>58-240+18</f>
        <v>-164</v>
      </c>
      <c r="AE108" s="73">
        <f>19-193+19</f>
        <v>-155</v>
      </c>
      <c r="AF108" s="73">
        <f>23-211+2</f>
        <v>-186</v>
      </c>
      <c r="AG108" s="73">
        <f>19-190-2</f>
        <v>-173</v>
      </c>
      <c r="AH108" s="73">
        <f>29-203+1-4</f>
        <v>-177</v>
      </c>
      <c r="AI108" s="73">
        <f>66-234+10</f>
        <v>-158</v>
      </c>
      <c r="AR108" s="73">
        <f>18-177+8</f>
        <v>-151</v>
      </c>
      <c r="BN108" s="73">
        <f>-197+4</f>
        <v>-193</v>
      </c>
      <c r="BO108" s="73">
        <f>-187+9</f>
        <v>-178</v>
      </c>
      <c r="BP108" s="73">
        <f>1-229+19</f>
        <v>-209</v>
      </c>
      <c r="BQ108" s="73">
        <f>-197+11</f>
        <v>-186</v>
      </c>
      <c r="BR108" s="73">
        <f>-233-6</f>
        <v>-239</v>
      </c>
      <c r="BS108" s="73">
        <f>-190+16</f>
        <v>-174</v>
      </c>
      <c r="BT108" s="73">
        <f>-185+16</f>
        <v>-169</v>
      </c>
      <c r="BU108" s="73">
        <f>7-200+3</f>
        <v>-190</v>
      </c>
      <c r="BV108" s="73">
        <f>-186-2</f>
        <v>-188</v>
      </c>
      <c r="BW108" s="73">
        <v>-203</v>
      </c>
      <c r="BX108" s="73">
        <f>-181-2</f>
        <v>-183</v>
      </c>
      <c r="BY108" s="73">
        <f>-177-1</f>
        <v>-178</v>
      </c>
      <c r="BZ108" s="73">
        <f>-235+2</f>
        <v>-233</v>
      </c>
      <c r="CM108" s="73">
        <v>-153</v>
      </c>
      <c r="CN108" s="73">
        <v>-186</v>
      </c>
      <c r="CO108" s="73">
        <v>-194</v>
      </c>
      <c r="CP108" s="73">
        <f>287-352+56</f>
        <v>-9</v>
      </c>
      <c r="CQ108" s="73">
        <f>SUM(O108:R108)</f>
        <v>-201</v>
      </c>
      <c r="CR108" s="73">
        <f>SUM(S108:V108)</f>
        <v>-477</v>
      </c>
      <c r="CS108" s="73">
        <f>SUM(W108:Z108)</f>
        <v>-531</v>
      </c>
      <c r="CT108" s="73">
        <f>CS130*$DV$116</f>
        <v>-85.02</v>
      </c>
      <c r="CU108" s="73">
        <f>CT130*$DV$116</f>
        <v>-85.52</v>
      </c>
      <c r="CV108" s="73"/>
      <c r="CW108" s="73"/>
      <c r="CX108" s="73"/>
      <c r="CY108" s="73"/>
      <c r="CZ108" s="73"/>
      <c r="DA108" s="73"/>
      <c r="DB108" s="73"/>
      <c r="DC108" s="73"/>
      <c r="DD108" s="146">
        <f>SUM(BO108:BR108)</f>
        <v>-812</v>
      </c>
      <c r="DE108" s="146">
        <f>SUM(BS108:BV108)</f>
        <v>-721</v>
      </c>
      <c r="DF108" s="146">
        <f t="shared" si="232"/>
        <v>-797</v>
      </c>
      <c r="DG108" s="73">
        <f>+DF130*$DV$116</f>
        <v>-88.311620000000005</v>
      </c>
      <c r="DH108" s="73">
        <f t="shared" ref="DH108:DS108" si="249">+DG130*$DV$116</f>
        <v>4.0803174260416748</v>
      </c>
      <c r="DI108" s="73">
        <f t="shared" si="249"/>
        <v>95.854209883507806</v>
      </c>
      <c r="DJ108" s="73">
        <f t="shared" si="249"/>
        <v>189.21544643214452</v>
      </c>
      <c r="DK108" s="73">
        <f t="shared" si="249"/>
        <v>283.81882425241582</v>
      </c>
      <c r="DL108" s="73">
        <f t="shared" si="249"/>
        <v>375.50232594490006</v>
      </c>
      <c r="DM108" s="73">
        <f t="shared" si="249"/>
        <v>452.24815269921754</v>
      </c>
      <c r="DN108" s="73">
        <f t="shared" si="249"/>
        <v>528.04383217776297</v>
      </c>
      <c r="DO108" s="73">
        <f t="shared" si="249"/>
        <v>604.19617594590079</v>
      </c>
      <c r="DP108" s="73">
        <f t="shared" si="249"/>
        <v>681.13207370041221</v>
      </c>
      <c r="DQ108" s="73">
        <f t="shared" si="249"/>
        <v>755.91260976388833</v>
      </c>
      <c r="DR108" s="73">
        <f t="shared" si="249"/>
        <v>831.36827609991394</v>
      </c>
      <c r="DS108" s="73">
        <f t="shared" si="249"/>
        <v>907.98129537525438</v>
      </c>
    </row>
    <row r="109" spans="2:193" x14ac:dyDescent="0.2">
      <c r="B109" s="65" t="s">
        <v>415</v>
      </c>
      <c r="C109" s="151">
        <f>C107+C108</f>
        <v>2133</v>
      </c>
      <c r="D109" s="151">
        <f>D107+D108</f>
        <v>2212</v>
      </c>
      <c r="E109" s="151">
        <v>1451</v>
      </c>
      <c r="F109" s="151">
        <v>1322</v>
      </c>
      <c r="G109" s="73">
        <v>1711</v>
      </c>
      <c r="H109" s="73">
        <v>1662</v>
      </c>
      <c r="I109" s="73">
        <v>1753</v>
      </c>
      <c r="J109" s="73">
        <v>1606</v>
      </c>
      <c r="K109" s="73">
        <f>K108+K107</f>
        <v>2170</v>
      </c>
      <c r="L109" s="73">
        <f>L108+L107</f>
        <v>1897</v>
      </c>
      <c r="M109" s="73">
        <f>M108+M107</f>
        <v>2022</v>
      </c>
      <c r="N109" s="73">
        <f>N107+N108</f>
        <v>1710</v>
      </c>
      <c r="O109" s="73">
        <f>O107+O108</f>
        <v>2143</v>
      </c>
      <c r="P109" s="73">
        <f>P107+P108</f>
        <v>1896</v>
      </c>
      <c r="Q109" s="73">
        <f>Q108+Q107</f>
        <v>1882</v>
      </c>
      <c r="R109" s="73">
        <f t="shared" ref="R109:AI109" si="250">R107+R108</f>
        <v>1858</v>
      </c>
      <c r="S109" s="73">
        <f t="shared" si="250"/>
        <v>1961</v>
      </c>
      <c r="T109" s="73">
        <f t="shared" si="250"/>
        <v>2023</v>
      </c>
      <c r="U109" s="73">
        <f t="shared" si="250"/>
        <v>1875</v>
      </c>
      <c r="V109" s="73">
        <f t="shared" si="250"/>
        <v>1923</v>
      </c>
      <c r="W109" s="73">
        <f t="shared" si="250"/>
        <v>1931</v>
      </c>
      <c r="X109" s="73">
        <f t="shared" si="250"/>
        <v>2250</v>
      </c>
      <c r="Y109" s="73">
        <f>Y107+Y108</f>
        <v>2065</v>
      </c>
      <c r="Z109" s="73">
        <f t="shared" si="250"/>
        <v>2480</v>
      </c>
      <c r="AA109" s="73">
        <f>AA107+AA108</f>
        <v>2233</v>
      </c>
      <c r="AB109" s="73">
        <f t="shared" si="250"/>
        <v>2064</v>
      </c>
      <c r="AC109" s="73">
        <f t="shared" si="250"/>
        <v>2048</v>
      </c>
      <c r="AD109" s="73">
        <f>AD107+AD108</f>
        <v>1964</v>
      </c>
      <c r="AE109" s="73">
        <f>AE107+AE108</f>
        <v>2015</v>
      </c>
      <c r="AF109" s="73">
        <f t="shared" si="250"/>
        <v>1783</v>
      </c>
      <c r="AG109" s="73">
        <f t="shared" si="250"/>
        <v>2006</v>
      </c>
      <c r="AH109" s="73">
        <f t="shared" si="250"/>
        <v>1902</v>
      </c>
      <c r="AI109" s="73">
        <f t="shared" si="250"/>
        <v>1879</v>
      </c>
      <c r="AR109" s="73">
        <f>+AR108+AR107</f>
        <v>986</v>
      </c>
      <c r="BN109" s="73">
        <f>+BN107+BN108</f>
        <v>1659</v>
      </c>
      <c r="BO109" s="73">
        <f>+BO107+BO108</f>
        <v>-392</v>
      </c>
      <c r="BP109" s="73">
        <f>+BP107+BP108</f>
        <v>-1440</v>
      </c>
      <c r="BQ109" s="73">
        <f>+BQ107+BQ108</f>
        <v>-19</v>
      </c>
      <c r="BR109" s="73">
        <f t="shared" ref="BR109:BX109" si="251">BR107+BR108</f>
        <v>-844</v>
      </c>
      <c r="BS109" s="73">
        <f t="shared" si="251"/>
        <v>-625</v>
      </c>
      <c r="BT109" s="73">
        <f t="shared" si="251"/>
        <v>1431</v>
      </c>
      <c r="BU109" s="73">
        <f t="shared" si="251"/>
        <v>172</v>
      </c>
      <c r="BV109" s="73">
        <f t="shared" si="251"/>
        <v>-795</v>
      </c>
      <c r="BW109" s="73">
        <f t="shared" si="251"/>
        <v>1441</v>
      </c>
      <c r="BX109" s="73">
        <f t="shared" si="251"/>
        <v>1825</v>
      </c>
      <c r="BY109" s="73">
        <f t="shared" ref="BY109:CD109" si="252">BY107+BY108</f>
        <v>2418</v>
      </c>
      <c r="BZ109" s="73">
        <f t="shared" si="252"/>
        <v>1361</v>
      </c>
      <c r="CA109" s="73">
        <f t="shared" si="252"/>
        <v>683.7839999999992</v>
      </c>
      <c r="CB109" s="73">
        <f t="shared" si="252"/>
        <v>2109.9889666666672</v>
      </c>
      <c r="CC109" s="73">
        <f t="shared" si="252"/>
        <v>2186.9309505555548</v>
      </c>
      <c r="CD109" s="73">
        <f t="shared" si="252"/>
        <v>1866.8755516574076</v>
      </c>
      <c r="CM109" s="73">
        <v>6349</v>
      </c>
      <c r="CN109" s="73">
        <v>5779</v>
      </c>
      <c r="CO109" s="73">
        <v>6732</v>
      </c>
      <c r="CP109" s="73">
        <f>CP107+CP108</f>
        <v>7799</v>
      </c>
      <c r="CQ109" s="73">
        <f>CQ107+CQ108</f>
        <v>7779</v>
      </c>
      <c r="CR109" s="73">
        <f>CR107+CR108</f>
        <v>7782</v>
      </c>
      <c r="CS109" s="73">
        <f>CS107+CS108</f>
        <v>8981</v>
      </c>
      <c r="CT109" s="73">
        <f t="shared" ref="CT109:CY109" si="253">CT107+CT108</f>
        <v>8561.68</v>
      </c>
      <c r="CU109" s="73">
        <f>CU107+CU108</f>
        <v>7800.8957727884554</v>
      </c>
      <c r="CV109" s="73">
        <f t="shared" si="253"/>
        <v>7922.5059965560849</v>
      </c>
      <c r="CW109" s="73">
        <f t="shared" si="253"/>
        <v>10775.45003156918</v>
      </c>
      <c r="CX109" s="73">
        <f t="shared" si="253"/>
        <v>10580.68201776221</v>
      </c>
      <c r="CY109" s="73">
        <f t="shared" si="253"/>
        <v>10169.196611780646</v>
      </c>
      <c r="CZ109" s="73">
        <f>CZ107+CZ108</f>
        <v>10011.072100066336</v>
      </c>
      <c r="DA109" s="73">
        <f>DA107+DA108</f>
        <v>-7220.0512322052227</v>
      </c>
      <c r="DB109" s="73">
        <f t="shared" ref="DB109:DC109" si="254">DB107+DB108</f>
        <v>-7220.0512322052227</v>
      </c>
      <c r="DC109" s="73">
        <f t="shared" si="254"/>
        <v>0</v>
      </c>
      <c r="DD109" s="73">
        <f>DD107+DD108</f>
        <v>-2695</v>
      </c>
      <c r="DE109" s="73">
        <f>DE107+DE108</f>
        <v>183</v>
      </c>
      <c r="DF109" s="73">
        <f>DF107+DF108</f>
        <v>7045</v>
      </c>
      <c r="DG109" s="73">
        <f t="shared" ref="DG109:DS109" si="255">DG107+DG108</f>
        <v>12318.92499013889</v>
      </c>
      <c r="DH109" s="73">
        <f t="shared" si="255"/>
        <v>12236.518994328819</v>
      </c>
      <c r="DI109" s="73">
        <f t="shared" si="255"/>
        <v>12448.164873151563</v>
      </c>
      <c r="DJ109" s="73">
        <f t="shared" si="255"/>
        <v>12613.783709369505</v>
      </c>
      <c r="DK109" s="73">
        <f t="shared" si="255"/>
        <v>12224.466892331231</v>
      </c>
      <c r="DL109" s="73">
        <f t="shared" si="255"/>
        <v>10232.776900575664</v>
      </c>
      <c r="DM109" s="73">
        <f t="shared" si="255"/>
        <v>10106.09059713939</v>
      </c>
      <c r="DN109" s="73">
        <f t="shared" si="255"/>
        <v>10153.645835751713</v>
      </c>
      <c r="DO109" s="73">
        <f t="shared" si="255"/>
        <v>10258.119700601506</v>
      </c>
      <c r="DP109" s="73">
        <f t="shared" si="255"/>
        <v>9970.73814179683</v>
      </c>
      <c r="DQ109" s="73">
        <f t="shared" si="255"/>
        <v>10060.755511470074</v>
      </c>
      <c r="DR109" s="73">
        <f t="shared" si="255"/>
        <v>10215.069236712057</v>
      </c>
      <c r="DS109" s="73">
        <f t="shared" si="255"/>
        <v>10401.289204391913</v>
      </c>
    </row>
    <row r="110" spans="2:193" x14ac:dyDescent="0.2">
      <c r="B110" s="112" t="s">
        <v>1398</v>
      </c>
      <c r="C110" s="151">
        <v>406</v>
      </c>
      <c r="D110" s="151">
        <v>426</v>
      </c>
      <c r="E110" s="151">
        <v>-404</v>
      </c>
      <c r="F110" s="151">
        <v>-521</v>
      </c>
      <c r="G110" s="73">
        <v>-488</v>
      </c>
      <c r="H110" s="73">
        <v>-473</v>
      </c>
      <c r="I110" s="73">
        <v>-500</v>
      </c>
      <c r="J110" s="73">
        <v>-455</v>
      </c>
      <c r="K110" s="73">
        <f>640+28</f>
        <v>668</v>
      </c>
      <c r="L110" s="73">
        <f>560+22</f>
        <v>582</v>
      </c>
      <c r="M110" s="73">
        <v>596</v>
      </c>
      <c r="N110" s="73">
        <v>505</v>
      </c>
      <c r="O110" s="73">
        <f>610+19</f>
        <v>629</v>
      </c>
      <c r="P110" s="73">
        <f>541+22</f>
        <v>563</v>
      </c>
      <c r="Q110" s="73">
        <f>536+36</f>
        <v>572</v>
      </c>
      <c r="R110" s="73">
        <v>532</v>
      </c>
      <c r="S110" s="73">
        <f>563+25</f>
        <v>588</v>
      </c>
      <c r="T110" s="73">
        <f>577+21</f>
        <v>598</v>
      </c>
      <c r="U110" s="73">
        <f>559+29</f>
        <v>588</v>
      </c>
      <c r="V110" s="73">
        <f>532+35</f>
        <v>567</v>
      </c>
      <c r="W110" s="73">
        <f>560+38</f>
        <v>598</v>
      </c>
      <c r="X110" s="73">
        <f>652+26</f>
        <v>678</v>
      </c>
      <c r="Y110" s="73">
        <f>585+36</f>
        <v>621</v>
      </c>
      <c r="Z110" s="73">
        <f>646+38</f>
        <v>684</v>
      </c>
      <c r="AA110" s="73">
        <f>618+55</f>
        <v>673</v>
      </c>
      <c r="AB110" s="73">
        <f>312+52</f>
        <v>364</v>
      </c>
      <c r="AC110" s="73">
        <f>480+55</f>
        <v>535</v>
      </c>
      <c r="AD110" s="73">
        <v>450</v>
      </c>
      <c r="AE110" s="73">
        <v>901</v>
      </c>
      <c r="AF110" s="73">
        <f>475+41</f>
        <v>516</v>
      </c>
      <c r="AG110" s="73">
        <f>515+65</f>
        <v>580</v>
      </c>
      <c r="AH110" s="73">
        <f>463+32</f>
        <v>495</v>
      </c>
      <c r="AI110" s="73">
        <f>489+65</f>
        <v>554</v>
      </c>
      <c r="AR110" s="73">
        <v>284</v>
      </c>
      <c r="BN110" s="73">
        <f>207+225</f>
        <v>432</v>
      </c>
      <c r="BO110" s="73">
        <f>342+282</f>
        <v>624</v>
      </c>
      <c r="BP110" s="73">
        <f>201+177</f>
        <v>378</v>
      </c>
      <c r="BQ110" s="73">
        <f>417+287</f>
        <v>704</v>
      </c>
      <c r="BR110" s="73">
        <f>220+195</f>
        <v>415</v>
      </c>
      <c r="BS110" s="73">
        <f>318+246</f>
        <v>564</v>
      </c>
      <c r="BT110" s="73">
        <f>244+99</f>
        <v>343</v>
      </c>
      <c r="BU110" s="73">
        <f>554+296</f>
        <v>850</v>
      </c>
      <c r="BV110" s="73">
        <f>177+248</f>
        <v>425</v>
      </c>
      <c r="BW110" s="73">
        <f>431+333</f>
        <v>764</v>
      </c>
      <c r="BX110" s="73">
        <f>277+150</f>
        <v>427</v>
      </c>
      <c r="BY110" s="73">
        <v>402</v>
      </c>
      <c r="BZ110" s="73">
        <f>172+149</f>
        <v>321</v>
      </c>
      <c r="CA110" s="73">
        <f t="shared" ref="CA110:CD110" si="256">+CA109*0.25</f>
        <v>170.9459999999998</v>
      </c>
      <c r="CB110" s="73">
        <f t="shared" si="256"/>
        <v>527.49724166666681</v>
      </c>
      <c r="CC110" s="73">
        <f t="shared" si="256"/>
        <v>546.73273763888869</v>
      </c>
      <c r="CD110" s="73">
        <f t="shared" si="256"/>
        <v>466.71888791435191</v>
      </c>
      <c r="CM110" s="73">
        <v>-1760</v>
      </c>
      <c r="CN110" s="73">
        <v>-1757</v>
      </c>
      <c r="CO110" s="73">
        <v>-1916</v>
      </c>
      <c r="CP110" s="73">
        <f>2301+109</f>
        <v>2410</v>
      </c>
      <c r="CQ110" s="73">
        <f>SUM(O110:R110)</f>
        <v>2296</v>
      </c>
      <c r="CR110" s="73">
        <f>SUM(S110:V110)</f>
        <v>2341</v>
      </c>
      <c r="CS110" s="73">
        <f>SUM(W110:Z110)</f>
        <v>2581</v>
      </c>
      <c r="CT110" s="73">
        <f t="shared" ref="CT110:CY110" si="257">CT109*0.25</f>
        <v>2140.42</v>
      </c>
      <c r="CU110" s="73">
        <f>CU109*0.25</f>
        <v>1950.2239431971138</v>
      </c>
      <c r="CV110" s="73">
        <f t="shared" si="257"/>
        <v>1980.6264991390212</v>
      </c>
      <c r="CW110" s="73">
        <f t="shared" si="257"/>
        <v>2693.8625078922951</v>
      </c>
      <c r="CX110" s="73">
        <f t="shared" si="257"/>
        <v>2645.1705044405526</v>
      </c>
      <c r="CY110" s="73">
        <f t="shared" si="257"/>
        <v>2542.2991529451615</v>
      </c>
      <c r="CZ110" s="73">
        <f>CZ109*0.25</f>
        <v>2502.768025016584</v>
      </c>
      <c r="DA110" s="73">
        <f>DA109*0.25</f>
        <v>-1805.0128080513057</v>
      </c>
      <c r="DB110" s="73">
        <f t="shared" ref="DB110:DC110" si="258">DB109*0.25</f>
        <v>-1805.0128080513057</v>
      </c>
      <c r="DC110" s="73">
        <f t="shared" si="258"/>
        <v>0</v>
      </c>
      <c r="DD110" s="146">
        <f>SUM(BO110:BR110)</f>
        <v>2121</v>
      </c>
      <c r="DE110" s="146">
        <f>SUM(BS110:BV110)</f>
        <v>2182</v>
      </c>
      <c r="DF110" s="146">
        <f t="shared" si="232"/>
        <v>1914</v>
      </c>
      <c r="DG110" s="73">
        <f t="shared" ref="DG110:DS110" si="259">DG109*0.25</f>
        <v>3079.7312475347226</v>
      </c>
      <c r="DH110" s="73">
        <f t="shared" si="259"/>
        <v>3059.1297485822047</v>
      </c>
      <c r="DI110" s="73">
        <f t="shared" si="259"/>
        <v>3112.0412182878908</v>
      </c>
      <c r="DJ110" s="73">
        <f t="shared" si="259"/>
        <v>3153.4459273423763</v>
      </c>
      <c r="DK110" s="73">
        <f t="shared" si="259"/>
        <v>3056.1167230828078</v>
      </c>
      <c r="DL110" s="73">
        <f t="shared" si="259"/>
        <v>2558.1942251439159</v>
      </c>
      <c r="DM110" s="73">
        <f t="shared" si="259"/>
        <v>2526.5226492848474</v>
      </c>
      <c r="DN110" s="73">
        <f t="shared" si="259"/>
        <v>2538.4114589379283</v>
      </c>
      <c r="DO110" s="73">
        <f t="shared" si="259"/>
        <v>2564.5299251503766</v>
      </c>
      <c r="DP110" s="73">
        <f t="shared" si="259"/>
        <v>2492.6845354492075</v>
      </c>
      <c r="DQ110" s="73">
        <f t="shared" si="259"/>
        <v>2515.1888778675184</v>
      </c>
      <c r="DR110" s="73">
        <f t="shared" si="259"/>
        <v>2553.7673091780143</v>
      </c>
      <c r="DS110" s="73">
        <f t="shared" si="259"/>
        <v>2600.3223010979782</v>
      </c>
    </row>
    <row r="111" spans="2:193" x14ac:dyDescent="0.2">
      <c r="B111" s="65" t="s">
        <v>417</v>
      </c>
      <c r="C111" s="151">
        <f>C109-C110</f>
        <v>1727</v>
      </c>
      <c r="D111" s="151">
        <f>D109-D110</f>
        <v>1786</v>
      </c>
      <c r="E111" s="151">
        <v>1047</v>
      </c>
      <c r="F111" s="151">
        <v>801</v>
      </c>
      <c r="G111" s="73">
        <v>1223</v>
      </c>
      <c r="H111" s="73">
        <v>1189</v>
      </c>
      <c r="I111" s="73">
        <v>1253</v>
      </c>
      <c r="J111" s="73">
        <v>1151</v>
      </c>
      <c r="K111" s="73">
        <f>K109-K110</f>
        <v>1502</v>
      </c>
      <c r="L111" s="73">
        <f>L109-L110</f>
        <v>1315</v>
      </c>
      <c r="M111" s="73">
        <f>M109-M110</f>
        <v>1426</v>
      </c>
      <c r="N111" s="73">
        <f t="shared" ref="N111:AH111" si="260">N109-N110</f>
        <v>1205</v>
      </c>
      <c r="O111" s="73">
        <f>O109-O110-19</f>
        <v>1495</v>
      </c>
      <c r="P111" s="73">
        <f>P109-P110-22</f>
        <v>1311</v>
      </c>
      <c r="Q111" s="73">
        <f t="shared" si="260"/>
        <v>1310</v>
      </c>
      <c r="R111" s="73">
        <f t="shared" si="260"/>
        <v>1326</v>
      </c>
      <c r="S111" s="73">
        <f>S109-S110-25</f>
        <v>1348</v>
      </c>
      <c r="T111" s="73">
        <f>T109-T110-21</f>
        <v>1404</v>
      </c>
      <c r="U111" s="73">
        <f>U109-U110</f>
        <v>1287</v>
      </c>
      <c r="V111" s="73">
        <f t="shared" si="260"/>
        <v>1356</v>
      </c>
      <c r="W111" s="73">
        <f t="shared" si="260"/>
        <v>1333</v>
      </c>
      <c r="X111" s="73">
        <f>X109-X110</f>
        <v>1572</v>
      </c>
      <c r="Y111" s="73">
        <f>Y109-Y110</f>
        <v>1444</v>
      </c>
      <c r="Z111" s="73">
        <f t="shared" si="260"/>
        <v>1796</v>
      </c>
      <c r="AA111" s="73">
        <f>AA109-AA110</f>
        <v>1560</v>
      </c>
      <c r="AB111" s="73">
        <f t="shared" si="260"/>
        <v>1700</v>
      </c>
      <c r="AC111" s="73">
        <f t="shared" si="260"/>
        <v>1513</v>
      </c>
      <c r="AD111" s="73">
        <f>AD109-AD110</f>
        <v>1514</v>
      </c>
      <c r="AE111" s="73">
        <f>AE109-AE110</f>
        <v>1114</v>
      </c>
      <c r="AF111" s="73">
        <f t="shared" si="260"/>
        <v>1267</v>
      </c>
      <c r="AG111" s="73">
        <f t="shared" si="260"/>
        <v>1426</v>
      </c>
      <c r="AH111" s="73">
        <f t="shared" si="260"/>
        <v>1407</v>
      </c>
      <c r="AI111" s="73">
        <f t="shared" ref="AI111" si="261">AI109-AI110</f>
        <v>1325</v>
      </c>
      <c r="AR111" s="73">
        <f>+AR109-AR110</f>
        <v>702</v>
      </c>
      <c r="BN111" s="73">
        <f>+BN109-BN110</f>
        <v>1227</v>
      </c>
      <c r="BO111" s="73">
        <f>+BO109-BO110</f>
        <v>-1016</v>
      </c>
      <c r="BP111" s="73">
        <f>+BP109-BP110</f>
        <v>-1818</v>
      </c>
      <c r="BQ111" s="73">
        <f>+BQ109-BQ110</f>
        <v>-723</v>
      </c>
      <c r="BR111" s="73">
        <f t="shared" ref="BR111:BX111" si="262">BR109-BR110</f>
        <v>-1259</v>
      </c>
      <c r="BS111" s="73">
        <f t="shared" si="262"/>
        <v>-1189</v>
      </c>
      <c r="BT111" s="73">
        <f t="shared" si="262"/>
        <v>1088</v>
      </c>
      <c r="BU111" s="73">
        <f t="shared" si="262"/>
        <v>-678</v>
      </c>
      <c r="BV111" s="73">
        <f t="shared" si="262"/>
        <v>-1220</v>
      </c>
      <c r="BW111" s="73">
        <f t="shared" si="262"/>
        <v>677</v>
      </c>
      <c r="BX111" s="73">
        <f t="shared" si="262"/>
        <v>1398</v>
      </c>
      <c r="BY111" s="73">
        <f t="shared" ref="BY111:CD111" si="263">BY109-BY110</f>
        <v>2016</v>
      </c>
      <c r="BZ111" s="73">
        <f t="shared" si="263"/>
        <v>1040</v>
      </c>
      <c r="CA111" s="73">
        <f t="shared" si="263"/>
        <v>512.8379999999994</v>
      </c>
      <c r="CB111" s="73">
        <f t="shared" si="263"/>
        <v>1582.4917250000003</v>
      </c>
      <c r="CC111" s="73">
        <f t="shared" si="263"/>
        <v>1640.1982129166661</v>
      </c>
      <c r="CD111" s="73">
        <f t="shared" si="263"/>
        <v>1400.1566637430558</v>
      </c>
      <c r="CM111" s="73">
        <v>4589</v>
      </c>
      <c r="CN111" s="73">
        <v>4022</v>
      </c>
      <c r="CO111" s="73">
        <v>4816</v>
      </c>
      <c r="CP111" s="73">
        <f t="shared" ref="CP111:CU111" si="264">CP109-CP110</f>
        <v>5389</v>
      </c>
      <c r="CQ111" s="73">
        <f t="shared" si="264"/>
        <v>5483</v>
      </c>
      <c r="CR111" s="73">
        <f t="shared" si="264"/>
        <v>5441</v>
      </c>
      <c r="CS111" s="73">
        <f>CS109-CS110</f>
        <v>6400</v>
      </c>
      <c r="CT111" s="73">
        <f t="shared" si="264"/>
        <v>6421.26</v>
      </c>
      <c r="CU111" s="73">
        <f t="shared" si="264"/>
        <v>5850.6718295913415</v>
      </c>
      <c r="CV111" s="73">
        <f t="shared" ref="CV111:DC111" si="265">CV109-CV110</f>
        <v>5941.8794974170632</v>
      </c>
      <c r="CW111" s="73">
        <f t="shared" si="265"/>
        <v>8081.5875236768852</v>
      </c>
      <c r="CX111" s="73">
        <f t="shared" si="265"/>
        <v>7935.5115133216577</v>
      </c>
      <c r="CY111" s="73">
        <f t="shared" si="265"/>
        <v>7626.8974588354849</v>
      </c>
      <c r="CZ111" s="73">
        <f t="shared" si="265"/>
        <v>7508.3040750497521</v>
      </c>
      <c r="DA111" s="73">
        <f t="shared" si="265"/>
        <v>-5415.0384241539168</v>
      </c>
      <c r="DB111" s="73">
        <f t="shared" si="265"/>
        <v>-5415.0384241539168</v>
      </c>
      <c r="DC111" s="73">
        <f t="shared" si="265"/>
        <v>0</v>
      </c>
      <c r="DD111" s="73">
        <f>DD109-DD110</f>
        <v>-4816</v>
      </c>
      <c r="DE111" s="73">
        <f>DE109-DE110</f>
        <v>-1999</v>
      </c>
      <c r="DF111" s="73">
        <f>DF109-DF110</f>
        <v>5131</v>
      </c>
      <c r="DG111" s="73">
        <f t="shared" ref="DG111" si="266">DG109-DG110</f>
        <v>9239.1937426041677</v>
      </c>
      <c r="DH111" s="73">
        <f t="shared" ref="DH111" si="267">DH109-DH110</f>
        <v>9177.3892457466136</v>
      </c>
      <c r="DI111" s="73">
        <f t="shared" ref="DI111:DS111" si="268">DI109-DI110</f>
        <v>9336.1236548636734</v>
      </c>
      <c r="DJ111" s="73">
        <f t="shared" si="268"/>
        <v>9460.3377820271289</v>
      </c>
      <c r="DK111" s="73">
        <f t="shared" si="268"/>
        <v>9168.3501692484242</v>
      </c>
      <c r="DL111" s="73">
        <f t="shared" si="268"/>
        <v>7674.5826754317477</v>
      </c>
      <c r="DM111" s="73">
        <f t="shared" si="268"/>
        <v>7579.5679478545426</v>
      </c>
      <c r="DN111" s="73">
        <f t="shared" si="268"/>
        <v>7615.2343768137853</v>
      </c>
      <c r="DO111" s="73">
        <f t="shared" si="268"/>
        <v>7693.5897754511298</v>
      </c>
      <c r="DP111" s="73">
        <f t="shared" si="268"/>
        <v>7478.0536063476229</v>
      </c>
      <c r="DQ111" s="73">
        <f t="shared" si="268"/>
        <v>7545.5666336025552</v>
      </c>
      <c r="DR111" s="73">
        <f t="shared" si="268"/>
        <v>7661.301927534043</v>
      </c>
      <c r="DS111" s="73">
        <f t="shared" si="268"/>
        <v>7800.9669032939346</v>
      </c>
      <c r="DT111" s="155">
        <f>DS111*(1+$DV$118)</f>
        <v>7722.9572342609954</v>
      </c>
      <c r="DU111" s="155">
        <f t="shared" ref="DU111:GF111" si="269">DT111*(1+$DV$118)</f>
        <v>7645.7276619183858</v>
      </c>
      <c r="DV111" s="155">
        <f t="shared" si="269"/>
        <v>7569.2703852992017</v>
      </c>
      <c r="DW111" s="155">
        <f t="shared" si="269"/>
        <v>7493.5776814462097</v>
      </c>
      <c r="DX111" s="155">
        <f t="shared" si="269"/>
        <v>7418.6419046317478</v>
      </c>
      <c r="DY111" s="155">
        <f t="shared" si="269"/>
        <v>7344.4554855854303</v>
      </c>
      <c r="DZ111" s="155">
        <f t="shared" si="269"/>
        <v>7271.0109307295761</v>
      </c>
      <c r="EA111" s="155">
        <f t="shared" si="269"/>
        <v>7198.30082142228</v>
      </c>
      <c r="EB111" s="155">
        <f t="shared" si="269"/>
        <v>7126.3178132080575</v>
      </c>
      <c r="EC111" s="155">
        <f t="shared" si="269"/>
        <v>7055.0546350759769</v>
      </c>
      <c r="ED111" s="155">
        <f t="shared" si="269"/>
        <v>6984.5040887252171</v>
      </c>
      <c r="EE111" s="155">
        <f t="shared" si="269"/>
        <v>6914.6590478379649</v>
      </c>
      <c r="EF111" s="155">
        <f t="shared" si="269"/>
        <v>6845.5124573595849</v>
      </c>
      <c r="EG111" s="155">
        <f t="shared" si="269"/>
        <v>6777.0573327859893</v>
      </c>
      <c r="EH111" s="155">
        <f t="shared" si="269"/>
        <v>6709.2867594581294</v>
      </c>
      <c r="EI111" s="155">
        <f t="shared" si="269"/>
        <v>6642.1938918635478</v>
      </c>
      <c r="EJ111" s="155">
        <f t="shared" si="269"/>
        <v>6575.7719529449123</v>
      </c>
      <c r="EK111" s="155">
        <f t="shared" si="269"/>
        <v>6510.0142334154634</v>
      </c>
      <c r="EL111" s="155">
        <f t="shared" si="269"/>
        <v>6444.9140910813085</v>
      </c>
      <c r="EM111" s="155">
        <f t="shared" si="269"/>
        <v>6380.4649501704953</v>
      </c>
      <c r="EN111" s="155">
        <f t="shared" si="269"/>
        <v>6316.6603006687901</v>
      </c>
      <c r="EO111" s="155">
        <f t="shared" si="269"/>
        <v>6253.493697662102</v>
      </c>
      <c r="EP111" s="155">
        <f t="shared" si="269"/>
        <v>6190.9587606854811</v>
      </c>
      <c r="EQ111" s="155">
        <f t="shared" si="269"/>
        <v>6129.0491730786262</v>
      </c>
      <c r="ER111" s="155">
        <f t="shared" si="269"/>
        <v>6067.7586813478401</v>
      </c>
      <c r="ES111" s="155">
        <f t="shared" si="269"/>
        <v>6007.0810945343619</v>
      </c>
      <c r="ET111" s="155">
        <f t="shared" si="269"/>
        <v>5947.0102835890184</v>
      </c>
      <c r="EU111" s="155">
        <f t="shared" si="269"/>
        <v>5887.540180753128</v>
      </c>
      <c r="EV111" s="155">
        <f t="shared" si="269"/>
        <v>5828.6647789455965</v>
      </c>
      <c r="EW111" s="155">
        <f t="shared" si="269"/>
        <v>5770.3781311561406</v>
      </c>
      <c r="EX111" s="155">
        <f t="shared" si="269"/>
        <v>5712.6743498445794</v>
      </c>
      <c r="EY111" s="155">
        <f t="shared" si="269"/>
        <v>5655.5476063461338</v>
      </c>
      <c r="EZ111" s="155">
        <f t="shared" si="269"/>
        <v>5598.9921302826724</v>
      </c>
      <c r="FA111" s="155">
        <f t="shared" si="269"/>
        <v>5543.0022089798458</v>
      </c>
      <c r="FB111" s="155">
        <f t="shared" si="269"/>
        <v>5487.5721868900473</v>
      </c>
      <c r="FC111" s="155">
        <f t="shared" si="269"/>
        <v>5432.6964650211467</v>
      </c>
      <c r="FD111" s="155">
        <f t="shared" si="269"/>
        <v>5378.3695003709354</v>
      </c>
      <c r="FE111" s="155">
        <f t="shared" si="269"/>
        <v>5324.5858053672264</v>
      </c>
      <c r="FF111" s="155">
        <f t="shared" si="269"/>
        <v>5271.3399473135541</v>
      </c>
      <c r="FG111" s="155">
        <f t="shared" si="269"/>
        <v>5218.6265478404184</v>
      </c>
      <c r="FH111" s="155">
        <f t="shared" si="269"/>
        <v>5166.4402823620139</v>
      </c>
      <c r="FI111" s="155">
        <f t="shared" si="269"/>
        <v>5114.7758795383934</v>
      </c>
      <c r="FJ111" s="155">
        <f t="shared" si="269"/>
        <v>5063.6281207430093</v>
      </c>
      <c r="FK111" s="155">
        <f t="shared" si="269"/>
        <v>5012.9918395355789</v>
      </c>
      <c r="FL111" s="155">
        <f t="shared" si="269"/>
        <v>4962.8619211402229</v>
      </c>
      <c r="FM111" s="155">
        <f t="shared" si="269"/>
        <v>4913.2333019288208</v>
      </c>
      <c r="FN111" s="155">
        <f t="shared" si="269"/>
        <v>4864.1009689095326</v>
      </c>
      <c r="FO111" s="155">
        <f t="shared" si="269"/>
        <v>4815.4599592204377</v>
      </c>
      <c r="FP111" s="155">
        <f t="shared" si="269"/>
        <v>4767.3053596282334</v>
      </c>
      <c r="FQ111" s="155">
        <f t="shared" si="269"/>
        <v>4719.632306031951</v>
      </c>
      <c r="FR111" s="155">
        <f t="shared" si="269"/>
        <v>4672.4359829716313</v>
      </c>
      <c r="FS111" s="155">
        <f t="shared" si="269"/>
        <v>4625.711623141915</v>
      </c>
      <c r="FT111" s="155">
        <f t="shared" si="269"/>
        <v>4579.4545069104961</v>
      </c>
      <c r="FU111" s="155">
        <f t="shared" si="269"/>
        <v>4533.6599618413911</v>
      </c>
      <c r="FV111" s="155">
        <f t="shared" si="269"/>
        <v>4488.3233622229773</v>
      </c>
      <c r="FW111" s="155">
        <f t="shared" si="269"/>
        <v>4443.4401286007478</v>
      </c>
      <c r="FX111" s="155">
        <f t="shared" si="269"/>
        <v>4399.0057273147404</v>
      </c>
      <c r="FY111" s="155">
        <f t="shared" si="269"/>
        <v>4355.0156700415928</v>
      </c>
      <c r="FZ111" s="155">
        <f t="shared" si="269"/>
        <v>4311.465513341177</v>
      </c>
      <c r="GA111" s="155">
        <f t="shared" si="269"/>
        <v>4268.3508582077657</v>
      </c>
      <c r="GB111" s="155">
        <f t="shared" si="269"/>
        <v>4225.6673496256881</v>
      </c>
      <c r="GC111" s="155">
        <f t="shared" si="269"/>
        <v>4183.4106761294315</v>
      </c>
      <c r="GD111" s="155">
        <f t="shared" si="269"/>
        <v>4141.5765693681369</v>
      </c>
      <c r="GE111" s="155">
        <f t="shared" si="269"/>
        <v>4100.1608036744556</v>
      </c>
      <c r="GF111" s="155">
        <f t="shared" si="269"/>
        <v>4059.159195637711</v>
      </c>
      <c r="GG111" s="155">
        <f t="shared" ref="GG111:GK111" si="270">GF111*(1+$DV$118)</f>
        <v>4018.5676036813338</v>
      </c>
      <c r="GH111" s="155">
        <f t="shared" si="270"/>
        <v>3978.3819276445206</v>
      </c>
      <c r="GI111" s="155">
        <f t="shared" si="270"/>
        <v>3938.5981083680754</v>
      </c>
      <c r="GJ111" s="155">
        <f t="shared" si="270"/>
        <v>3899.2121272843947</v>
      </c>
      <c r="GK111" s="155">
        <f t="shared" si="270"/>
        <v>3860.2200060115506</v>
      </c>
    </row>
    <row r="112" spans="2:193" x14ac:dyDescent="0.2">
      <c r="B112" s="65" t="s">
        <v>316</v>
      </c>
      <c r="C112" s="151">
        <v>5777</v>
      </c>
      <c r="D112" s="151">
        <v>5769</v>
      </c>
      <c r="E112" s="151">
        <v>5724</v>
      </c>
      <c r="F112" s="151">
        <v>5707</v>
      </c>
      <c r="G112" s="73">
        <v>5692</v>
      </c>
      <c r="H112" s="73">
        <v>5680</v>
      </c>
      <c r="I112" s="73">
        <v>5668</v>
      </c>
      <c r="J112" s="73">
        <v>5657</v>
      </c>
      <c r="K112" s="73">
        <v>5719</v>
      </c>
      <c r="L112" s="73">
        <v>5729</v>
      </c>
      <c r="M112" s="73">
        <v>5711</v>
      </c>
      <c r="N112" s="73">
        <v>5560</v>
      </c>
      <c r="O112" s="73">
        <v>5662</v>
      </c>
      <c r="P112" s="73">
        <v>5625</v>
      </c>
      <c r="Q112" s="73">
        <v>5571</v>
      </c>
      <c r="R112" s="73">
        <v>5443</v>
      </c>
      <c r="S112" s="73">
        <v>5394</v>
      </c>
      <c r="T112" s="73">
        <v>5272</v>
      </c>
      <c r="U112" s="73">
        <v>5089</v>
      </c>
      <c r="V112" s="73">
        <v>5058</v>
      </c>
      <c r="W112" s="73">
        <v>5064</v>
      </c>
      <c r="X112" s="73">
        <v>5107</v>
      </c>
      <c r="Y112" s="73">
        <v>5108</v>
      </c>
      <c r="Z112" s="73">
        <v>5116</v>
      </c>
      <c r="AA112" s="73">
        <v>5124</v>
      </c>
      <c r="AB112" s="73">
        <f>AA112</f>
        <v>5124</v>
      </c>
      <c r="AC112" s="73">
        <v>5126</v>
      </c>
      <c r="AD112" s="73">
        <v>5132</v>
      </c>
      <c r="AE112" s="73">
        <f>+AD112</f>
        <v>5132</v>
      </c>
      <c r="AR112" s="73">
        <v>4812</v>
      </c>
      <c r="BN112" s="73">
        <v>4953</v>
      </c>
      <c r="BO112" s="73">
        <v>4965</v>
      </c>
      <c r="BP112" s="73">
        <v>5023</v>
      </c>
      <c r="BQ112" s="73">
        <v>4980</v>
      </c>
      <c r="BR112" s="73">
        <v>4981</v>
      </c>
      <c r="BS112" s="73">
        <v>4993</v>
      </c>
      <c r="BT112" s="73">
        <v>4003</v>
      </c>
      <c r="BU112" s="73">
        <v>5007</v>
      </c>
      <c r="BV112" s="73">
        <v>5008</v>
      </c>
      <c r="BW112" s="73">
        <v>5020</v>
      </c>
      <c r="BX112" s="73">
        <v>4025</v>
      </c>
      <c r="BY112" s="73">
        <v>4030</v>
      </c>
      <c r="BZ112" s="73">
        <v>4034</v>
      </c>
      <c r="CA112" s="73">
        <f t="shared" ref="CA112:CD112" si="271">+BZ112</f>
        <v>4034</v>
      </c>
      <c r="CB112" s="73">
        <f t="shared" si="271"/>
        <v>4034</v>
      </c>
      <c r="CC112" s="73">
        <f t="shared" si="271"/>
        <v>4034</v>
      </c>
      <c r="CD112" s="73">
        <f t="shared" si="271"/>
        <v>4034</v>
      </c>
      <c r="CM112" s="73">
        <v>5806</v>
      </c>
      <c r="CN112" s="168">
        <v>5736</v>
      </c>
      <c r="CO112" s="73">
        <v>5720</v>
      </c>
      <c r="CP112" s="73">
        <v>5700</v>
      </c>
      <c r="CQ112" s="73">
        <f>AVERAGE(O112:R112)</f>
        <v>5575.25</v>
      </c>
      <c r="CR112" s="73">
        <f>AVERAGE(S112:V112)</f>
        <v>5203.25</v>
      </c>
      <c r="CS112" s="73">
        <f>AVERAGE(W112:Z112)</f>
        <v>5098.75</v>
      </c>
      <c r="CT112" s="73">
        <f>AB112</f>
        <v>5124</v>
      </c>
      <c r="CU112" s="73"/>
      <c r="CV112" s="73"/>
      <c r="CW112" s="73"/>
      <c r="CX112" s="73"/>
      <c r="CY112" s="73"/>
      <c r="CZ112" s="73"/>
      <c r="DA112" s="73"/>
      <c r="DB112" s="73"/>
      <c r="DC112" s="73"/>
      <c r="DD112" s="73">
        <f>AVERAGE(BO112:BR112)</f>
        <v>4987.25</v>
      </c>
      <c r="DE112" s="73">
        <f>AVERAGE(BS112:BV112)</f>
        <v>4752.75</v>
      </c>
      <c r="DF112" s="73">
        <f>AVERAGE(BW112:BZ112)</f>
        <v>4277.25</v>
      </c>
      <c r="DG112" s="73">
        <f>+DF112</f>
        <v>4277.25</v>
      </c>
      <c r="DH112" s="73">
        <f t="shared" ref="DH112:DS112" si="272">+DG112</f>
        <v>4277.25</v>
      </c>
      <c r="DI112" s="73">
        <f t="shared" si="272"/>
        <v>4277.25</v>
      </c>
      <c r="DJ112" s="73">
        <f t="shared" si="272"/>
        <v>4277.25</v>
      </c>
      <c r="DK112" s="73">
        <f t="shared" si="272"/>
        <v>4277.25</v>
      </c>
      <c r="DL112" s="73">
        <f t="shared" si="272"/>
        <v>4277.25</v>
      </c>
      <c r="DM112" s="73">
        <f t="shared" si="272"/>
        <v>4277.25</v>
      </c>
      <c r="DN112" s="73">
        <f t="shared" si="272"/>
        <v>4277.25</v>
      </c>
      <c r="DO112" s="73">
        <f t="shared" si="272"/>
        <v>4277.25</v>
      </c>
      <c r="DP112" s="73">
        <f t="shared" si="272"/>
        <v>4277.25</v>
      </c>
      <c r="DQ112" s="73">
        <f t="shared" si="272"/>
        <v>4277.25</v>
      </c>
      <c r="DR112" s="73">
        <f t="shared" si="272"/>
        <v>4277.25</v>
      </c>
      <c r="DS112" s="73">
        <f t="shared" si="272"/>
        <v>4277.25</v>
      </c>
    </row>
    <row r="113" spans="2:126" s="69" customFormat="1" x14ac:dyDescent="0.2">
      <c r="B113" s="69" t="s">
        <v>423</v>
      </c>
      <c r="C113" s="173">
        <f>C111/C112</f>
        <v>0.2989440886273152</v>
      </c>
      <c r="D113" s="173">
        <f>D111/D112</f>
        <v>0.3095857167620038</v>
      </c>
      <c r="E113" s="159">
        <v>17.7</v>
      </c>
      <c r="F113" s="163">
        <f t="shared" ref="F113:K113" si="273">F111/F112</f>
        <v>0.14035395128789208</v>
      </c>
      <c r="G113" s="163">
        <f t="shared" si="273"/>
        <v>0.21486296556570625</v>
      </c>
      <c r="H113" s="163">
        <f t="shared" si="273"/>
        <v>0.20933098591549296</v>
      </c>
      <c r="I113" s="163">
        <f t="shared" si="273"/>
        <v>0.22106563161609033</v>
      </c>
      <c r="J113" s="163">
        <f t="shared" si="273"/>
        <v>0.20346473395792822</v>
      </c>
      <c r="K113" s="163">
        <f t="shared" si="273"/>
        <v>0.26263332750480856</v>
      </c>
      <c r="L113" s="163">
        <f>L111/L112</f>
        <v>0.22953395007854774</v>
      </c>
      <c r="M113" s="163">
        <f>M111/M112</f>
        <v>0.24969357380493784</v>
      </c>
      <c r="N113" s="163">
        <f t="shared" ref="N113:S113" si="274">N111/N112</f>
        <v>0.21672661870503598</v>
      </c>
      <c r="O113" s="163">
        <f t="shared" si="274"/>
        <v>0.26404097492052281</v>
      </c>
      <c r="P113" s="163">
        <f t="shared" si="274"/>
        <v>0.23306666666666667</v>
      </c>
      <c r="Q113" s="163">
        <f t="shared" si="274"/>
        <v>0.23514629330461317</v>
      </c>
      <c r="R113" s="163">
        <f t="shared" si="274"/>
        <v>0.24361565313246372</v>
      </c>
      <c r="S113" s="163">
        <f t="shared" si="274"/>
        <v>0.24990730441230996</v>
      </c>
      <c r="T113" s="163">
        <f t="shared" ref="T113:Z113" si="275">T111/T112</f>
        <v>0.26631259484066766</v>
      </c>
      <c r="U113" s="163">
        <f t="shared" si="275"/>
        <v>0.2528984083316958</v>
      </c>
      <c r="V113" s="163">
        <f t="shared" si="275"/>
        <v>0.26809015421115068</v>
      </c>
      <c r="W113" s="163">
        <f t="shared" si="275"/>
        <v>0.2632306477093207</v>
      </c>
      <c r="X113" s="163">
        <f t="shared" si="275"/>
        <v>0.30781280595261407</v>
      </c>
      <c r="Y113" s="163">
        <f>Y111/Y112</f>
        <v>0.28269381362568519</v>
      </c>
      <c r="Z113" s="163">
        <f t="shared" si="275"/>
        <v>0.35105551211884284</v>
      </c>
      <c r="AA113" s="163">
        <f>AA111/AA112</f>
        <v>0.3044496487119438</v>
      </c>
      <c r="AB113" s="163">
        <f>AB111/AB112</f>
        <v>0.33177205308352847</v>
      </c>
      <c r="AC113" s="163">
        <f>AC111/AC112</f>
        <v>0.29516191962543892</v>
      </c>
      <c r="AD113" s="163">
        <f>AD111/AD112</f>
        <v>0.29501169134840216</v>
      </c>
      <c r="AE113" s="163">
        <f t="shared" ref="AE113" si="276">AE111/AE112</f>
        <v>0.21706936866718629</v>
      </c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>
        <f>+AR111/AR112</f>
        <v>0.14588528678304238</v>
      </c>
      <c r="AS113" s="163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163"/>
      <c r="BE113" s="163"/>
      <c r="BF113" s="163"/>
      <c r="BG113" s="163"/>
      <c r="BH113" s="163"/>
      <c r="BI113" s="163"/>
      <c r="BJ113" s="163"/>
      <c r="BK113" s="163"/>
      <c r="BL113" s="163"/>
      <c r="BM113" s="163"/>
      <c r="BN113" s="163">
        <f t="shared" ref="BN113:BQ113" si="277">BN111/BN112</f>
        <v>0.24772864930345245</v>
      </c>
      <c r="BO113" s="163">
        <f t="shared" si="277"/>
        <v>-0.20463242698892245</v>
      </c>
      <c r="BP113" s="163">
        <f t="shared" si="277"/>
        <v>-0.36193509854668526</v>
      </c>
      <c r="BQ113" s="163">
        <f t="shared" si="277"/>
        <v>-0.14518072289156628</v>
      </c>
      <c r="BR113" s="163">
        <f t="shared" ref="BR113:BU113" si="278">BR111/BR112</f>
        <v>-0.25276048986147359</v>
      </c>
      <c r="BS113" s="163">
        <f t="shared" si="278"/>
        <v>-0.23813338674143802</v>
      </c>
      <c r="BT113" s="163">
        <f t="shared" si="278"/>
        <v>0.27179615288533598</v>
      </c>
      <c r="BU113" s="163">
        <f t="shared" si="278"/>
        <v>-0.13541042540443379</v>
      </c>
      <c r="BV113" s="163">
        <f t="shared" ref="BV113:CD113" si="279">BV111/BV112</f>
        <v>-0.24361022364217252</v>
      </c>
      <c r="BW113" s="163">
        <f t="shared" si="279"/>
        <v>0.13486055776892431</v>
      </c>
      <c r="BX113" s="163">
        <f t="shared" si="279"/>
        <v>0.34732919254658384</v>
      </c>
      <c r="BY113" s="163">
        <f t="shared" si="279"/>
        <v>0.50024813895781639</v>
      </c>
      <c r="BZ113" s="163">
        <f t="shared" si="279"/>
        <v>0.25780862667327714</v>
      </c>
      <c r="CA113" s="163">
        <f t="shared" si="279"/>
        <v>0.12712890431333648</v>
      </c>
      <c r="CB113" s="163">
        <f t="shared" si="279"/>
        <v>0.39228847917699561</v>
      </c>
      <c r="CC113" s="163">
        <f t="shared" si="279"/>
        <v>0.40659350840770109</v>
      </c>
      <c r="CD113" s="163">
        <f t="shared" si="279"/>
        <v>0.34708891019907184</v>
      </c>
      <c r="CE113" s="163"/>
      <c r="CF113" s="163"/>
      <c r="CG113" s="163"/>
      <c r="CH113" s="163"/>
      <c r="CI113" s="163"/>
      <c r="CJ113" s="13"/>
      <c r="CK113" s="13"/>
      <c r="CL113" s="72"/>
      <c r="CM113" s="72">
        <v>77.196004133654839</v>
      </c>
      <c r="CN113" s="169">
        <v>68.131101813110178</v>
      </c>
      <c r="CO113" s="169">
        <v>82.640112795206193</v>
      </c>
      <c r="CP113" s="72">
        <v>95.424389412423935</v>
      </c>
      <c r="CQ113" s="72">
        <f>CQ111/CQ112*100</f>
        <v>98.345365678669111</v>
      </c>
      <c r="CR113" s="72">
        <f>CR111/CR112*100</f>
        <v>104.56925959736702</v>
      </c>
      <c r="CS113" s="72">
        <f>CS111/CS112*100</f>
        <v>125.52096101985781</v>
      </c>
      <c r="CT113" s="72">
        <f t="shared" ref="CT113:CY113" si="280">CT111/CT112*100</f>
        <v>125.31733021077285</v>
      </c>
      <c r="CU113" s="72" t="e">
        <f>CU111/CU112*100</f>
        <v>#DIV/0!</v>
      </c>
      <c r="CV113" s="72" t="e">
        <f t="shared" si="280"/>
        <v>#DIV/0!</v>
      </c>
      <c r="CW113" s="72" t="e">
        <f t="shared" si="280"/>
        <v>#DIV/0!</v>
      </c>
      <c r="CX113" s="72" t="e">
        <f t="shared" si="280"/>
        <v>#DIV/0!</v>
      </c>
      <c r="CY113" s="72" t="e">
        <f t="shared" si="280"/>
        <v>#DIV/0!</v>
      </c>
      <c r="CZ113" s="72" t="e">
        <f>CZ111/CZ112*100</f>
        <v>#DIV/0!</v>
      </c>
      <c r="DA113" s="72" t="e">
        <f>DA111/DA112*100</f>
        <v>#DIV/0!</v>
      </c>
      <c r="DB113" s="72" t="e">
        <f t="shared" ref="DB113:DG113" si="281">DB111/DB112*100</f>
        <v>#DIV/0!</v>
      </c>
      <c r="DC113" s="72" t="e">
        <f t="shared" si="281"/>
        <v>#DIV/0!</v>
      </c>
      <c r="DD113" s="166">
        <f t="shared" si="281"/>
        <v>-96.566243922001107</v>
      </c>
      <c r="DE113" s="166">
        <f t="shared" si="281"/>
        <v>-42.059860081005738</v>
      </c>
      <c r="DF113" s="166">
        <f t="shared" si="281"/>
        <v>119.96025483663568</v>
      </c>
      <c r="DG113" s="166">
        <f t="shared" si="281"/>
        <v>216.00780273783781</v>
      </c>
      <c r="DH113" s="166">
        <f t="shared" ref="DH113:DS113" si="282">DH111/DH112*100</f>
        <v>214.56284401768926</v>
      </c>
      <c r="DI113" s="166">
        <f t="shared" si="282"/>
        <v>218.27397638350982</v>
      </c>
      <c r="DJ113" s="166">
        <f t="shared" si="282"/>
        <v>221.17804154601976</v>
      </c>
      <c r="DK113" s="166">
        <f t="shared" si="282"/>
        <v>214.35151485764038</v>
      </c>
      <c r="DL113" s="166">
        <f t="shared" si="282"/>
        <v>179.42796599291012</v>
      </c>
      <c r="DM113" s="166">
        <f t="shared" si="282"/>
        <v>177.20656842257392</v>
      </c>
      <c r="DN113" s="166">
        <f t="shared" si="282"/>
        <v>178.04043197881313</v>
      </c>
      <c r="DO113" s="166">
        <f t="shared" si="282"/>
        <v>179.87234263723491</v>
      </c>
      <c r="DP113" s="166">
        <f t="shared" si="282"/>
        <v>174.83321307727215</v>
      </c>
      <c r="DQ113" s="166">
        <f t="shared" si="282"/>
        <v>176.411634428723</v>
      </c>
      <c r="DR113" s="166">
        <f t="shared" si="282"/>
        <v>179.117468643031</v>
      </c>
      <c r="DS113" s="166">
        <f t="shared" si="282"/>
        <v>182.38276704176596</v>
      </c>
    </row>
    <row r="114" spans="2:126" x14ac:dyDescent="0.2">
      <c r="CN114" s="168"/>
      <c r="CO114" s="170"/>
      <c r="CP114" s="168"/>
      <c r="CQ114" s="168"/>
      <c r="CR114" s="168"/>
      <c r="CS114" s="168"/>
      <c r="CT114" s="168"/>
      <c r="CU114" s="168"/>
    </row>
    <row r="115" spans="2:126" s="69" customFormat="1" x14ac:dyDescent="0.2">
      <c r="B115" s="69" t="s">
        <v>371</v>
      </c>
      <c r="C115" s="159"/>
      <c r="D115" s="159"/>
      <c r="E115" s="159"/>
      <c r="F115" s="154"/>
      <c r="G115" s="153">
        <f t="shared" ref="G115:AJ115" si="283">G101/C101-1</f>
        <v>-0.10315599639314699</v>
      </c>
      <c r="H115" s="153">
        <f t="shared" si="283"/>
        <v>-8.8744967617713999E-2</v>
      </c>
      <c r="I115" s="153">
        <f t="shared" si="283"/>
        <v>0.10276198212835097</v>
      </c>
      <c r="J115" s="153">
        <f t="shared" si="283"/>
        <v>0.11783804430863265</v>
      </c>
      <c r="K115" s="153">
        <f t="shared" si="283"/>
        <v>0.16891212547757894</v>
      </c>
      <c r="L115" s="153">
        <f t="shared" si="283"/>
        <v>0.11621206300422582</v>
      </c>
      <c r="M115" s="153">
        <f t="shared" si="283"/>
        <v>3.9042357274401418E-2</v>
      </c>
      <c r="N115" s="153">
        <f t="shared" si="283"/>
        <v>1.8110370750042737E-2</v>
      </c>
      <c r="O115" s="153">
        <f t="shared" si="283"/>
        <v>-3.8018234990538469E-2</v>
      </c>
      <c r="P115" s="153">
        <f t="shared" si="283"/>
        <v>-2.357597659611077E-2</v>
      </c>
      <c r="Q115" s="153">
        <f t="shared" si="283"/>
        <v>-2.9422190712513285E-2</v>
      </c>
      <c r="R115" s="153">
        <f t="shared" si="283"/>
        <v>4.0275213962073231E-3</v>
      </c>
      <c r="S115" s="153">
        <f t="shared" si="283"/>
        <v>1.6809728183118766E-2</v>
      </c>
      <c r="T115" s="153">
        <f t="shared" si="283"/>
        <v>3.5248501938667687E-2</v>
      </c>
      <c r="U115" s="153">
        <f t="shared" si="283"/>
        <v>7.4141709276844381E-2</v>
      </c>
      <c r="V115" s="153">
        <f t="shared" si="283"/>
        <v>0.15493899381581144</v>
      </c>
      <c r="W115" s="153">
        <f t="shared" si="283"/>
        <v>0.19046781568765381</v>
      </c>
      <c r="X115" s="153">
        <f t="shared" si="283"/>
        <v>0.1486210418794689</v>
      </c>
      <c r="Y115" s="153">
        <f t="shared" si="283"/>
        <v>0.14892893573614407</v>
      </c>
      <c r="Z115" s="153">
        <f t="shared" si="283"/>
        <v>0.17134587554269176</v>
      </c>
      <c r="AA115" s="153">
        <f t="shared" si="283"/>
        <v>8.6866597724922334E-2</v>
      </c>
      <c r="AB115" s="153">
        <f t="shared" si="283"/>
        <v>4.1203497850896609E-2</v>
      </c>
      <c r="AC115" s="153">
        <f t="shared" si="283"/>
        <v>8.1385025155371604E-3</v>
      </c>
      <c r="AD115" s="153">
        <f t="shared" si="283"/>
        <v>-0.11082283172720531</v>
      </c>
      <c r="AE115" s="153">
        <f t="shared" si="283"/>
        <v>-0.10493407638983276</v>
      </c>
      <c r="AF115" s="153">
        <f t="shared" si="283"/>
        <v>-4.3416370106761581E-2</v>
      </c>
      <c r="AG115" s="153">
        <f t="shared" si="283"/>
        <v>4.2712461470717722E-2</v>
      </c>
      <c r="AH115" s="153">
        <f t="shared" si="283"/>
        <v>-3.0429345560650245E-2</v>
      </c>
      <c r="AI115" s="153">
        <f t="shared" si="283"/>
        <v>8.3523158694001065E-3</v>
      </c>
      <c r="AJ115" s="153">
        <f t="shared" si="283"/>
        <v>-3.8392857142857117E-2</v>
      </c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153"/>
      <c r="BK115" s="153"/>
      <c r="BL115" s="153"/>
      <c r="BM115" s="153"/>
      <c r="BN115" s="153"/>
      <c r="BO115" s="153"/>
      <c r="BP115" s="153"/>
      <c r="BQ115" s="153"/>
      <c r="BR115" s="153">
        <f t="shared" ref="BR115:BX115" si="284">+BR101/BN101-1</f>
        <v>-0.29014496010787727</v>
      </c>
      <c r="BS115" s="153">
        <f t="shared" si="284"/>
        <v>-0.17980970811159491</v>
      </c>
      <c r="BT115" s="153">
        <f t="shared" si="284"/>
        <v>0.12497574228604691</v>
      </c>
      <c r="BU115" s="153">
        <f t="shared" si="284"/>
        <v>6.7826935588809478E-2</v>
      </c>
      <c r="BV115" s="153">
        <f t="shared" si="284"/>
        <v>0.1123951242678487</v>
      </c>
      <c r="BW115" s="153">
        <f t="shared" si="284"/>
        <v>0.40326386158080996</v>
      </c>
      <c r="BX115" s="153">
        <f t="shared" si="284"/>
        <v>0.19527341728480252</v>
      </c>
      <c r="BY115" s="153">
        <f t="shared" ref="BY115:CD115" si="285">+BY101/BU101-1</f>
        <v>0.1911652703731912</v>
      </c>
      <c r="BZ115" s="153">
        <f t="shared" si="285"/>
        <v>4.952326739718238E-2</v>
      </c>
      <c r="CA115" s="153">
        <f t="shared" si="285"/>
        <v>-0.12541217131381077</v>
      </c>
      <c r="CB115" s="153">
        <f t="shared" si="285"/>
        <v>-3.6304260675742661E-2</v>
      </c>
      <c r="CC115" s="153">
        <f t="shared" si="285"/>
        <v>-4.7142045562186263E-2</v>
      </c>
      <c r="CD115" s="153">
        <f t="shared" si="285"/>
        <v>-2.3605885206109956E-2</v>
      </c>
      <c r="CE115" s="153"/>
      <c r="CF115" s="153"/>
      <c r="CG115" s="153"/>
      <c r="CH115" s="153"/>
      <c r="CI115" s="153"/>
      <c r="CJ115" s="13"/>
      <c r="CK115" s="13"/>
      <c r="CL115" s="72"/>
      <c r="CM115" s="72"/>
      <c r="CN115" s="153">
        <f t="shared" ref="CN115:DS115" si="286">CN101/CM101-1</f>
        <v>2.8419397750634845E-2</v>
      </c>
      <c r="CO115" s="153">
        <f t="shared" si="286"/>
        <v>0.26305268109125124</v>
      </c>
      <c r="CP115" s="153">
        <f t="shared" si="286"/>
        <v>8.1137696676287119E-2</v>
      </c>
      <c r="CQ115" s="153">
        <f t="shared" si="286"/>
        <v>-2.1528525296017231E-2</v>
      </c>
      <c r="CR115" s="153">
        <f t="shared" si="286"/>
        <v>7.6479647964796449E-2</v>
      </c>
      <c r="CS115" s="153">
        <f t="shared" si="286"/>
        <v>0.17005273269836074</v>
      </c>
      <c r="CT115" s="153">
        <f t="shared" si="286"/>
        <v>-1.093526185235616E-3</v>
      </c>
      <c r="CU115" s="153">
        <f t="shared" si="286"/>
        <v>-7.9429170003882055E-2</v>
      </c>
      <c r="CV115" s="153">
        <f t="shared" si="286"/>
        <v>-2.1899430049028501E-2</v>
      </c>
      <c r="CW115" s="153">
        <f t="shared" si="286"/>
        <v>-2.822918793757534E-2</v>
      </c>
      <c r="CX115" s="153">
        <f t="shared" si="286"/>
        <v>-2.0100049344620285E-2</v>
      </c>
      <c r="CY115" s="153">
        <f t="shared" si="286"/>
        <v>-3.5000440119468901E-2</v>
      </c>
      <c r="CZ115" s="153">
        <f t="shared" si="286"/>
        <v>-1.2631379316492386E-2</v>
      </c>
      <c r="DA115" s="153">
        <f t="shared" si="286"/>
        <v>-1.8927308397899467E-2</v>
      </c>
      <c r="DB115" s="153">
        <f t="shared" si="286"/>
        <v>-0.66056834899978212</v>
      </c>
      <c r="DC115" s="153">
        <f t="shared" si="286"/>
        <v>-0.82932496396295441</v>
      </c>
      <c r="DD115" s="153">
        <f t="shared" si="286"/>
        <v>16.941852223067446</v>
      </c>
      <c r="DE115" s="153">
        <f t="shared" si="286"/>
        <v>2.7541038666610618E-2</v>
      </c>
      <c r="DF115" s="153">
        <f t="shared" si="286"/>
        <v>0.19554647599591424</v>
      </c>
      <c r="DG115" s="153">
        <f t="shared" si="286"/>
        <v>-5.7734290987329295E-2</v>
      </c>
      <c r="DH115" s="153">
        <f t="shared" si="286"/>
        <v>-1.4088385571148998E-2</v>
      </c>
      <c r="DI115" s="153">
        <f t="shared" si="286"/>
        <v>9.799516640260908E-3</v>
      </c>
      <c r="DJ115" s="153">
        <f t="shared" si="286"/>
        <v>5.8497233140497595E-3</v>
      </c>
      <c r="DK115" s="153">
        <f t="shared" si="286"/>
        <v>-3.8948652751346291E-2</v>
      </c>
      <c r="DL115" s="153">
        <f t="shared" si="286"/>
        <v>-0.17447742212732831</v>
      </c>
      <c r="DM115" s="153">
        <f t="shared" si="286"/>
        <v>-2.0637766418128756E-2</v>
      </c>
      <c r="DN115" s="153">
        <f t="shared" si="286"/>
        <v>-2.9253057555840289E-3</v>
      </c>
      <c r="DO115" s="153">
        <f t="shared" si="286"/>
        <v>2.9423116674822669E-3</v>
      </c>
      <c r="DP115" s="153">
        <f t="shared" si="286"/>
        <v>-3.7737760779722462E-2</v>
      </c>
      <c r="DQ115" s="153">
        <f t="shared" si="286"/>
        <v>1.6402023399135768E-3</v>
      </c>
      <c r="DR115" s="153">
        <f t="shared" si="286"/>
        <v>8.4749479103507497E-3</v>
      </c>
      <c r="DS115" s="153">
        <f t="shared" si="286"/>
        <v>1.1680567066724379E-2</v>
      </c>
    </row>
    <row r="116" spans="2:126" s="69" customFormat="1" x14ac:dyDescent="0.2">
      <c r="B116" s="69" t="s">
        <v>583</v>
      </c>
      <c r="C116" s="159"/>
      <c r="D116" s="159"/>
      <c r="E116" s="159"/>
      <c r="F116" s="154"/>
      <c r="G116" s="153"/>
      <c r="H116" s="153"/>
      <c r="I116" s="153"/>
      <c r="J116" s="153"/>
      <c r="K116" s="153"/>
      <c r="L116" s="153"/>
      <c r="M116" s="153"/>
      <c r="N116" s="153">
        <v>0.09</v>
      </c>
      <c r="O116" s="153">
        <v>0.04</v>
      </c>
      <c r="P116" s="153">
        <v>0.03</v>
      </c>
      <c r="Q116" s="153">
        <v>0.01</v>
      </c>
      <c r="R116" s="153">
        <v>0</v>
      </c>
      <c r="S116" s="153">
        <v>-0.03</v>
      </c>
      <c r="T116" s="153">
        <v>-0.02</v>
      </c>
      <c r="U116" s="153">
        <v>-0.03</v>
      </c>
      <c r="V116" s="153">
        <v>-0.03</v>
      </c>
      <c r="W116" s="153">
        <v>-0.05</v>
      </c>
      <c r="X116" s="153">
        <v>-0.02</v>
      </c>
      <c r="Y116" s="153">
        <v>0.03</v>
      </c>
      <c r="Z116" s="153">
        <v>0.13</v>
      </c>
      <c r="AA116" s="153">
        <v>0.13</v>
      </c>
      <c r="AB116" s="153">
        <v>0</v>
      </c>
      <c r="AC116" s="153">
        <v>-0.02</v>
      </c>
      <c r="AD116" s="153">
        <v>-0.13</v>
      </c>
      <c r="AE116" s="153">
        <v>-0.1</v>
      </c>
      <c r="AF116" s="153">
        <v>-0.02</v>
      </c>
      <c r="AG116" s="153">
        <v>0.03</v>
      </c>
      <c r="AH116" s="153">
        <v>-0.02</v>
      </c>
      <c r="AI116" s="153">
        <v>0.02</v>
      </c>
      <c r="AJ116" s="153">
        <v>-0.02</v>
      </c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3"/>
      <c r="BE116" s="153"/>
      <c r="BF116" s="153"/>
      <c r="BG116" s="153"/>
      <c r="BH116" s="153"/>
      <c r="BI116" s="153"/>
      <c r="BJ116" s="153"/>
      <c r="BK116" s="153"/>
      <c r="BL116" s="153"/>
      <c r="BM116" s="153"/>
      <c r="BN116" s="153"/>
      <c r="BO116" s="153"/>
      <c r="BP116" s="153"/>
      <c r="BQ116" s="153"/>
      <c r="BR116" s="153"/>
      <c r="BS116" s="153"/>
      <c r="BT116" s="153"/>
      <c r="BU116" s="153"/>
      <c r="BV116" s="153"/>
      <c r="BW116" s="153">
        <v>0.13</v>
      </c>
      <c r="BX116" s="153">
        <v>0.13</v>
      </c>
      <c r="BY116" s="153">
        <v>0.09</v>
      </c>
      <c r="BZ116" s="153">
        <v>-0.03</v>
      </c>
      <c r="CA116" s="153"/>
      <c r="CB116" s="153"/>
      <c r="CC116" s="153"/>
      <c r="CD116" s="153"/>
      <c r="CE116" s="153"/>
      <c r="CF116" s="153"/>
      <c r="CG116" s="153"/>
      <c r="CH116" s="153"/>
      <c r="CI116" s="153"/>
      <c r="CJ116" s="13"/>
      <c r="CK116" s="13"/>
      <c r="CL116" s="72"/>
      <c r="CM116" s="72"/>
      <c r="CN116" s="170"/>
      <c r="CO116" s="170"/>
      <c r="CP116" s="153">
        <v>0.09</v>
      </c>
      <c r="CQ116" s="153">
        <v>0.02</v>
      </c>
      <c r="CR116" s="153">
        <v>-0.03</v>
      </c>
      <c r="CS116" s="153">
        <v>0.03</v>
      </c>
      <c r="CT116" s="153">
        <v>-0.01</v>
      </c>
      <c r="CU116" s="153"/>
      <c r="CV116" s="153"/>
      <c r="CW116" s="153"/>
      <c r="CX116" s="153"/>
      <c r="CY116" s="153"/>
      <c r="CZ116" s="153"/>
      <c r="DA116" s="70"/>
      <c r="DU116" s="148" t="s">
        <v>792</v>
      </c>
      <c r="DV116" s="148">
        <v>0.01</v>
      </c>
    </row>
    <row r="117" spans="2:126" x14ac:dyDescent="0.2">
      <c r="B117" s="65" t="s">
        <v>451</v>
      </c>
      <c r="F117" s="158"/>
      <c r="G117" s="157">
        <f>G3/C3-1</f>
        <v>0.19410745233968796</v>
      </c>
      <c r="H117" s="157">
        <f>H3/D3-1</f>
        <v>0.2123745819397993</v>
      </c>
      <c r="I117" s="157">
        <f>I3/E3-1</f>
        <v>0.2201986754966887</v>
      </c>
      <c r="J117" s="157">
        <f>J3/F3-1</f>
        <v>0.28549848942598177</v>
      </c>
      <c r="K117" s="157">
        <f>K3/G3-1</f>
        <v>0.1843251088534108</v>
      </c>
      <c r="L117" s="157">
        <f>L3/H3-1</f>
        <v>0.13379310344827577</v>
      </c>
      <c r="M117" s="157">
        <f>M3/I3-1</f>
        <v>0.10312075983717772</v>
      </c>
      <c r="N117" s="157">
        <f>N3/J3-1</f>
        <v>1.292596944770863E-2</v>
      </c>
      <c r="O117" s="157">
        <f>O3/K3-1</f>
        <v>2.3284313725490113E-2</v>
      </c>
      <c r="P117" s="157">
        <f>P3/L3-1</f>
        <v>5.9610705596107039E-2</v>
      </c>
      <c r="Q117" s="157">
        <f>Q3/M3-1</f>
        <v>2.7060270602706105E-2</v>
      </c>
      <c r="R117" s="157">
        <f>R3/N3-1</f>
        <v>0.11136890951276102</v>
      </c>
      <c r="S117" s="157">
        <f>S3/O3-1</f>
        <v>0.14251497005988023</v>
      </c>
      <c r="T117" s="157">
        <f>T3/P3-1</f>
        <v>0.10677382319173367</v>
      </c>
      <c r="U117" s="157">
        <f>U3/Q3-1</f>
        <v>0.17604790419161676</v>
      </c>
      <c r="V117" s="157">
        <f>V3/R3-1</f>
        <v>0.29123173277661785</v>
      </c>
      <c r="W117" s="157">
        <f>W3/S3-1</f>
        <v>0.27253668763102734</v>
      </c>
      <c r="X117" s="157">
        <f>X3/T3-1</f>
        <v>0.29149377593361003</v>
      </c>
      <c r="Y117" s="157">
        <f>Y3/U3-1</f>
        <v>0.1731160896130346</v>
      </c>
      <c r="Z117" s="157">
        <f>Z3/V3-1</f>
        <v>0.10428455941794668</v>
      </c>
      <c r="AA117" s="157">
        <f>AA3/W3-1</f>
        <v>4.1186161449752845E-2</v>
      </c>
      <c r="AB117" s="157">
        <f>AB3/X3-1</f>
        <v>3.2931726907630576E-2</v>
      </c>
      <c r="AC117" s="157">
        <f>AC3/Y3-1</f>
        <v>7.899305555555558E-2</v>
      </c>
      <c r="AD117" s="157">
        <f>AD3/Z3-1</f>
        <v>-1.4641288433382083E-2</v>
      </c>
      <c r="AE117" s="157">
        <f>AE3/AA3-1</f>
        <v>-3.2436708860759444E-2</v>
      </c>
      <c r="AF117" s="157">
        <f>AF3/AB3-1</f>
        <v>-1.244167962674958E-2</v>
      </c>
      <c r="AG117" s="157">
        <f>AG3/AC3-1</f>
        <v>-2.0917135961383782E-2</v>
      </c>
      <c r="AH117" s="157">
        <f>AH3/AD3-1</f>
        <v>3.714710252600284E-3</v>
      </c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M117" s="157">
        <f>CM3/CL3-1</f>
        <v>0.34396076026977318</v>
      </c>
      <c r="CN117" s="157">
        <f>CN3/CM3-1</f>
        <v>0.11359489051094895</v>
      </c>
      <c r="CO117" s="157">
        <f>CO3/CN3-1</f>
        <v>0.22982384268742329</v>
      </c>
      <c r="CP117" s="157">
        <f>CP3/CO3-1</f>
        <v>0.10359760159893394</v>
      </c>
      <c r="CQ117" s="157">
        <f>CQ3/CP3-1</f>
        <v>5.6142469061273736E-2</v>
      </c>
      <c r="CR117" s="157">
        <f>CR3/CQ3-1</f>
        <v>0.18233781080308664</v>
      </c>
      <c r="CS117" s="157">
        <f>CS3/CR3-1</f>
        <v>0.20304568527918776</v>
      </c>
      <c r="CT117" s="157">
        <f>CT3/CS3-1</f>
        <v>3.2549728752260476E-2</v>
      </c>
      <c r="CU117" s="157">
        <f>CU3/CT3-1</f>
        <v>-1.5178050204319948E-2</v>
      </c>
      <c r="CV117" s="157">
        <f>CV3/CU3-1</f>
        <v>-2.0000000000000018E-2</v>
      </c>
      <c r="CW117" s="157">
        <f>CW3/CV3-1</f>
        <v>-2.0000000000000018E-2</v>
      </c>
      <c r="CX117" s="157">
        <f>CX3/CW3-1</f>
        <v>-2.0000000000000018E-2</v>
      </c>
      <c r="CY117" s="157">
        <f>CY3/CX3-1</f>
        <v>-2.0000000000000018E-2</v>
      </c>
      <c r="CZ117" s="157">
        <f>CZ3/CY3-1</f>
        <v>-4.0000000000000036E-2</v>
      </c>
      <c r="DA117" s="157">
        <f>DA3/CZ3-1</f>
        <v>-4.9999999999999933E-2</v>
      </c>
      <c r="DB117" s="157">
        <f>DB3/DA3-1</f>
        <v>-1</v>
      </c>
      <c r="DC117" s="157" t="e">
        <f>DC3/DB3-1</f>
        <v>#DIV/0!</v>
      </c>
      <c r="DD117" s="157" t="e">
        <f>DD3/DC3-1</f>
        <v>#DIV/0!</v>
      </c>
      <c r="DE117" s="157">
        <f>DE3/DD3-1</f>
        <v>-0.11596091205211723</v>
      </c>
      <c r="DF117" s="157">
        <f>DF3/DE3-1</f>
        <v>-0.14591009579955783</v>
      </c>
      <c r="DG117" s="157">
        <f>DG3/DF3-1</f>
        <v>-0.30000000000000004</v>
      </c>
      <c r="DH117" s="157">
        <f>DH3/DG3-1</f>
        <v>-5.0000000000000044E-2</v>
      </c>
      <c r="DI117" s="157">
        <f>DI3/DH3-1</f>
        <v>-4.9999999999999933E-2</v>
      </c>
      <c r="DJ117" s="157"/>
      <c r="DU117" s="65" t="s">
        <v>499</v>
      </c>
      <c r="DV117" s="156">
        <v>0.08</v>
      </c>
    </row>
    <row r="118" spans="2:126" x14ac:dyDescent="0.2">
      <c r="B118" s="65" t="s">
        <v>510</v>
      </c>
      <c r="F118" s="158"/>
      <c r="G118" s="157"/>
      <c r="H118" s="157"/>
      <c r="I118" s="157"/>
      <c r="J118" s="157">
        <f>J4/F4-1</f>
        <v>4.9934296977661052E-2</v>
      </c>
      <c r="K118" s="157">
        <f>K4/G4-1</f>
        <v>0.10186513629842175</v>
      </c>
      <c r="L118" s="157">
        <f>L4/H4-1</f>
        <v>6.612685560053988E-2</v>
      </c>
      <c r="M118" s="157">
        <f>M4/I4-1</f>
        <v>5.249343832020914E-3</v>
      </c>
      <c r="N118" s="157">
        <f>N4/J4-1</f>
        <v>3.0037546933667114E-2</v>
      </c>
      <c r="O118" s="157">
        <f>O4/K4-1</f>
        <v>2.34375E-2</v>
      </c>
      <c r="P118" s="157">
        <f>P4/L4-1</f>
        <v>0.13797468354430387</v>
      </c>
      <c r="Q118" s="157">
        <f>Q4/M4-1</f>
        <v>0.13707571801566587</v>
      </c>
      <c r="R118" s="157">
        <f>R4/N4-1</f>
        <v>0.12636695018225996</v>
      </c>
      <c r="S118" s="157">
        <f>S4/O4-1</f>
        <v>0.13613231552162852</v>
      </c>
      <c r="T118" s="157">
        <f>T4/P4-1</f>
        <v>5.784204671857629E-2</v>
      </c>
      <c r="U118" s="157">
        <f>U4/Q4-1</f>
        <v>0.14121699196326065</v>
      </c>
      <c r="V118" s="157">
        <f>V4/R4-1</f>
        <v>0.19417475728155331</v>
      </c>
      <c r="W118" s="157">
        <f>W4/S4-1</f>
        <v>0.28331466965285546</v>
      </c>
      <c r="X118" s="157">
        <f>X4/T4-1</f>
        <v>0.2250262881177707</v>
      </c>
      <c r="Y118" s="157">
        <f>Y4/U4-1</f>
        <v>0.17203219315895368</v>
      </c>
      <c r="Z118" s="157">
        <f>Z4/V4-1</f>
        <v>6.4137308039747154E-2</v>
      </c>
      <c r="AA118" s="157">
        <f>AA4/W4-1</f>
        <v>7.4171029668411936E-2</v>
      </c>
      <c r="AB118" s="157">
        <f>AB4/X4-1</f>
        <v>7.4678111587982876E-2</v>
      </c>
      <c r="AC118" s="157">
        <f>AC4/Y4-1</f>
        <v>8.1545064377682497E-2</v>
      </c>
      <c r="AD118" s="157">
        <f>AD4/Z4-1</f>
        <v>7.5551782682512725E-2</v>
      </c>
      <c r="AE118" s="157">
        <f>AE4/AA4-1</f>
        <v>7.3111291632818931E-2</v>
      </c>
      <c r="AF118" s="157">
        <f>AF4/AB4-1</f>
        <v>1.9968051118210761E-2</v>
      </c>
      <c r="AG118" s="157">
        <f>AG4/AC4-1</f>
        <v>5.4761904761904789E-2</v>
      </c>
      <c r="AH118" s="157">
        <f>AH4/AD4-1</f>
        <v>7.8926598263606706E-4</v>
      </c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M118" s="157">
        <f>CM4/CL4-1</f>
        <v>1.3366490519117091E-2</v>
      </c>
      <c r="CN118" s="157">
        <f>CN4/CM4-1</f>
        <v>-0.1147239263803681</v>
      </c>
      <c r="CO118" s="157">
        <f>CO4/CN4-1</f>
        <v>3.9154539154539147E-2</v>
      </c>
      <c r="CP118" s="157">
        <f>CP4/CO4-1</f>
        <v>4.9349783261086966E-2</v>
      </c>
      <c r="CQ118" s="157">
        <f>CQ4/CP4-1</f>
        <v>0.10676835081029545</v>
      </c>
      <c r="CR118" s="157">
        <f>CR4/CQ4-1</f>
        <v>0.13264427217915586</v>
      </c>
      <c r="CS118" s="157">
        <f>CS4/CR4-1</f>
        <v>0.17972116603295318</v>
      </c>
      <c r="CT118" s="157">
        <f>CT4/CS4-1</f>
        <v>7.6493339063171462E-2</v>
      </c>
      <c r="CU118" s="157">
        <f>CU4/CT4-1</f>
        <v>3.6926147704590795E-2</v>
      </c>
      <c r="CV118" s="157">
        <f>CV4/CU4-1</f>
        <v>5.0000000000000044E-2</v>
      </c>
      <c r="CW118" s="157">
        <f>CW4/CV4-1</f>
        <v>5.0000000000000044E-2</v>
      </c>
      <c r="CX118" s="157">
        <f>CX4/CW4-1</f>
        <v>3.0000000000000027E-2</v>
      </c>
      <c r="CY118" s="157">
        <f>CY4/CX4-1</f>
        <v>3.0000000000000027E-2</v>
      </c>
      <c r="CZ118" s="157">
        <f>CZ4/CY4-1</f>
        <v>3.0000000000000027E-2</v>
      </c>
      <c r="DA118" s="157">
        <f>DA4/CZ4-1</f>
        <v>3.0000000000000027E-2</v>
      </c>
      <c r="DB118" s="157">
        <f>DB4/DA4-1</f>
        <v>-1</v>
      </c>
      <c r="DC118" s="157" t="e">
        <f>DC4/DB4-1</f>
        <v>#DIV/0!</v>
      </c>
      <c r="DD118" s="157" t="e">
        <f>DD4/DC4-1</f>
        <v>#DIV/0!</v>
      </c>
      <c r="DE118" s="157" t="e">
        <f>DE4/DD4-1</f>
        <v>#DIV/0!</v>
      </c>
      <c r="DF118" s="157" t="e">
        <f>DF4/DE4-1</f>
        <v>#DIV/0!</v>
      </c>
      <c r="DG118" s="157" t="e">
        <f>DG4/DF4-1</f>
        <v>#DIV/0!</v>
      </c>
      <c r="DH118" s="157" t="e">
        <f>DH4/DG4-1</f>
        <v>#DIV/0!</v>
      </c>
      <c r="DI118" s="157" t="e">
        <f>DI4/DH4-1</f>
        <v>#DIV/0!</v>
      </c>
      <c r="DU118" s="65" t="s">
        <v>500</v>
      </c>
      <c r="DV118" s="158">
        <v>-0.01</v>
      </c>
    </row>
    <row r="119" spans="2:126" s="69" customFormat="1" x14ac:dyDescent="0.2">
      <c r="B119" s="69" t="s">
        <v>424</v>
      </c>
      <c r="C119" s="159"/>
      <c r="D119" s="159"/>
      <c r="E119" s="159"/>
      <c r="F119" s="159"/>
      <c r="G119" s="72"/>
      <c r="H119" s="72"/>
      <c r="I119" s="72"/>
      <c r="J119" s="72"/>
      <c r="K119" s="72"/>
      <c r="L119" s="72"/>
      <c r="M119" s="72"/>
      <c r="N119" s="153">
        <f t="shared" ref="N119:AH119" si="287">N111/J111-1</f>
        <v>4.6915725456125212E-2</v>
      </c>
      <c r="O119" s="153">
        <f t="shared" si="287"/>
        <v>-4.6604527296937315E-3</v>
      </c>
      <c r="P119" s="153">
        <f t="shared" si="287"/>
        <v>-3.0418250950570158E-3</v>
      </c>
      <c r="Q119" s="153">
        <f t="shared" si="287"/>
        <v>-8.1346423562412395E-2</v>
      </c>
      <c r="R119" s="153">
        <f t="shared" si="287"/>
        <v>0.10041493775933619</v>
      </c>
      <c r="S119" s="153">
        <f t="shared" si="287"/>
        <v>-9.8327759197324394E-2</v>
      </c>
      <c r="T119" s="153">
        <f t="shared" si="287"/>
        <v>7.0938215102974933E-2</v>
      </c>
      <c r="U119" s="153">
        <f t="shared" si="287"/>
        <v>-1.7557251908396965E-2</v>
      </c>
      <c r="V119" s="153">
        <f t="shared" si="287"/>
        <v>2.2624434389140191E-2</v>
      </c>
      <c r="W119" s="153">
        <f t="shared" si="287"/>
        <v>-1.1127596439169163E-2</v>
      </c>
      <c r="X119" s="153">
        <f t="shared" si="287"/>
        <v>0.11965811965811968</v>
      </c>
      <c r="Y119" s="153">
        <f t="shared" si="287"/>
        <v>0.12198912198912204</v>
      </c>
      <c r="Z119" s="153">
        <f t="shared" si="287"/>
        <v>0.32448377581120935</v>
      </c>
      <c r="AA119" s="153">
        <f t="shared" si="287"/>
        <v>0.17029257314328583</v>
      </c>
      <c r="AB119" s="153">
        <f t="shared" si="287"/>
        <v>8.1424936386768509E-2</v>
      </c>
      <c r="AC119" s="153">
        <f t="shared" si="287"/>
        <v>4.7783933518005473E-2</v>
      </c>
      <c r="AD119" s="153">
        <f t="shared" si="287"/>
        <v>-0.15701559020044542</v>
      </c>
      <c r="AE119" s="153">
        <f t="shared" si="287"/>
        <v>-0.28589743589743588</v>
      </c>
      <c r="AF119" s="153">
        <f t="shared" si="287"/>
        <v>-0.25470588235294123</v>
      </c>
      <c r="AG119" s="153">
        <f t="shared" si="287"/>
        <v>-5.7501652346331755E-2</v>
      </c>
      <c r="AH119" s="153">
        <f t="shared" si="287"/>
        <v>-7.0673712021136037E-2</v>
      </c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  <c r="BG119" s="153"/>
      <c r="BH119" s="153"/>
      <c r="BI119" s="153"/>
      <c r="BJ119" s="153"/>
      <c r="BK119" s="153"/>
      <c r="BL119" s="153"/>
      <c r="BM119" s="153"/>
      <c r="BN119" s="153"/>
      <c r="BO119" s="153"/>
      <c r="BP119" s="153"/>
      <c r="BQ119" s="153"/>
      <c r="BR119" s="153"/>
      <c r="BS119" s="153"/>
      <c r="BT119" s="153"/>
      <c r="BU119" s="153"/>
      <c r="BV119" s="153"/>
      <c r="BW119" s="153"/>
      <c r="BX119" s="153"/>
      <c r="BY119" s="153"/>
      <c r="BZ119" s="153"/>
      <c r="CA119" s="153"/>
      <c r="CB119" s="153"/>
      <c r="CC119" s="153"/>
      <c r="CD119" s="153"/>
      <c r="CE119" s="153"/>
      <c r="CF119" s="153"/>
      <c r="CG119" s="153"/>
      <c r="CH119" s="153"/>
      <c r="CI119" s="153"/>
      <c r="CJ119" s="13"/>
      <c r="CK119" s="13"/>
      <c r="CL119" s="72"/>
      <c r="CM119" s="72"/>
      <c r="CN119" s="170"/>
      <c r="CO119" s="170"/>
      <c r="CP119" s="170"/>
      <c r="CQ119" s="170"/>
      <c r="CR119" s="153">
        <f t="shared" ref="CR119:DI119" si="288">CR111/CQ111-1</f>
        <v>-7.6600401240196625E-3</v>
      </c>
      <c r="CS119" s="153">
        <f t="shared" si="288"/>
        <v>0.17625436500643255</v>
      </c>
      <c r="CT119" s="153">
        <f t="shared" si="288"/>
        <v>3.3218750000001407E-3</v>
      </c>
      <c r="CU119" s="153">
        <f t="shared" si="288"/>
        <v>-8.8859222396952986E-2</v>
      </c>
      <c r="CV119" s="153">
        <f t="shared" si="288"/>
        <v>1.5589264016555138E-2</v>
      </c>
      <c r="CW119" s="153">
        <f t="shared" si="288"/>
        <v>0.36010626388333078</v>
      </c>
      <c r="CX119" s="153">
        <f t="shared" si="288"/>
        <v>-1.8075162822559832E-2</v>
      </c>
      <c r="CY119" s="153">
        <f t="shared" si="288"/>
        <v>-3.8890253510197814E-2</v>
      </c>
      <c r="CZ119" s="153">
        <f t="shared" si="288"/>
        <v>-1.5549361247586546E-2</v>
      </c>
      <c r="DA119" s="153">
        <f t="shared" si="288"/>
        <v>-1.7212065960605138</v>
      </c>
      <c r="DB119" s="153">
        <f t="shared" si="288"/>
        <v>0</v>
      </c>
      <c r="DC119" s="153">
        <f t="shared" si="288"/>
        <v>-1</v>
      </c>
      <c r="DD119" s="153" t="e">
        <f t="shared" si="288"/>
        <v>#DIV/0!</v>
      </c>
      <c r="DE119" s="153">
        <f t="shared" si="288"/>
        <v>-0.58492524916943522</v>
      </c>
      <c r="DF119" s="153">
        <f t="shared" si="288"/>
        <v>-3.5667833916958478</v>
      </c>
      <c r="DG119" s="153">
        <f t="shared" si="288"/>
        <v>0.80066141933427559</v>
      </c>
      <c r="DH119" s="153">
        <f t="shared" si="288"/>
        <v>-6.6893820585836039E-3</v>
      </c>
      <c r="DI119" s="153">
        <f t="shared" si="288"/>
        <v>1.7296248951261139E-2</v>
      </c>
      <c r="DU119" s="65" t="s">
        <v>501</v>
      </c>
      <c r="DV119" s="151">
        <f>NPV(DV117,DG111:FS111)+Main!J6-Main!J7</f>
        <v>78670.740942708158</v>
      </c>
    </row>
    <row r="120" spans="2:126" s="69" customFormat="1" x14ac:dyDescent="0.2">
      <c r="B120" s="69" t="s">
        <v>511</v>
      </c>
      <c r="C120" s="159"/>
      <c r="D120" s="159"/>
      <c r="E120" s="159"/>
      <c r="F120" s="159"/>
      <c r="G120" s="72"/>
      <c r="H120" s="72"/>
      <c r="I120" s="72"/>
      <c r="J120" s="72"/>
      <c r="K120" s="72"/>
      <c r="L120" s="72"/>
      <c r="M120" s="72"/>
      <c r="N120" s="153">
        <f t="shared" ref="N120:AH120" si="289">N113/J113-1</f>
        <v>6.5180262393039756E-2</v>
      </c>
      <c r="O120" s="153">
        <f t="shared" si="289"/>
        <v>5.3597440549066899E-3</v>
      </c>
      <c r="P120" s="153">
        <f t="shared" si="289"/>
        <v>1.5390823827629907E-2</v>
      </c>
      <c r="Q120" s="153">
        <f t="shared" si="289"/>
        <v>-5.8260532214133409E-2</v>
      </c>
      <c r="R120" s="153">
        <f t="shared" si="289"/>
        <v>0.12406890573983254</v>
      </c>
      <c r="S120" s="153">
        <f t="shared" si="289"/>
        <v>-5.3528322687291685E-2</v>
      </c>
      <c r="T120" s="153">
        <f t="shared" si="289"/>
        <v>0.14264557282895152</v>
      </c>
      <c r="U120" s="153">
        <f t="shared" si="289"/>
        <v>7.5493918180059127E-2</v>
      </c>
      <c r="V120" s="153">
        <f t="shared" si="289"/>
        <v>0.10046358172797376</v>
      </c>
      <c r="W120" s="153">
        <f t="shared" si="289"/>
        <v>5.3313140759700284E-2</v>
      </c>
      <c r="X120" s="153">
        <f t="shared" si="289"/>
        <v>0.15583270155426021</v>
      </c>
      <c r="Y120" s="153">
        <f t="shared" si="289"/>
        <v>0.11781570904515304</v>
      </c>
      <c r="Z120" s="153">
        <f t="shared" si="289"/>
        <v>0.30946812706276328</v>
      </c>
      <c r="AA120" s="153">
        <f t="shared" si="289"/>
        <v>0.15658891303622169</v>
      </c>
      <c r="AB120" s="153">
        <f t="shared" si="289"/>
        <v>7.7837070672760689E-2</v>
      </c>
      <c r="AC120" s="153">
        <f t="shared" si="289"/>
        <v>4.4104629810763241E-2</v>
      </c>
      <c r="AD120" s="153">
        <f t="shared" si="289"/>
        <v>-0.15964375671579878</v>
      </c>
      <c r="AE120" s="153">
        <f t="shared" si="289"/>
        <v>-0.28701061214701118</v>
      </c>
      <c r="AF120" s="153">
        <f t="shared" si="289"/>
        <v>-1</v>
      </c>
      <c r="AG120" s="153">
        <f t="shared" si="289"/>
        <v>-1</v>
      </c>
      <c r="AH120" s="153">
        <f t="shared" si="289"/>
        <v>-1</v>
      </c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3"/>
      <c r="BE120" s="153"/>
      <c r="BF120" s="153"/>
      <c r="BG120" s="153"/>
      <c r="BH120" s="153"/>
      <c r="BI120" s="153"/>
      <c r="BJ120" s="153"/>
      <c r="BK120" s="153"/>
      <c r="BL120" s="153"/>
      <c r="BM120" s="153"/>
      <c r="BN120" s="153"/>
      <c r="BO120" s="153"/>
      <c r="BP120" s="153"/>
      <c r="BQ120" s="153"/>
      <c r="BR120" s="153"/>
      <c r="BS120" s="153"/>
      <c r="BT120" s="153"/>
      <c r="BU120" s="153"/>
      <c r="BV120" s="153"/>
      <c r="BW120" s="153"/>
      <c r="BX120" s="153"/>
      <c r="BY120" s="153"/>
      <c r="BZ120" s="153"/>
      <c r="CA120" s="153"/>
      <c r="CB120" s="153"/>
      <c r="CC120" s="153"/>
      <c r="CD120" s="153"/>
      <c r="CE120" s="153"/>
      <c r="CF120" s="153"/>
      <c r="CG120" s="153"/>
      <c r="CH120" s="153"/>
      <c r="CI120" s="153"/>
      <c r="CJ120" s="13"/>
      <c r="CK120" s="13"/>
      <c r="CL120" s="72"/>
      <c r="CM120" s="72"/>
      <c r="CN120" s="153">
        <f t="shared" ref="CN120:DI120" si="290">CN113/CM113-1</f>
        <v>-0.11742709253253525</v>
      </c>
      <c r="CO120" s="153">
        <f t="shared" si="290"/>
        <v>0.21295723386208487</v>
      </c>
      <c r="CP120" s="153">
        <f t="shared" si="290"/>
        <v>0.15469819903197579</v>
      </c>
      <c r="CQ120" s="153">
        <f t="shared" si="290"/>
        <v>3.0610374184536049E-2</v>
      </c>
      <c r="CR120" s="153">
        <f t="shared" si="290"/>
        <v>6.3286092595696841E-2</v>
      </c>
      <c r="CS120" s="153">
        <f t="shared" si="290"/>
        <v>0.20036195630688325</v>
      </c>
      <c r="CT120" s="153">
        <f t="shared" si="290"/>
        <v>-1.622285293471748E-3</v>
      </c>
      <c r="CU120" s="153" t="e">
        <f t="shared" si="290"/>
        <v>#DIV/0!</v>
      </c>
      <c r="CV120" s="153" t="e">
        <f t="shared" si="290"/>
        <v>#DIV/0!</v>
      </c>
      <c r="CW120" s="153" t="e">
        <f t="shared" si="290"/>
        <v>#DIV/0!</v>
      </c>
      <c r="CX120" s="153" t="e">
        <f t="shared" si="290"/>
        <v>#DIV/0!</v>
      </c>
      <c r="CY120" s="153" t="e">
        <f t="shared" si="290"/>
        <v>#DIV/0!</v>
      </c>
      <c r="CZ120" s="153" t="e">
        <f t="shared" si="290"/>
        <v>#DIV/0!</v>
      </c>
      <c r="DA120" s="153" t="e">
        <f t="shared" si="290"/>
        <v>#DIV/0!</v>
      </c>
      <c r="DB120" s="153" t="e">
        <f t="shared" si="290"/>
        <v>#DIV/0!</v>
      </c>
      <c r="DC120" s="153" t="e">
        <f t="shared" si="290"/>
        <v>#DIV/0!</v>
      </c>
      <c r="DD120" s="153" t="e">
        <f t="shared" si="290"/>
        <v>#DIV/0!</v>
      </c>
      <c r="DE120" s="153">
        <f t="shared" si="290"/>
        <v>-0.56444552078696875</v>
      </c>
      <c r="DF120" s="153">
        <f t="shared" si="290"/>
        <v>-3.8521315716599309</v>
      </c>
      <c r="DG120" s="153">
        <f t="shared" si="290"/>
        <v>0.80066141933427559</v>
      </c>
      <c r="DH120" s="153">
        <f t="shared" si="290"/>
        <v>-6.6893820585836039E-3</v>
      </c>
      <c r="DI120" s="153">
        <f t="shared" si="290"/>
        <v>1.7296248951261139E-2</v>
      </c>
      <c r="DU120" s="65"/>
      <c r="DV120" s="159">
        <f>+DV119/Main!J4*100</f>
        <v>1954.5525700051717</v>
      </c>
    </row>
    <row r="121" spans="2:126" s="69" customFormat="1" x14ac:dyDescent="0.2">
      <c r="B121" s="69" t="s">
        <v>584</v>
      </c>
      <c r="C121" s="159"/>
      <c r="D121" s="159"/>
      <c r="E121" s="159"/>
      <c r="F121" s="159"/>
      <c r="G121" s="72"/>
      <c r="H121" s="72"/>
      <c r="I121" s="72"/>
      <c r="J121" s="72"/>
      <c r="K121" s="72"/>
      <c r="L121" s="72"/>
      <c r="M121" s="72"/>
      <c r="N121" s="153">
        <v>0.22</v>
      </c>
      <c r="O121" s="153">
        <v>0.14000000000000001</v>
      </c>
      <c r="P121" s="153">
        <v>0.11</v>
      </c>
      <c r="Q121" s="153">
        <v>0.01</v>
      </c>
      <c r="R121" s="153">
        <v>0.17</v>
      </c>
      <c r="S121" s="153">
        <v>-0.09</v>
      </c>
      <c r="T121" s="153">
        <v>0.05</v>
      </c>
      <c r="U121" s="153">
        <v>-0.09</v>
      </c>
      <c r="V121" s="153">
        <v>-0.23</v>
      </c>
      <c r="W121" s="153">
        <v>-0.28000000000000003</v>
      </c>
      <c r="X121" s="153">
        <v>-0.04</v>
      </c>
      <c r="Y121" s="153">
        <v>-0.03</v>
      </c>
      <c r="Z121" s="153">
        <v>0.43</v>
      </c>
      <c r="AA121" s="153">
        <v>0.16</v>
      </c>
      <c r="AB121" s="153" t="s">
        <v>449</v>
      </c>
      <c r="AC121" s="153">
        <v>-0.06</v>
      </c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3"/>
      <c r="CK121" s="13"/>
      <c r="CL121" s="72"/>
      <c r="CM121" s="72"/>
      <c r="CN121" s="153"/>
      <c r="CO121" s="153"/>
      <c r="CP121" s="153"/>
      <c r="CQ121" s="153"/>
      <c r="CR121" s="153"/>
      <c r="CS121" s="153"/>
      <c r="CT121" s="153"/>
      <c r="CU121" s="153"/>
      <c r="CV121" s="153"/>
      <c r="CW121" s="153"/>
      <c r="CX121" s="153"/>
      <c r="CY121" s="153"/>
      <c r="CZ121" s="153"/>
      <c r="DA121" s="70"/>
      <c r="DB121" s="70"/>
      <c r="DC121" s="70"/>
      <c r="DD121" s="70"/>
      <c r="DV121" s="158">
        <f>DV120/1333-1</f>
        <v>0.46628099775331711</v>
      </c>
    </row>
    <row r="122" spans="2:126" x14ac:dyDescent="0.2">
      <c r="CN122" s="168"/>
      <c r="CO122" s="170"/>
      <c r="CP122" s="168"/>
      <c r="CQ122" s="168"/>
      <c r="CR122" s="168"/>
      <c r="CS122" s="157"/>
      <c r="CT122" s="157"/>
      <c r="CU122" s="157"/>
      <c r="CV122" s="157"/>
      <c r="CW122" s="157"/>
      <c r="CX122" s="157"/>
      <c r="CY122" s="157"/>
      <c r="CZ122" s="157"/>
      <c r="DA122" s="157"/>
      <c r="DB122" s="157"/>
      <c r="DC122" s="157"/>
      <c r="DD122" s="157"/>
      <c r="DE122" s="157"/>
      <c r="DF122" s="157"/>
      <c r="DG122" s="157"/>
      <c r="DH122" s="157"/>
      <c r="DI122" s="157"/>
    </row>
    <row r="123" spans="2:126" x14ac:dyDescent="0.2">
      <c r="B123" s="65" t="s">
        <v>90</v>
      </c>
      <c r="C123" s="174"/>
      <c r="D123" s="174"/>
      <c r="E123" s="174"/>
      <c r="F123" s="174"/>
      <c r="G123" s="138"/>
      <c r="H123" s="138"/>
      <c r="I123" s="138"/>
      <c r="J123" s="138"/>
      <c r="K123" s="136">
        <f t="shared" ref="K123:AH123" si="291">K103/K101</f>
        <v>0.80492000688112852</v>
      </c>
      <c r="L123" s="136">
        <f t="shared" si="291"/>
        <v>0.79194630872483218</v>
      </c>
      <c r="M123" s="136">
        <f t="shared" si="291"/>
        <v>0.78341013824884798</v>
      </c>
      <c r="N123" s="136">
        <f t="shared" si="291"/>
        <v>0.75750964927001174</v>
      </c>
      <c r="O123" s="136">
        <f t="shared" si="291"/>
        <v>0.77932761087267521</v>
      </c>
      <c r="P123" s="136">
        <f t="shared" si="291"/>
        <v>0.78639407825167429</v>
      </c>
      <c r="Q123" s="136">
        <f t="shared" si="291"/>
        <v>0.77501826150474795</v>
      </c>
      <c r="R123" s="136">
        <f t="shared" si="291"/>
        <v>0.74460972756142407</v>
      </c>
      <c r="S123" s="136">
        <f t="shared" si="291"/>
        <v>0.77154414351037637</v>
      </c>
      <c r="T123" s="136">
        <f t="shared" si="291"/>
        <v>0.76591760299625467</v>
      </c>
      <c r="U123" s="136">
        <f t="shared" si="291"/>
        <v>0.75178510710642643</v>
      </c>
      <c r="V123" s="136">
        <f t="shared" si="291"/>
        <v>0.76237337192474675</v>
      </c>
      <c r="W123" s="136">
        <f t="shared" si="291"/>
        <v>0.75712808391195152</v>
      </c>
      <c r="X123" s="136">
        <f t="shared" si="291"/>
        <v>0.75974507188380025</v>
      </c>
      <c r="Y123" s="136">
        <f t="shared" si="291"/>
        <v>0.74371115714708491</v>
      </c>
      <c r="Z123" s="136">
        <f t="shared" si="291"/>
        <v>0.7407956510995799</v>
      </c>
      <c r="AA123" s="136">
        <f t="shared" si="291"/>
        <v>0.73848035884191932</v>
      </c>
      <c r="AB123" s="136">
        <f t="shared" si="291"/>
        <v>0.76854092526690387</v>
      </c>
      <c r="AC123" s="136">
        <f t="shared" si="291"/>
        <v>0.73609276383384703</v>
      </c>
      <c r="AD123" s="136">
        <f t="shared" si="291"/>
        <v>0.72488536890370991</v>
      </c>
      <c r="AE123" s="136">
        <f t="shared" si="291"/>
        <v>0.72968868640850415</v>
      </c>
      <c r="AF123" s="136">
        <f t="shared" si="291"/>
        <v>0.75818452380952384</v>
      </c>
      <c r="AG123" s="136">
        <f t="shared" si="291"/>
        <v>0.72156531531531531</v>
      </c>
      <c r="AH123" s="136">
        <f t="shared" si="291"/>
        <v>0.73115505875609055</v>
      </c>
      <c r="AI123" s="136"/>
      <c r="AJ123" s="136"/>
      <c r="AK123" s="136"/>
      <c r="AL123" s="136"/>
      <c r="AM123" s="136"/>
      <c r="AN123" s="136"/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  <c r="AY123" s="136"/>
      <c r="AZ123" s="136"/>
      <c r="BA123" s="136"/>
      <c r="BB123" s="136"/>
      <c r="BC123" s="136"/>
      <c r="BD123" s="136"/>
      <c r="BE123" s="136"/>
      <c r="BF123" s="136"/>
      <c r="BG123" s="136"/>
      <c r="BH123" s="136"/>
      <c r="BI123" s="136"/>
      <c r="BJ123" s="136"/>
      <c r="BK123" s="136"/>
      <c r="BL123" s="136"/>
      <c r="BM123" s="136"/>
      <c r="BN123" s="144">
        <f t="shared" ref="BN123:BU123" si="292">+BN103/BN101</f>
        <v>0.67996404090347229</v>
      </c>
      <c r="BO123" s="144">
        <f t="shared" si="292"/>
        <v>0.57910014513788099</v>
      </c>
      <c r="BP123" s="144">
        <f t="shared" si="292"/>
        <v>0.52474286823209781</v>
      </c>
      <c r="BQ123" s="144">
        <f t="shared" si="292"/>
        <v>0.58685751463890701</v>
      </c>
      <c r="BR123" s="144">
        <f t="shared" si="292"/>
        <v>0.55801804654107967</v>
      </c>
      <c r="BS123" s="144">
        <f t="shared" si="292"/>
        <v>0.56036177742823434</v>
      </c>
      <c r="BT123" s="144">
        <f t="shared" si="292"/>
        <v>0.73745040538209417</v>
      </c>
      <c r="BU123" s="144">
        <f t="shared" si="292"/>
        <v>0.59695354150799695</v>
      </c>
      <c r="BV123" s="144">
        <f>+BV103/BV101</f>
        <v>0.5024903941938238</v>
      </c>
      <c r="BW123" s="144">
        <f>+BW103/BW101</f>
        <v>0.61930783242258647</v>
      </c>
      <c r="BX123" s="144">
        <f>+BX103/BX101</f>
        <v>0.71568768942127292</v>
      </c>
      <c r="BY123" s="144">
        <f>+BY103/BY101</f>
        <v>0.71687979539641944</v>
      </c>
      <c r="BZ123" s="144">
        <f>+BZ103/BZ101</f>
        <v>0.72474576271186442</v>
      </c>
      <c r="CA123" s="144">
        <f t="shared" ref="CA123:CD123" si="293">+CA103/CA101</f>
        <v>0.69</v>
      </c>
      <c r="CB123" s="144">
        <f t="shared" si="293"/>
        <v>0.69</v>
      </c>
      <c r="CC123" s="144">
        <f t="shared" si="293"/>
        <v>0.69</v>
      </c>
      <c r="CD123" s="144">
        <f t="shared" si="293"/>
        <v>0.69</v>
      </c>
      <c r="CE123" s="136"/>
      <c r="CF123" s="136"/>
      <c r="CG123" s="136"/>
      <c r="CH123" s="136"/>
      <c r="CI123" s="136"/>
      <c r="CJ123" s="145"/>
      <c r="CK123" s="145"/>
      <c r="CL123" s="149"/>
      <c r="CM123" s="149">
        <f t="shared" ref="CM123:CT123" si="294">CM103/CM101</f>
        <v>1.0188051759583989</v>
      </c>
      <c r="CN123" s="149">
        <f t="shared" si="294"/>
        <v>0.91874412041392284</v>
      </c>
      <c r="CO123" s="149">
        <f t="shared" si="294"/>
        <v>0.78651894609440465</v>
      </c>
      <c r="CP123" s="149">
        <f t="shared" si="294"/>
        <v>0.78428417653390747</v>
      </c>
      <c r="CQ123" s="149">
        <f t="shared" si="294"/>
        <v>0.77091309130913088</v>
      </c>
      <c r="CR123" s="149">
        <f t="shared" si="294"/>
        <v>0.75935085639537259</v>
      </c>
      <c r="CS123" s="149">
        <f t="shared" si="294"/>
        <v>0.7521224190336443</v>
      </c>
      <c r="CT123" s="149">
        <f t="shared" si="294"/>
        <v>0.74370184354200697</v>
      </c>
      <c r="CU123" s="149">
        <f>CT123-0.1%</f>
        <v>0.74270184354200697</v>
      </c>
      <c r="CV123" s="149">
        <f t="shared" ref="CV123:CZ123" si="295">CU123-0.1%</f>
        <v>0.74170184354200697</v>
      </c>
      <c r="CW123" s="149">
        <f t="shared" si="295"/>
        <v>0.74070184354200697</v>
      </c>
      <c r="CX123" s="149">
        <f t="shared" si="295"/>
        <v>0.73970184354200696</v>
      </c>
      <c r="CY123" s="149">
        <f t="shared" si="295"/>
        <v>0.73870184354200696</v>
      </c>
      <c r="CZ123" s="149">
        <f t="shared" si="295"/>
        <v>0.73770184354200696</v>
      </c>
      <c r="DA123" s="149"/>
      <c r="DB123" s="149"/>
      <c r="DC123" s="149"/>
      <c r="DD123" s="149">
        <f t="shared" ref="DD123:DI123" si="296">+DD103/DD101</f>
        <v>0.56375162685251268</v>
      </c>
      <c r="DE123" s="149">
        <f t="shared" si="296"/>
        <v>0.5955056179775281</v>
      </c>
      <c r="DF123" s="149">
        <f t="shared" si="296"/>
        <v>0.69478144971121969</v>
      </c>
      <c r="DG123" s="149">
        <f t="shared" si="296"/>
        <v>0.7</v>
      </c>
      <c r="DH123" s="149">
        <f t="shared" si="296"/>
        <v>0.7</v>
      </c>
      <c r="DI123" s="149">
        <f t="shared" si="296"/>
        <v>0.69999999999999984</v>
      </c>
      <c r="DJ123" s="149">
        <f t="shared" ref="DJ123:DS123" si="297">+DJ103/DJ101</f>
        <v>0.7</v>
      </c>
      <c r="DK123" s="149">
        <f t="shared" si="297"/>
        <v>0.7</v>
      </c>
      <c r="DL123" s="149">
        <f t="shared" si="297"/>
        <v>0.7</v>
      </c>
      <c r="DM123" s="149">
        <f t="shared" si="297"/>
        <v>0.7</v>
      </c>
      <c r="DN123" s="149">
        <f t="shared" si="297"/>
        <v>0.7</v>
      </c>
      <c r="DO123" s="149">
        <f t="shared" si="297"/>
        <v>0.7</v>
      </c>
      <c r="DP123" s="149">
        <f t="shared" si="297"/>
        <v>0.7</v>
      </c>
      <c r="DQ123" s="149">
        <f t="shared" si="297"/>
        <v>0.7</v>
      </c>
      <c r="DR123" s="149">
        <f t="shared" si="297"/>
        <v>0.7</v>
      </c>
      <c r="DS123" s="149">
        <f t="shared" si="297"/>
        <v>0.7</v>
      </c>
    </row>
    <row r="124" spans="2:126" x14ac:dyDescent="0.2">
      <c r="B124" s="65" t="s">
        <v>422</v>
      </c>
      <c r="C124" s="174"/>
      <c r="D124" s="174"/>
      <c r="E124" s="174"/>
      <c r="F124" s="174"/>
      <c r="G124" s="138"/>
      <c r="H124" s="138"/>
      <c r="I124" s="138"/>
      <c r="J124" s="138"/>
      <c r="K124" s="137">
        <f t="shared" ref="K124:AH124" si="298">K104/K101</f>
        <v>0.31360743161878546</v>
      </c>
      <c r="L124" s="137">
        <f t="shared" si="298"/>
        <v>0.32404061263121664</v>
      </c>
      <c r="M124" s="137">
        <f t="shared" si="298"/>
        <v>0.28660049627791562</v>
      </c>
      <c r="N124" s="137">
        <f t="shared" si="298"/>
        <v>0.32455109917771441</v>
      </c>
      <c r="O124" s="137">
        <f t="shared" si="298"/>
        <v>0.29917739628040058</v>
      </c>
      <c r="P124" s="137">
        <f t="shared" si="298"/>
        <v>0.3244624603454353</v>
      </c>
      <c r="Q124" s="137">
        <f t="shared" si="298"/>
        <v>0.29528853177501824</v>
      </c>
      <c r="R124" s="137">
        <f t="shared" si="298"/>
        <v>0.28179842888183187</v>
      </c>
      <c r="S124" s="137">
        <f t="shared" si="298"/>
        <v>0.30249736194161098</v>
      </c>
      <c r="T124" s="137">
        <f t="shared" si="298"/>
        <v>0.30047667688117125</v>
      </c>
      <c r="U124" s="137">
        <f t="shared" si="298"/>
        <v>0.28255695341720505</v>
      </c>
      <c r="V124" s="137">
        <f t="shared" si="298"/>
        <v>0.31910274963820551</v>
      </c>
      <c r="W124" s="137">
        <f t="shared" si="298"/>
        <v>0.31452208598020387</v>
      </c>
      <c r="X124" s="137">
        <f t="shared" si="298"/>
        <v>0.33007262487031275</v>
      </c>
      <c r="Y124" s="137">
        <f t="shared" si="298"/>
        <v>0.30541580349215747</v>
      </c>
      <c r="Z124" s="137">
        <f t="shared" si="298"/>
        <v>0.34346429453916483</v>
      </c>
      <c r="AA124" s="137">
        <f t="shared" si="298"/>
        <v>0.31235557971999456</v>
      </c>
      <c r="AB124" s="137">
        <f t="shared" si="298"/>
        <v>0.32384341637010677</v>
      </c>
      <c r="AC124" s="137">
        <f t="shared" si="298"/>
        <v>0.28709819462791719</v>
      </c>
      <c r="AD124" s="137">
        <f t="shared" si="298"/>
        <v>0.29512296790329307</v>
      </c>
      <c r="AE124" s="137">
        <f t="shared" si="298"/>
        <v>0.31192103264996202</v>
      </c>
      <c r="AF124" s="137">
        <f t="shared" si="298"/>
        <v>0.33392857142857141</v>
      </c>
      <c r="AG124" s="137">
        <f t="shared" si="298"/>
        <v>0.29096283783783783</v>
      </c>
      <c r="AH124" s="137">
        <f t="shared" si="298"/>
        <v>0.29578675838349094</v>
      </c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7"/>
      <c r="BD124" s="137"/>
      <c r="BE124" s="137"/>
      <c r="BF124" s="137"/>
      <c r="BG124" s="137"/>
      <c r="BH124" s="137"/>
      <c r="BI124" s="137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45"/>
      <c r="CK124" s="145"/>
      <c r="CL124" s="149"/>
      <c r="CM124" s="149">
        <v>0.35282392026578074</v>
      </c>
      <c r="CN124" s="149">
        <v>0.36030221154808367</v>
      </c>
      <c r="CO124" s="149">
        <v>0.33471837488457989</v>
      </c>
      <c r="CP124" s="149">
        <v>0.32424198966335499</v>
      </c>
      <c r="CQ124" s="149">
        <v>0.31507091083330829</v>
      </c>
      <c r="CR124" s="149">
        <v>0.315</v>
      </c>
      <c r="CS124" s="149">
        <f>CS104/CS101</f>
        <v>0.32141983719386508</v>
      </c>
      <c r="CT124" s="149">
        <f>CT104/CT101</f>
        <v>0.30264027672366456</v>
      </c>
      <c r="CU124" s="149">
        <v>0.3</v>
      </c>
      <c r="CV124" s="149">
        <v>0.29499999999999998</v>
      </c>
      <c r="CW124" s="149">
        <v>0.28999999999999998</v>
      </c>
      <c r="CX124" s="149">
        <v>0.28770000000000001</v>
      </c>
      <c r="CY124" s="149">
        <v>0.28770000000000001</v>
      </c>
      <c r="CZ124" s="149">
        <v>0.28770000000000001</v>
      </c>
      <c r="DA124" s="149">
        <f t="shared" ref="DA124:DI124" si="299">DA104/DA101</f>
        <v>0.29325044154494134</v>
      </c>
      <c r="DB124" s="149">
        <f t="shared" si="299"/>
        <v>0.86394548263489168</v>
      </c>
      <c r="DC124" s="149">
        <f t="shared" si="299"/>
        <v>0</v>
      </c>
      <c r="DD124" s="149">
        <f t="shared" si="299"/>
        <v>0.45744993492589947</v>
      </c>
      <c r="DE124" s="149">
        <f t="shared" si="299"/>
        <v>0.38296220633299283</v>
      </c>
      <c r="DF124" s="149">
        <f t="shared" si="299"/>
        <v>0.27921123679983595</v>
      </c>
      <c r="DG124" s="149">
        <f t="shared" si="299"/>
        <v>0.25</v>
      </c>
      <c r="DH124" s="149">
        <f t="shared" si="299"/>
        <v>0.25</v>
      </c>
      <c r="DI124" s="149">
        <f t="shared" si="299"/>
        <v>0.25</v>
      </c>
      <c r="DJ124" s="149">
        <f t="shared" ref="DJ124:DS124" si="300">DJ104/DJ101</f>
        <v>0.25</v>
      </c>
      <c r="DK124" s="149">
        <f t="shared" si="300"/>
        <v>0.25</v>
      </c>
      <c r="DL124" s="149">
        <f t="shared" si="300"/>
        <v>0.25</v>
      </c>
      <c r="DM124" s="149">
        <f t="shared" si="300"/>
        <v>0.25</v>
      </c>
      <c r="DN124" s="149">
        <f t="shared" si="300"/>
        <v>0.25</v>
      </c>
      <c r="DO124" s="149">
        <f t="shared" si="300"/>
        <v>0.25</v>
      </c>
      <c r="DP124" s="149">
        <f t="shared" si="300"/>
        <v>0.25</v>
      </c>
      <c r="DQ124" s="149">
        <f t="shared" si="300"/>
        <v>0.25</v>
      </c>
      <c r="DR124" s="149">
        <f t="shared" si="300"/>
        <v>0.25</v>
      </c>
      <c r="DS124" s="149">
        <f t="shared" si="300"/>
        <v>0.25</v>
      </c>
    </row>
    <row r="125" spans="2:126" x14ac:dyDescent="0.2">
      <c r="B125" s="65" t="s">
        <v>421</v>
      </c>
      <c r="C125" s="174"/>
      <c r="D125" s="174"/>
      <c r="E125" s="174"/>
      <c r="F125" s="174"/>
      <c r="G125" s="138"/>
      <c r="H125" s="138"/>
      <c r="I125" s="138"/>
      <c r="J125" s="138"/>
      <c r="K125" s="137">
        <f t="shared" ref="K125:AH125" si="301">K105/K101</f>
        <v>0.12953724410803372</v>
      </c>
      <c r="L125" s="137">
        <f t="shared" si="301"/>
        <v>0.14679056960936154</v>
      </c>
      <c r="M125" s="137">
        <f t="shared" si="301"/>
        <v>0.15437788018433179</v>
      </c>
      <c r="N125" s="137">
        <f t="shared" si="301"/>
        <v>0.16445712367846954</v>
      </c>
      <c r="O125" s="137">
        <f t="shared" si="301"/>
        <v>0.1298283261802575</v>
      </c>
      <c r="P125" s="137">
        <f t="shared" si="301"/>
        <v>0.13905534014804372</v>
      </c>
      <c r="Q125" s="137">
        <f t="shared" si="301"/>
        <v>0.14043097151205258</v>
      </c>
      <c r="R125" s="137">
        <f t="shared" si="301"/>
        <v>0.15928463981280294</v>
      </c>
      <c r="S125" s="137">
        <f t="shared" si="301"/>
        <v>0.13717903622933522</v>
      </c>
      <c r="T125" s="137">
        <f t="shared" si="301"/>
        <v>0.13653387810691181</v>
      </c>
      <c r="U125" s="137">
        <f t="shared" si="301"/>
        <v>0.14178850731043863</v>
      </c>
      <c r="V125" s="137">
        <f t="shared" si="301"/>
        <v>0.15774240231548481</v>
      </c>
      <c r="W125" s="137">
        <f t="shared" si="301"/>
        <v>0.15866449992613385</v>
      </c>
      <c r="X125" s="137">
        <f t="shared" si="301"/>
        <v>0.13680154142581888</v>
      </c>
      <c r="Y125" s="137">
        <f t="shared" si="301"/>
        <v>0.12755253033441846</v>
      </c>
      <c r="Z125" s="137">
        <f t="shared" si="301"/>
        <v>0.13491475166790215</v>
      </c>
      <c r="AA125" s="137">
        <f t="shared" si="301"/>
        <v>0.12763354628245208</v>
      </c>
      <c r="AB125" s="137">
        <f t="shared" si="301"/>
        <v>0.14149466192170818</v>
      </c>
      <c r="AC125" s="137">
        <f t="shared" si="301"/>
        <v>0.13914575077058564</v>
      </c>
      <c r="AD125" s="137">
        <f t="shared" si="301"/>
        <v>0.15047936640266779</v>
      </c>
      <c r="AE125" s="137">
        <f t="shared" si="301"/>
        <v>0.1363705391040243</v>
      </c>
      <c r="AF125" s="137">
        <f t="shared" si="301"/>
        <v>0.14047619047619048</v>
      </c>
      <c r="AG125" s="137">
        <f t="shared" si="301"/>
        <v>0.13668355855855857</v>
      </c>
      <c r="AH125" s="137">
        <f t="shared" si="301"/>
        <v>0.15749498423617081</v>
      </c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37"/>
      <c r="BG125" s="137"/>
      <c r="BH125" s="137"/>
      <c r="BI125" s="137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45"/>
      <c r="CK125" s="145"/>
      <c r="CL125" s="149"/>
      <c r="CM125" s="149">
        <f t="shared" ref="CM125:DI125" si="302">CM105/CM101</f>
        <v>0.17196758979320353</v>
      </c>
      <c r="CN125" s="149">
        <f t="shared" si="302"/>
        <v>0.17074317968015051</v>
      </c>
      <c r="CO125" s="149">
        <f t="shared" si="302"/>
        <v>0.14598268317661298</v>
      </c>
      <c r="CP125" s="149">
        <f t="shared" si="302"/>
        <v>0.14884822389666308</v>
      </c>
      <c r="CQ125" s="149">
        <f t="shared" si="302"/>
        <v>0.14244224422442245</v>
      </c>
      <c r="CR125" s="149">
        <f t="shared" si="302"/>
        <v>0.14331848097126274</v>
      </c>
      <c r="CS125" s="149">
        <f t="shared" si="302"/>
        <v>0.13803584529923488</v>
      </c>
      <c r="CT125" s="149">
        <f t="shared" si="302"/>
        <v>0.13864163376084668</v>
      </c>
      <c r="CU125" s="149">
        <f t="shared" si="302"/>
        <v>0.14307378398396542</v>
      </c>
      <c r="CV125" s="149">
        <f t="shared" si="302"/>
        <v>0.13896331211787386</v>
      </c>
      <c r="CW125" s="149">
        <f t="shared" si="302"/>
        <v>1.9985980261547208E-2</v>
      </c>
      <c r="CX125" s="149">
        <f t="shared" si="302"/>
        <v>2.039593965504348E-2</v>
      </c>
      <c r="CY125" s="149">
        <f t="shared" si="302"/>
        <v>2.1135698401322109E-2</v>
      </c>
      <c r="CZ125" s="149">
        <f t="shared" si="302"/>
        <v>2.140608680341784E-2</v>
      </c>
      <c r="DA125" s="149">
        <f t="shared" si="302"/>
        <v>2.1819062936571508E-2</v>
      </c>
      <c r="DB125" s="149">
        <f t="shared" si="302"/>
        <v>6.428116786480087E-2</v>
      </c>
      <c r="DC125" s="149">
        <f t="shared" si="302"/>
        <v>0</v>
      </c>
      <c r="DD125" s="149">
        <f t="shared" si="302"/>
        <v>0.19870691464797011</v>
      </c>
      <c r="DE125" s="149">
        <f t="shared" si="302"/>
        <v>0.19272727272727272</v>
      </c>
      <c r="DF125" s="149">
        <f t="shared" si="302"/>
        <v>0.17350739892689929</v>
      </c>
      <c r="DG125" s="149">
        <f t="shared" si="302"/>
        <v>0</v>
      </c>
      <c r="DH125" s="149">
        <f t="shared" si="302"/>
        <v>0</v>
      </c>
      <c r="DI125" s="149">
        <f t="shared" si="302"/>
        <v>0</v>
      </c>
      <c r="DJ125" s="149">
        <f t="shared" ref="DJ125:DS125" si="303">DJ105/DJ101</f>
        <v>0</v>
      </c>
      <c r="DK125" s="149">
        <f t="shared" si="303"/>
        <v>0</v>
      </c>
      <c r="DL125" s="149">
        <f t="shared" si="303"/>
        <v>0</v>
      </c>
      <c r="DM125" s="149">
        <f t="shared" si="303"/>
        <v>0</v>
      </c>
      <c r="DN125" s="149">
        <f t="shared" si="303"/>
        <v>0</v>
      </c>
      <c r="DO125" s="149">
        <f t="shared" si="303"/>
        <v>0</v>
      </c>
      <c r="DP125" s="149">
        <f t="shared" si="303"/>
        <v>0</v>
      </c>
      <c r="DQ125" s="149">
        <f t="shared" si="303"/>
        <v>0</v>
      </c>
      <c r="DR125" s="149">
        <f t="shared" si="303"/>
        <v>0</v>
      </c>
      <c r="DS125" s="149">
        <f t="shared" si="303"/>
        <v>0</v>
      </c>
    </row>
    <row r="126" spans="2:126" x14ac:dyDescent="0.2">
      <c r="B126" s="65" t="s">
        <v>420</v>
      </c>
      <c r="C126" s="174"/>
      <c r="D126" s="174"/>
      <c r="E126" s="174"/>
      <c r="F126" s="174"/>
      <c r="G126" s="138"/>
      <c r="H126" s="138"/>
      <c r="I126" s="138"/>
      <c r="J126" s="138"/>
      <c r="K126" s="137">
        <f t="shared" ref="K126:AH126" si="304">K107/K101</f>
        <v>0.37398933425081715</v>
      </c>
      <c r="L126" s="137">
        <f t="shared" si="304"/>
        <v>0.32885906040268459</v>
      </c>
      <c r="M126" s="137">
        <f t="shared" si="304"/>
        <v>0.36139666784828073</v>
      </c>
      <c r="N126" s="137">
        <f t="shared" si="304"/>
        <v>0.28528276556469206</v>
      </c>
      <c r="O126" s="137">
        <f t="shared" si="304"/>
        <v>0.39002145922746784</v>
      </c>
      <c r="P126" s="137">
        <f t="shared" si="304"/>
        <v>0.34191046880507581</v>
      </c>
      <c r="Q126" s="137">
        <f t="shared" si="304"/>
        <v>0.35135135135135137</v>
      </c>
      <c r="R126" s="137">
        <f t="shared" si="304"/>
        <v>0.3234163463145579</v>
      </c>
      <c r="S126" s="137">
        <f t="shared" si="304"/>
        <v>0.36018290538163911</v>
      </c>
      <c r="T126" s="137">
        <f t="shared" si="304"/>
        <v>0.36193394620360914</v>
      </c>
      <c r="U126" s="137">
        <f t="shared" si="304"/>
        <v>0.33645018701122065</v>
      </c>
      <c r="V126" s="137">
        <f t="shared" si="304"/>
        <v>0.30477568740955135</v>
      </c>
      <c r="W126" s="137">
        <f t="shared" si="304"/>
        <v>0.29191904269463731</v>
      </c>
      <c r="X126" s="137">
        <f t="shared" si="304"/>
        <v>0.35289758411145694</v>
      </c>
      <c r="Y126" s="137">
        <f t="shared" si="304"/>
        <v>0.32894347440071026</v>
      </c>
      <c r="Z126" s="137">
        <f t="shared" si="304"/>
        <v>0.33073881887818135</v>
      </c>
      <c r="AA126" s="137">
        <f t="shared" si="304"/>
        <v>0.32554030175343213</v>
      </c>
      <c r="AB126" s="137">
        <f t="shared" si="304"/>
        <v>0.31473309608540923</v>
      </c>
      <c r="AC126" s="137">
        <f t="shared" si="304"/>
        <v>0.32379274915602524</v>
      </c>
      <c r="AD126" s="137">
        <f t="shared" si="304"/>
        <v>0.29567875503682089</v>
      </c>
      <c r="AE126" s="137">
        <f t="shared" si="304"/>
        <v>0.32953682611996965</v>
      </c>
      <c r="AF126" s="137">
        <f t="shared" si="304"/>
        <v>0.29300595238095239</v>
      </c>
      <c r="AG126" s="137">
        <f t="shared" si="304"/>
        <v>0.3067286036036036</v>
      </c>
      <c r="AH126" s="137">
        <f t="shared" si="304"/>
        <v>0.29793637145313845</v>
      </c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45"/>
      <c r="CK126" s="145"/>
      <c r="CL126" s="149"/>
      <c r="CM126" s="149">
        <v>0.30588514475557665</v>
      </c>
      <c r="CN126" s="149">
        <v>0.28800160112078454</v>
      </c>
      <c r="CO126" s="149">
        <v>0.31735918744228991</v>
      </c>
      <c r="CP126" s="149">
        <v>0.32420816743801956</v>
      </c>
      <c r="CQ126" s="149">
        <f t="shared" ref="CQ126:DI126" si="305">CQ109/CQ101</f>
        <v>0.34231023102310232</v>
      </c>
      <c r="CR126" s="149">
        <f t="shared" si="305"/>
        <v>0.31811306871602013</v>
      </c>
      <c r="CS126" s="149">
        <f t="shared" si="305"/>
        <v>0.31376864759109807</v>
      </c>
      <c r="CT126" s="149">
        <f t="shared" si="305"/>
        <v>0.2994463428197694</v>
      </c>
      <c r="CU126" s="149">
        <f t="shared" si="305"/>
        <v>0.2963789039984504</v>
      </c>
      <c r="CV126" s="149">
        <f t="shared" si="305"/>
        <v>0.30773853142413315</v>
      </c>
      <c r="CW126" s="149">
        <f t="shared" si="305"/>
        <v>0.43071586328045974</v>
      </c>
      <c r="CX126" s="149">
        <f t="shared" si="305"/>
        <v>0.43160590388696346</v>
      </c>
      <c r="CY126" s="149">
        <f t="shared" si="305"/>
        <v>0.42986614514068477</v>
      </c>
      <c r="CZ126" s="149">
        <f t="shared" si="305"/>
        <v>0.42859575673858902</v>
      </c>
      <c r="DA126" s="149">
        <f t="shared" si="305"/>
        <v>-0.31506950448151283</v>
      </c>
      <c r="DB126" s="149">
        <f t="shared" si="305"/>
        <v>-0.92822665049969255</v>
      </c>
      <c r="DC126" s="149">
        <f t="shared" si="305"/>
        <v>0</v>
      </c>
      <c r="DD126" s="149">
        <f t="shared" si="305"/>
        <v>-0.11314496830261556</v>
      </c>
      <c r="DE126" s="149">
        <f t="shared" si="305"/>
        <v>7.4770173646578142E-3</v>
      </c>
      <c r="DF126" s="149">
        <f t="shared" si="305"/>
        <v>0.2407641570691364</v>
      </c>
      <c r="DG126" s="149">
        <f t="shared" si="305"/>
        <v>0.44679701207861822</v>
      </c>
      <c r="DH126" s="149">
        <f t="shared" si="305"/>
        <v>0.45015010439784053</v>
      </c>
      <c r="DI126" s="149">
        <f t="shared" si="305"/>
        <v>0.4534920101690646</v>
      </c>
      <c r="DJ126" s="149">
        <f t="shared" ref="DJ126:DS126" si="306">DJ109/DJ101</f>
        <v>0.4568531114395708</v>
      </c>
      <c r="DK126" s="149">
        <f t="shared" si="306"/>
        <v>0.46069610880292328</v>
      </c>
      <c r="DL126" s="149">
        <f t="shared" si="306"/>
        <v>0.4671422684227638</v>
      </c>
      <c r="DM126" s="149">
        <f t="shared" si="306"/>
        <v>0.47108089808652859</v>
      </c>
      <c r="DN126" s="149">
        <f t="shared" si="306"/>
        <v>0.47468621956234691</v>
      </c>
      <c r="DO126" s="149">
        <f t="shared" si="306"/>
        <v>0.47816350041320155</v>
      </c>
      <c r="DP126" s="149">
        <f t="shared" si="306"/>
        <v>0.48299487953723247</v>
      </c>
      <c r="DQ126" s="149">
        <f t="shared" si="306"/>
        <v>0.48655737963414469</v>
      </c>
      <c r="DR126" s="149">
        <f t="shared" si="306"/>
        <v>0.48986867503720583</v>
      </c>
      <c r="DS126" s="149">
        <f t="shared" si="306"/>
        <v>0.49303995897265568</v>
      </c>
    </row>
    <row r="127" spans="2:126" x14ac:dyDescent="0.2">
      <c r="B127" s="65" t="s">
        <v>419</v>
      </c>
      <c r="C127" s="174"/>
      <c r="D127" s="174"/>
      <c r="E127" s="174"/>
      <c r="F127" s="174"/>
      <c r="G127" s="138"/>
      <c r="H127" s="138"/>
      <c r="I127" s="138"/>
      <c r="J127" s="138"/>
      <c r="K127" s="138"/>
      <c r="L127" s="138"/>
      <c r="M127" s="137">
        <f t="shared" ref="M127:AH127" si="307">M110/M109</f>
        <v>0.29475766567754697</v>
      </c>
      <c r="N127" s="137">
        <f t="shared" si="307"/>
        <v>0.2953216374269006</v>
      </c>
      <c r="O127" s="137">
        <f t="shared" si="307"/>
        <v>0.29351376574895005</v>
      </c>
      <c r="P127" s="137">
        <f t="shared" si="307"/>
        <v>0.2969409282700422</v>
      </c>
      <c r="Q127" s="137">
        <f t="shared" si="307"/>
        <v>0.30393198724760895</v>
      </c>
      <c r="R127" s="137">
        <f t="shared" si="307"/>
        <v>0.28632938643702904</v>
      </c>
      <c r="S127" s="137">
        <f t="shared" si="307"/>
        <v>0.2998470168281489</v>
      </c>
      <c r="T127" s="137">
        <f t="shared" si="307"/>
        <v>0.29560059317844783</v>
      </c>
      <c r="U127" s="137">
        <f t="shared" si="307"/>
        <v>0.31359999999999999</v>
      </c>
      <c r="V127" s="137">
        <f t="shared" si="307"/>
        <v>0.29485179407176287</v>
      </c>
      <c r="W127" s="137">
        <f t="shared" si="307"/>
        <v>0.30968410150181253</v>
      </c>
      <c r="X127" s="137">
        <f t="shared" si="307"/>
        <v>0.30133333333333334</v>
      </c>
      <c r="Y127" s="137">
        <f t="shared" si="307"/>
        <v>0.30072639225181597</v>
      </c>
      <c r="Z127" s="137">
        <f t="shared" si="307"/>
        <v>0.27580645161290324</v>
      </c>
      <c r="AA127" s="137">
        <f t="shared" si="307"/>
        <v>0.3013882669055083</v>
      </c>
      <c r="AB127" s="137">
        <f t="shared" si="307"/>
        <v>0.17635658914728683</v>
      </c>
      <c r="AC127" s="137">
        <f t="shared" si="307"/>
        <v>0.26123046875</v>
      </c>
      <c r="AD127" s="137">
        <f t="shared" si="307"/>
        <v>0.22912423625254583</v>
      </c>
      <c r="AE127" s="137">
        <f t="shared" si="307"/>
        <v>0.44714640198511169</v>
      </c>
      <c r="AF127" s="137">
        <f t="shared" si="307"/>
        <v>0.28939988782950082</v>
      </c>
      <c r="AG127" s="137">
        <f t="shared" si="307"/>
        <v>0.28913260219341974</v>
      </c>
      <c r="AH127" s="137">
        <f t="shared" si="307"/>
        <v>0.26025236593059936</v>
      </c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>
        <f t="shared" ref="BV127:BW127" si="308">+BV110/BV109</f>
        <v>-0.53459119496855345</v>
      </c>
      <c r="BW127" s="137">
        <f t="shared" si="308"/>
        <v>0.53018736988202642</v>
      </c>
      <c r="BX127" s="137">
        <f>+BX110/BX109</f>
        <v>0.23397260273972603</v>
      </c>
      <c r="BY127" s="137">
        <f>+BY110/BY109</f>
        <v>0.16625310173697269</v>
      </c>
      <c r="BZ127" s="137">
        <f>+BZ110/BZ109</f>
        <v>0.23585598824393827</v>
      </c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45"/>
      <c r="CK127" s="145"/>
      <c r="CL127" s="149"/>
      <c r="CM127" s="149"/>
      <c r="CN127" s="149"/>
      <c r="CO127" s="149"/>
      <c r="CP127" s="149"/>
      <c r="CQ127" s="149"/>
      <c r="CR127" s="149"/>
      <c r="CS127" s="149">
        <f t="shared" ref="CS127:DI127" si="309">CS110/CS109</f>
        <v>0.28738447834316894</v>
      </c>
      <c r="CT127" s="149">
        <f t="shared" si="309"/>
        <v>0.25</v>
      </c>
      <c r="CU127" s="149">
        <f t="shared" si="309"/>
        <v>0.25</v>
      </c>
      <c r="CV127" s="149">
        <f t="shared" si="309"/>
        <v>0.25</v>
      </c>
      <c r="CW127" s="149">
        <f t="shared" si="309"/>
        <v>0.25</v>
      </c>
      <c r="CX127" s="149">
        <f t="shared" si="309"/>
        <v>0.25</v>
      </c>
      <c r="CY127" s="149">
        <f t="shared" si="309"/>
        <v>0.25</v>
      </c>
      <c r="CZ127" s="149">
        <f t="shared" si="309"/>
        <v>0.25</v>
      </c>
      <c r="DA127" s="149">
        <f t="shared" si="309"/>
        <v>0.25</v>
      </c>
      <c r="DB127" s="149">
        <f t="shared" si="309"/>
        <v>0.25</v>
      </c>
      <c r="DC127" s="149" t="e">
        <f t="shared" si="309"/>
        <v>#DIV/0!</v>
      </c>
      <c r="DD127" s="149">
        <f t="shared" si="309"/>
        <v>-0.78701298701298705</v>
      </c>
      <c r="DE127" s="149">
        <f t="shared" si="309"/>
        <v>11.923497267759563</v>
      </c>
      <c r="DF127" s="149">
        <f t="shared" si="309"/>
        <v>0.27168204400283891</v>
      </c>
      <c r="DG127" s="149">
        <f t="shared" si="309"/>
        <v>0.25</v>
      </c>
      <c r="DH127" s="149">
        <f t="shared" si="309"/>
        <v>0.25</v>
      </c>
      <c r="DI127" s="149">
        <f t="shared" si="309"/>
        <v>0.25</v>
      </c>
      <c r="DJ127" s="149">
        <f t="shared" ref="DJ127:DS127" si="310">DJ110/DJ109</f>
        <v>0.25</v>
      </c>
      <c r="DK127" s="149">
        <f t="shared" si="310"/>
        <v>0.25</v>
      </c>
      <c r="DL127" s="149">
        <f t="shared" si="310"/>
        <v>0.25</v>
      </c>
      <c r="DM127" s="149">
        <f t="shared" si="310"/>
        <v>0.25</v>
      </c>
      <c r="DN127" s="149">
        <f t="shared" si="310"/>
        <v>0.25</v>
      </c>
      <c r="DO127" s="149">
        <f t="shared" si="310"/>
        <v>0.25</v>
      </c>
      <c r="DP127" s="149">
        <f t="shared" si="310"/>
        <v>0.25</v>
      </c>
      <c r="DQ127" s="149">
        <f t="shared" si="310"/>
        <v>0.25</v>
      </c>
      <c r="DR127" s="149">
        <f t="shared" si="310"/>
        <v>0.25</v>
      </c>
      <c r="DS127" s="149">
        <f t="shared" si="310"/>
        <v>0.25</v>
      </c>
    </row>
    <row r="128" spans="2:126" x14ac:dyDescent="0.2">
      <c r="B128" s="65" t="s">
        <v>418</v>
      </c>
      <c r="C128" s="174"/>
      <c r="D128" s="174"/>
      <c r="E128" s="174"/>
      <c r="F128" s="174"/>
      <c r="G128" s="138"/>
      <c r="H128" s="138"/>
      <c r="I128" s="138"/>
      <c r="J128" s="138"/>
      <c r="K128" s="138"/>
      <c r="L128" s="138"/>
      <c r="M128" s="137">
        <f t="shared" ref="M128:AH128" si="311">M111/M101</f>
        <v>0.25274725274725274</v>
      </c>
      <c r="N128" s="137">
        <f t="shared" si="311"/>
        <v>0.20221513676791408</v>
      </c>
      <c r="O128" s="137">
        <f t="shared" si="311"/>
        <v>0.26734620886981403</v>
      </c>
      <c r="P128" s="137">
        <f t="shared" si="311"/>
        <v>0.23105393020796616</v>
      </c>
      <c r="Q128" s="137">
        <f t="shared" si="311"/>
        <v>0.23922571219868516</v>
      </c>
      <c r="R128" s="137">
        <f t="shared" si="311"/>
        <v>0.22162794584656526</v>
      </c>
      <c r="S128" s="137">
        <f t="shared" si="311"/>
        <v>0.23707351389377418</v>
      </c>
      <c r="T128" s="137">
        <f t="shared" si="311"/>
        <v>0.23901940755873341</v>
      </c>
      <c r="U128" s="137">
        <f t="shared" si="311"/>
        <v>0.21880312818769126</v>
      </c>
      <c r="V128" s="137">
        <f t="shared" si="311"/>
        <v>0.19623733719247469</v>
      </c>
      <c r="W128" s="137">
        <f t="shared" si="311"/>
        <v>0.1969271679716354</v>
      </c>
      <c r="X128" s="137">
        <f t="shared" si="311"/>
        <v>0.23299244108492664</v>
      </c>
      <c r="Y128" s="137">
        <f t="shared" si="311"/>
        <v>0.21367268422610239</v>
      </c>
      <c r="Z128" s="137">
        <f t="shared" si="311"/>
        <v>0.22189276006918704</v>
      </c>
      <c r="AA128" s="137">
        <f t="shared" si="311"/>
        <v>0.21204295229033573</v>
      </c>
      <c r="AB128" s="137">
        <f t="shared" si="311"/>
        <v>0.24199288256227758</v>
      </c>
      <c r="AC128" s="137">
        <f t="shared" si="311"/>
        <v>0.22207544400410978</v>
      </c>
      <c r="AD128" s="137">
        <f t="shared" si="311"/>
        <v>0.21036543004029457</v>
      </c>
      <c r="AE128" s="137">
        <f t="shared" si="311"/>
        <v>0.16917236142748671</v>
      </c>
      <c r="AF128" s="137">
        <f t="shared" si="311"/>
        <v>0.18854166666666666</v>
      </c>
      <c r="AG128" s="137">
        <f t="shared" si="311"/>
        <v>0.20073198198198197</v>
      </c>
      <c r="AH128" s="137">
        <f t="shared" si="311"/>
        <v>0.20163370593293206</v>
      </c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45"/>
      <c r="CK128" s="145"/>
      <c r="CL128" s="149"/>
      <c r="CM128" s="149">
        <v>0.21271950640721404</v>
      </c>
      <c r="CN128" s="149">
        <v>0.19553687581306914</v>
      </c>
      <c r="CO128" s="149">
        <v>0.21648199445983379</v>
      </c>
      <c r="CP128" s="149">
        <v>0.22091294839709819</v>
      </c>
      <c r="CQ128" s="149">
        <f t="shared" ref="CQ128:DI128" si="312">CQ111/CQ101</f>
        <v>0.24127612761276127</v>
      </c>
      <c r="CR128" s="149">
        <f t="shared" si="312"/>
        <v>0.22241752851244737</v>
      </c>
      <c r="CS128" s="149">
        <f t="shared" si="312"/>
        <v>0.22359640848268875</v>
      </c>
      <c r="CT128" s="149">
        <f t="shared" si="312"/>
        <v>0.22458475711482703</v>
      </c>
      <c r="CU128" s="149">
        <f t="shared" si="312"/>
        <v>0.22228417799883782</v>
      </c>
      <c r="CV128" s="149">
        <f t="shared" si="312"/>
        <v>0.23080389856809982</v>
      </c>
      <c r="CW128" s="149">
        <f t="shared" si="312"/>
        <v>0.32303689746034481</v>
      </c>
      <c r="CX128" s="149">
        <f t="shared" si="312"/>
        <v>0.32370442791522258</v>
      </c>
      <c r="CY128" s="149">
        <f t="shared" si="312"/>
        <v>0.32239960885551361</v>
      </c>
      <c r="CZ128" s="149">
        <f t="shared" si="312"/>
        <v>0.32144681755394178</v>
      </c>
      <c r="DA128" s="149">
        <f t="shared" si="312"/>
        <v>-0.23630212836113462</v>
      </c>
      <c r="DB128" s="149">
        <f t="shared" si="312"/>
        <v>-0.69616998787476936</v>
      </c>
      <c r="DC128" s="149">
        <f t="shared" si="312"/>
        <v>0</v>
      </c>
      <c r="DD128" s="149">
        <f t="shared" si="312"/>
        <v>-0.20219152777194677</v>
      </c>
      <c r="DE128" s="149">
        <f t="shared" si="312"/>
        <v>-8.1675178753830444E-2</v>
      </c>
      <c r="DF128" s="149">
        <f t="shared" si="312"/>
        <v>0.17535285875397286</v>
      </c>
      <c r="DG128" s="149">
        <f t="shared" si="312"/>
        <v>0.33509775905896366</v>
      </c>
      <c r="DH128" s="149">
        <f t="shared" si="312"/>
        <v>0.33761257829838037</v>
      </c>
      <c r="DI128" s="149">
        <f t="shared" si="312"/>
        <v>0.34011900762679848</v>
      </c>
      <c r="DJ128" s="149">
        <f t="shared" ref="DJ128:DS128" si="313">DJ111/DJ101</f>
        <v>0.34263983357967809</v>
      </c>
      <c r="DK128" s="149">
        <f t="shared" si="313"/>
        <v>0.3455220816021925</v>
      </c>
      <c r="DL128" s="149">
        <f t="shared" si="313"/>
        <v>0.35035670131707286</v>
      </c>
      <c r="DM128" s="149">
        <f t="shared" si="313"/>
        <v>0.35331067356489643</v>
      </c>
      <c r="DN128" s="149">
        <f t="shared" si="313"/>
        <v>0.35601466467176018</v>
      </c>
      <c r="DO128" s="149">
        <f t="shared" si="313"/>
        <v>0.35862262530990119</v>
      </c>
      <c r="DP128" s="149">
        <f t="shared" si="313"/>
        <v>0.36224615965292434</v>
      </c>
      <c r="DQ128" s="149">
        <f t="shared" si="313"/>
        <v>0.36491803472560852</v>
      </c>
      <c r="DR128" s="149">
        <f t="shared" si="313"/>
        <v>0.36740150627790436</v>
      </c>
      <c r="DS128" s="149">
        <f t="shared" si="313"/>
        <v>0.36977996922949175</v>
      </c>
    </row>
    <row r="129" spans="2:123" x14ac:dyDescent="0.2">
      <c r="B129" s="175"/>
      <c r="C129" s="174"/>
      <c r="D129" s="174"/>
      <c r="E129" s="174"/>
      <c r="F129" s="174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45"/>
      <c r="CK129" s="145"/>
      <c r="CL129" s="138"/>
      <c r="CM129" s="138"/>
      <c r="CN129" s="149"/>
      <c r="CO129" s="149"/>
      <c r="CP129" s="149"/>
      <c r="CQ129" s="149"/>
      <c r="CR129" s="149"/>
      <c r="CS129" s="149"/>
      <c r="CT129" s="149"/>
      <c r="DB129" s="152"/>
      <c r="DC129" s="152"/>
      <c r="DD129" s="152"/>
    </row>
    <row r="130" spans="2:123" s="180" customFormat="1" x14ac:dyDescent="0.2">
      <c r="B130" s="180" t="s">
        <v>377</v>
      </c>
      <c r="G130" s="162"/>
      <c r="H130" s="162"/>
      <c r="I130" s="162"/>
      <c r="J130" s="162"/>
      <c r="K130" s="162"/>
      <c r="L130" s="162"/>
      <c r="M130" s="162"/>
      <c r="N130" s="162"/>
      <c r="O130" s="162">
        <f>O157-O161</f>
        <v>-2994</v>
      </c>
      <c r="P130" s="162">
        <f>P157-P161</f>
        <v>-3279</v>
      </c>
      <c r="Q130" s="162">
        <f t="shared" ref="Q130:Z130" si="314">Q157-Q161</f>
        <v>-3741</v>
      </c>
      <c r="R130" s="162">
        <f t="shared" si="314"/>
        <v>-5560</v>
      </c>
      <c r="S130" s="162">
        <f t="shared" si="314"/>
        <v>-6055</v>
      </c>
      <c r="T130" s="162">
        <f t="shared" si="314"/>
        <v>-8010</v>
      </c>
      <c r="U130" s="162">
        <f t="shared" si="314"/>
        <v>-8282</v>
      </c>
      <c r="V130" s="162">
        <f t="shared" si="314"/>
        <v>-9315</v>
      </c>
      <c r="W130" s="162">
        <f t="shared" si="314"/>
        <v>-9537</v>
      </c>
      <c r="X130" s="162">
        <f t="shared" si="314"/>
        <v>-8331</v>
      </c>
      <c r="Y130" s="162">
        <f t="shared" si="314"/>
        <v>-9875</v>
      </c>
      <c r="Z130" s="162">
        <f t="shared" si="314"/>
        <v>-9301</v>
      </c>
      <c r="AA130" s="162">
        <f>AA157-AA161</f>
        <v>-9008</v>
      </c>
      <c r="AB130" s="162">
        <f>AB157-AB161</f>
        <v>-8349</v>
      </c>
      <c r="AC130" s="162">
        <f>AC157-AC161</f>
        <v>-8552</v>
      </c>
      <c r="AD130" s="162"/>
      <c r="AE130" s="162"/>
      <c r="AF130" s="162"/>
      <c r="AG130" s="162"/>
      <c r="AH130" s="162"/>
      <c r="AI130" s="162"/>
      <c r="AJ130" s="162"/>
      <c r="AK130" s="162"/>
      <c r="AL130" s="162"/>
      <c r="AM130" s="162"/>
      <c r="AN130" s="162"/>
      <c r="AO130" s="162"/>
      <c r="AP130" s="162"/>
      <c r="AQ130" s="162"/>
      <c r="AR130" s="162"/>
      <c r="AS130" s="162"/>
      <c r="AT130" s="162"/>
      <c r="AU130" s="162"/>
      <c r="AV130" s="162"/>
      <c r="AW130" s="162"/>
      <c r="AX130" s="162"/>
      <c r="AY130" s="162"/>
      <c r="AZ130" s="162"/>
      <c r="BA130" s="162"/>
      <c r="BB130" s="162"/>
      <c r="BC130" s="162"/>
      <c r="BD130" s="162"/>
      <c r="BE130" s="162"/>
      <c r="BF130" s="162"/>
      <c r="BG130" s="162"/>
      <c r="BH130" s="162"/>
      <c r="BI130" s="162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>
        <v>-19400</v>
      </c>
      <c r="BY130" s="162">
        <f>+BX130+7000+BY111</f>
        <v>-10384</v>
      </c>
      <c r="BZ130" s="162">
        <f>+BY130+BZ111</f>
        <v>-9344</v>
      </c>
      <c r="CA130" s="162">
        <f>+BZ130+CA111</f>
        <v>-8831.1620000000003</v>
      </c>
      <c r="CB130" s="162"/>
      <c r="CC130" s="162"/>
      <c r="CD130" s="162"/>
      <c r="CE130" s="162"/>
      <c r="CF130" s="162"/>
      <c r="CG130" s="162"/>
      <c r="CH130" s="162"/>
      <c r="CI130" s="162"/>
      <c r="CJ130" s="181"/>
      <c r="CK130" s="181"/>
      <c r="CL130" s="162"/>
      <c r="CM130" s="162"/>
      <c r="CN130" s="162"/>
      <c r="CO130" s="162"/>
      <c r="CP130" s="162"/>
      <c r="CQ130" s="162">
        <v>-3745</v>
      </c>
      <c r="CR130" s="162"/>
      <c r="CS130" s="162">
        <v>-8502</v>
      </c>
      <c r="CT130" s="162">
        <f>+AC130</f>
        <v>-8552</v>
      </c>
      <c r="CU130" s="162">
        <f t="shared" ref="CU130:DC130" si="315">CU111+CT130</f>
        <v>-2701.3281704086585</v>
      </c>
      <c r="CV130" s="162">
        <f t="shared" si="315"/>
        <v>3240.5513270084048</v>
      </c>
      <c r="CW130" s="162">
        <f t="shared" si="315"/>
        <v>11322.138850685289</v>
      </c>
      <c r="CX130" s="162">
        <f t="shared" si="315"/>
        <v>19257.650364006946</v>
      </c>
      <c r="CY130" s="162">
        <f t="shared" si="315"/>
        <v>26884.547822842433</v>
      </c>
      <c r="CZ130" s="162">
        <f t="shared" si="315"/>
        <v>34392.851897892186</v>
      </c>
      <c r="DA130" s="162">
        <f t="shared" si="315"/>
        <v>28977.813473738268</v>
      </c>
      <c r="DB130" s="162">
        <f t="shared" si="315"/>
        <v>23562.77504958435</v>
      </c>
      <c r="DC130" s="162">
        <f t="shared" si="315"/>
        <v>23562.77504958435</v>
      </c>
      <c r="DD130" s="162"/>
      <c r="DE130" s="162"/>
      <c r="DF130" s="162">
        <f>+CA130</f>
        <v>-8831.1620000000003</v>
      </c>
      <c r="DG130" s="162">
        <f>+DF130+DG111</f>
        <v>408.03174260416745</v>
      </c>
      <c r="DH130" s="162">
        <f t="shared" ref="DH130:DS130" si="316">+DG130+DH111</f>
        <v>9585.420988350781</v>
      </c>
      <c r="DI130" s="162">
        <f t="shared" si="316"/>
        <v>18921.544643214453</v>
      </c>
      <c r="DJ130" s="162">
        <f t="shared" si="316"/>
        <v>28381.88242524158</v>
      </c>
      <c r="DK130" s="162">
        <f t="shared" si="316"/>
        <v>37550.232594490008</v>
      </c>
      <c r="DL130" s="162">
        <f t="shared" si="316"/>
        <v>45224.815269921753</v>
      </c>
      <c r="DM130" s="162">
        <f t="shared" si="316"/>
        <v>52804.383217776296</v>
      </c>
      <c r="DN130" s="162">
        <f t="shared" si="316"/>
        <v>60419.617594590083</v>
      </c>
      <c r="DO130" s="162">
        <f t="shared" si="316"/>
        <v>68113.207370041215</v>
      </c>
      <c r="DP130" s="162">
        <f t="shared" si="316"/>
        <v>75591.260976388832</v>
      </c>
      <c r="DQ130" s="162">
        <f t="shared" si="316"/>
        <v>83136.827609991393</v>
      </c>
      <c r="DR130" s="162">
        <f t="shared" si="316"/>
        <v>90798.129537525441</v>
      </c>
      <c r="DS130" s="162">
        <f t="shared" si="316"/>
        <v>98599.096440819383</v>
      </c>
    </row>
    <row r="131" spans="2:123" x14ac:dyDescent="0.2">
      <c r="B131" s="65" t="s">
        <v>412</v>
      </c>
      <c r="K131" s="164">
        <v>1.7529999999999999</v>
      </c>
      <c r="L131" s="164">
        <v>1.8295999999999999</v>
      </c>
      <c r="M131" s="164">
        <v>1.8752</v>
      </c>
      <c r="N131" s="164">
        <v>1.9166000000000001</v>
      </c>
      <c r="O131" s="164">
        <v>1.9550000000000001</v>
      </c>
      <c r="P131" s="164">
        <v>1.9861</v>
      </c>
      <c r="Q131" s="164">
        <v>2.0215999999999998</v>
      </c>
      <c r="R131" s="164">
        <v>2.0442</v>
      </c>
      <c r="S131" s="164">
        <v>1.9781</v>
      </c>
      <c r="T131" s="164">
        <v>1.9718</v>
      </c>
      <c r="U131" s="164">
        <v>1.8936999999999999</v>
      </c>
      <c r="V131" s="164">
        <v>1.5699000000000001</v>
      </c>
      <c r="W131" s="164">
        <v>1.4367000000000001</v>
      </c>
      <c r="X131" s="164">
        <v>1.5523</v>
      </c>
      <c r="Y131" s="164">
        <v>1.6454</v>
      </c>
      <c r="Z131" s="164">
        <v>1.6454</v>
      </c>
      <c r="AA131" s="164">
        <v>1.56</v>
      </c>
      <c r="AB131" s="164">
        <v>1.4924999999999999</v>
      </c>
      <c r="AC131" s="164">
        <v>1.5501</v>
      </c>
      <c r="AD131" s="164">
        <v>1.5797000000000001</v>
      </c>
      <c r="AE131" s="164">
        <f>+AD131</f>
        <v>1.5797000000000001</v>
      </c>
      <c r="AF131" s="164">
        <f>+AE131</f>
        <v>1.5797000000000001</v>
      </c>
      <c r="AG131" s="164">
        <f>+AF131</f>
        <v>1.5797000000000001</v>
      </c>
      <c r="AH131" s="164">
        <f>+AG131</f>
        <v>1.5797000000000001</v>
      </c>
      <c r="AI131" s="164"/>
      <c r="AJ131" s="164"/>
      <c r="AK131" s="164"/>
      <c r="AL131" s="164"/>
      <c r="AM131" s="164"/>
      <c r="AN131" s="164"/>
      <c r="AO131" s="164"/>
      <c r="AP131" s="164"/>
      <c r="AQ131" s="164"/>
      <c r="AR131" s="164"/>
      <c r="AS131" s="164"/>
      <c r="AT131" s="164"/>
      <c r="AU131" s="164"/>
      <c r="AV131" s="164"/>
      <c r="AW131" s="164"/>
      <c r="AX131" s="164"/>
      <c r="AY131" s="164"/>
      <c r="AZ131" s="164"/>
      <c r="BA131" s="164"/>
      <c r="BB131" s="164"/>
      <c r="BC131" s="164"/>
      <c r="BD131" s="164"/>
      <c r="BE131" s="164"/>
      <c r="BF131" s="164"/>
      <c r="BG131" s="164"/>
      <c r="BH131" s="164"/>
      <c r="BI131" s="164"/>
      <c r="BJ131" s="164"/>
      <c r="BK131" s="164"/>
      <c r="BL131" s="164"/>
      <c r="BM131" s="164"/>
      <c r="BN131" s="164"/>
      <c r="BO131" s="164"/>
      <c r="BP131" s="164"/>
      <c r="BQ131" s="164"/>
      <c r="BR131" s="164"/>
      <c r="BS131" s="164"/>
      <c r="BT131" s="164"/>
      <c r="BU131" s="164"/>
      <c r="BV131" s="164"/>
      <c r="BW131" s="164"/>
      <c r="BX131" s="164"/>
      <c r="BY131" s="164"/>
      <c r="BZ131" s="164"/>
      <c r="CA131" s="164"/>
      <c r="CB131" s="164"/>
      <c r="CC131" s="164"/>
      <c r="CD131" s="164"/>
      <c r="CE131" s="164"/>
      <c r="CF131" s="164"/>
      <c r="CG131" s="164"/>
      <c r="CH131" s="164"/>
      <c r="CI131" s="164"/>
      <c r="CR131" s="164">
        <f>AVERAGE(S131:V131)</f>
        <v>1.8533750000000002</v>
      </c>
      <c r="CS131" s="164">
        <f>AVERAGE(W131:Z131)</f>
        <v>1.56995</v>
      </c>
      <c r="CT131" s="152">
        <v>1.65</v>
      </c>
    </row>
    <row r="132" spans="2:123" x14ac:dyDescent="0.2">
      <c r="B132" s="65" t="s">
        <v>581</v>
      </c>
      <c r="G132" s="165">
        <v>-1.44E-2</v>
      </c>
      <c r="H132" s="165">
        <v>-5.2400000000000002E-2</v>
      </c>
      <c r="I132" s="165">
        <v>-1.52E-2</v>
      </c>
      <c r="J132" s="165">
        <v>-2.3400000000000001E-2</v>
      </c>
      <c r="K132" s="165">
        <v>8.2000000000000007E-3</v>
      </c>
      <c r="L132" s="165">
        <v>6.4000000000000001E-2</v>
      </c>
      <c r="M132" s="165">
        <v>1.29E-2</v>
      </c>
      <c r="N132" s="165">
        <v>4.6300000000000001E-2</v>
      </c>
      <c r="O132" s="157">
        <v>4.5999999999999999E-3</v>
      </c>
      <c r="P132" s="157">
        <v>2.0799999999999999E-2</v>
      </c>
      <c r="Q132" s="157">
        <v>1.9199999999999998E-2</v>
      </c>
      <c r="R132" s="157">
        <v>-3.04E-2</v>
      </c>
      <c r="S132" s="157">
        <v>-6.9999999999999999E-4</v>
      </c>
      <c r="T132" s="157">
        <v>4.3E-3</v>
      </c>
      <c r="U132" s="157">
        <v>-0.10630000000000001</v>
      </c>
      <c r="V132" s="157">
        <v>-0.1804</v>
      </c>
      <c r="W132" s="157">
        <v>-1.8499999999999999E-2</v>
      </c>
      <c r="X132" s="157">
        <v>0.14899999999999999</v>
      </c>
      <c r="Y132" s="165"/>
      <c r="Z132" s="165"/>
      <c r="AA132" s="165"/>
      <c r="AB132" s="165"/>
      <c r="AC132" s="165"/>
      <c r="AD132" s="165"/>
      <c r="AE132" s="165"/>
      <c r="AF132" s="165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165"/>
      <c r="AV132" s="165"/>
      <c r="AW132" s="165"/>
      <c r="AX132" s="165"/>
      <c r="AY132" s="165"/>
      <c r="AZ132" s="165"/>
      <c r="BA132" s="165"/>
      <c r="BB132" s="165"/>
      <c r="BC132" s="165"/>
      <c r="BD132" s="165"/>
      <c r="BE132" s="165"/>
      <c r="BF132" s="165"/>
      <c r="BG132" s="165"/>
      <c r="BH132" s="165"/>
      <c r="BI132" s="165"/>
      <c r="BJ132" s="165"/>
      <c r="BK132" s="165"/>
      <c r="BL132" s="165"/>
      <c r="BM132" s="165"/>
      <c r="BN132" s="165"/>
      <c r="BO132" s="165"/>
      <c r="BP132" s="165"/>
      <c r="BQ132" s="165"/>
      <c r="BR132" s="165"/>
      <c r="BS132" s="165"/>
      <c r="BT132" s="165"/>
      <c r="BU132" s="165"/>
      <c r="BV132" s="165"/>
      <c r="BW132" s="165"/>
      <c r="BX132" s="165"/>
      <c r="BY132" s="165"/>
      <c r="BZ132" s="165"/>
      <c r="CA132" s="165"/>
      <c r="CB132" s="165"/>
      <c r="CC132" s="165"/>
      <c r="CD132" s="165"/>
      <c r="CE132" s="165"/>
      <c r="CF132" s="165"/>
      <c r="CG132" s="165"/>
      <c r="CH132" s="165"/>
      <c r="CI132" s="165"/>
    </row>
    <row r="133" spans="2:123" x14ac:dyDescent="0.2">
      <c r="B133" s="65" t="s">
        <v>581</v>
      </c>
      <c r="L133" s="165">
        <f t="shared" ref="L133:U133" si="317">L131/K131-1</f>
        <v>4.3696520250998239E-2</v>
      </c>
      <c r="M133" s="165">
        <f t="shared" si="317"/>
        <v>2.4923480542194953E-2</v>
      </c>
      <c r="N133" s="165">
        <f t="shared" si="317"/>
        <v>2.2077645051194583E-2</v>
      </c>
      <c r="O133" s="157">
        <f t="shared" si="317"/>
        <v>2.003547949493889E-2</v>
      </c>
      <c r="P133" s="157">
        <f t="shared" si="317"/>
        <v>1.5907928388746662E-2</v>
      </c>
      <c r="Q133" s="157">
        <f t="shared" si="317"/>
        <v>1.7874225869795035E-2</v>
      </c>
      <c r="R133" s="157">
        <f t="shared" si="317"/>
        <v>1.1179263949347096E-2</v>
      </c>
      <c r="S133" s="157">
        <f t="shared" si="317"/>
        <v>-3.2335387926817338E-2</v>
      </c>
      <c r="T133" s="157">
        <f t="shared" si="317"/>
        <v>-3.1848743743996266E-3</v>
      </c>
      <c r="U133" s="157">
        <f t="shared" si="317"/>
        <v>-3.9608479561821675E-2</v>
      </c>
      <c r="V133" s="157">
        <f>V131/U131-1</f>
        <v>-0.17098801288482857</v>
      </c>
      <c r="W133" s="157">
        <f t="shared" ref="W133" si="318">W131/V131-1</f>
        <v>-8.4846168545767209E-2</v>
      </c>
      <c r="X133" s="157">
        <f t="shared" ref="X133:AD133" si="319">X131/W131-1</f>
        <v>8.0462170251270226E-2</v>
      </c>
      <c r="Y133" s="157">
        <f t="shared" si="319"/>
        <v>5.9975520195838516E-2</v>
      </c>
      <c r="Z133" s="157">
        <f t="shared" si="319"/>
        <v>0</v>
      </c>
      <c r="AA133" s="157">
        <f t="shared" si="319"/>
        <v>-5.1902273003524901E-2</v>
      </c>
      <c r="AB133" s="157">
        <f t="shared" si="319"/>
        <v>-4.3269230769230838E-2</v>
      </c>
      <c r="AC133" s="157">
        <f t="shared" si="319"/>
        <v>3.8592964824120779E-2</v>
      </c>
      <c r="AD133" s="157">
        <f t="shared" si="319"/>
        <v>1.9095542223082518E-2</v>
      </c>
      <c r="AE133" s="157">
        <f t="shared" ref="AE133:AH133" si="320">AE131/AD131-1</f>
        <v>0</v>
      </c>
      <c r="AF133" s="157">
        <f t="shared" si="320"/>
        <v>0</v>
      </c>
      <c r="AG133" s="157">
        <f t="shared" si="320"/>
        <v>0</v>
      </c>
      <c r="AH133" s="157">
        <f t="shared" si="320"/>
        <v>0</v>
      </c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</row>
    <row r="134" spans="2:123" x14ac:dyDescent="0.2">
      <c r="B134" s="65" t="s">
        <v>582</v>
      </c>
      <c r="O134" s="157">
        <f t="shared" ref="O134:U134" si="321">O131/K131-1</f>
        <v>0.11523103251568756</v>
      </c>
      <c r="P134" s="157">
        <f t="shared" si="321"/>
        <v>8.5537822474857972E-2</v>
      </c>
      <c r="Q134" s="157">
        <f t="shared" si="321"/>
        <v>7.8071672354948829E-2</v>
      </c>
      <c r="R134" s="157">
        <f t="shared" si="321"/>
        <v>6.6576228738390864E-2</v>
      </c>
      <c r="S134" s="157">
        <f t="shared" si="321"/>
        <v>1.1815856777493527E-2</v>
      </c>
      <c r="T134" s="157">
        <f t="shared" si="321"/>
        <v>-7.2000402799455854E-3</v>
      </c>
      <c r="U134" s="157">
        <f t="shared" si="321"/>
        <v>-6.3266719430154272E-2</v>
      </c>
      <c r="V134" s="157">
        <f t="shared" ref="V134:AD134" si="322">V131/R131-1</f>
        <v>-0.23202230701496918</v>
      </c>
      <c r="W134" s="157">
        <f t="shared" si="322"/>
        <v>-0.27369698195237846</v>
      </c>
      <c r="X134" s="157">
        <f t="shared" si="322"/>
        <v>-0.21274977178212795</v>
      </c>
      <c r="Y134" s="157">
        <f t="shared" si="322"/>
        <v>-0.13111897343824253</v>
      </c>
      <c r="Z134" s="157">
        <f t="shared" si="322"/>
        <v>4.8092235174214792E-2</v>
      </c>
      <c r="AA134" s="157">
        <f t="shared" si="322"/>
        <v>8.582167467112134E-2</v>
      </c>
      <c r="AB134" s="157">
        <f t="shared" si="322"/>
        <v>-3.8523481285833938E-2</v>
      </c>
      <c r="AC134" s="157">
        <f t="shared" si="322"/>
        <v>-5.7919047040233318E-2</v>
      </c>
      <c r="AD134" s="157">
        <f t="shared" si="322"/>
        <v>-3.9929500425428421E-2</v>
      </c>
      <c r="AE134" s="157">
        <f t="shared" ref="AE134:AH134" si="323">AE131/AA131-1</f>
        <v>1.2628205128205172E-2</v>
      </c>
      <c r="AF134" s="157">
        <f t="shared" si="323"/>
        <v>5.8425460636515991E-2</v>
      </c>
      <c r="AG134" s="157">
        <f t="shared" si="323"/>
        <v>1.9095542223082518E-2</v>
      </c>
      <c r="AH134" s="157">
        <f t="shared" si="323"/>
        <v>0</v>
      </c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L134" s="165">
        <v>0.10680000000000001</v>
      </c>
      <c r="CM134" s="165">
        <v>0.10920000000000001</v>
      </c>
      <c r="CN134" s="165">
        <v>7.4099999999999999E-2</v>
      </c>
      <c r="CO134" s="165">
        <v>-0.1017</v>
      </c>
      <c r="CP134" s="165">
        <v>0.13689999999999999</v>
      </c>
      <c r="CQ134" s="165">
        <v>1.34E-2</v>
      </c>
      <c r="CR134" s="165">
        <v>-0.26479999999999998</v>
      </c>
      <c r="CS134" s="165">
        <f>CS131/CR131-1</f>
        <v>-0.15292372024010259</v>
      </c>
      <c r="CT134" s="165">
        <f>CT131/CS131-1</f>
        <v>5.0988884996337358E-2</v>
      </c>
    </row>
    <row r="136" spans="2:123" x14ac:dyDescent="0.2">
      <c r="B136" s="65" t="s">
        <v>658</v>
      </c>
      <c r="W136" s="73">
        <v>1169</v>
      </c>
      <c r="X136" s="73">
        <f>2630-W136</f>
        <v>1461</v>
      </c>
      <c r="Y136" s="73">
        <v>1371</v>
      </c>
      <c r="Z136" s="73">
        <v>1668</v>
      </c>
      <c r="AA136" s="73">
        <v>1395</v>
      </c>
      <c r="AB136" s="73">
        <v>-252</v>
      </c>
    </row>
    <row r="137" spans="2:123" x14ac:dyDescent="0.2">
      <c r="B137" s="65" t="s">
        <v>659</v>
      </c>
      <c r="W137" s="73">
        <v>-214</v>
      </c>
      <c r="X137" s="73">
        <f>-599-W137</f>
        <v>-385</v>
      </c>
      <c r="Y137" s="73">
        <v>457</v>
      </c>
      <c r="Z137" s="73">
        <f>-96+19</f>
        <v>-77</v>
      </c>
      <c r="AA137" s="73">
        <v>203</v>
      </c>
      <c r="AB137" s="73">
        <f>-417-2+4</f>
        <v>-415</v>
      </c>
    </row>
    <row r="138" spans="2:123" x14ac:dyDescent="0.2">
      <c r="B138" s="65" t="s">
        <v>660</v>
      </c>
      <c r="W138" s="73">
        <f>17-1</f>
        <v>16</v>
      </c>
      <c r="X138" s="73">
        <f>-9-8-W138</f>
        <v>-33</v>
      </c>
      <c r="Y138" s="73">
        <f>102-1</f>
        <v>101</v>
      </c>
      <c r="Z138" s="73">
        <f>-51-2+1-6</f>
        <v>-58</v>
      </c>
      <c r="AA138" s="73">
        <f>1-13</f>
        <v>-12</v>
      </c>
      <c r="AB138" s="73">
        <f>-47+2-5+3</f>
        <v>-47</v>
      </c>
    </row>
    <row r="139" spans="2:123" x14ac:dyDescent="0.2">
      <c r="B139" s="65" t="s">
        <v>661</v>
      </c>
      <c r="W139" s="73">
        <f>-135+37-3</f>
        <v>-101</v>
      </c>
      <c r="X139" s="73">
        <f>-920+249-6+2-W139</f>
        <v>-574</v>
      </c>
      <c r="Y139" s="73">
        <f>434-102</f>
        <v>332</v>
      </c>
      <c r="Z139" s="73">
        <f>-173+36</f>
        <v>-137</v>
      </c>
      <c r="AA139" s="73">
        <f>-165+53</f>
        <v>-112</v>
      </c>
      <c r="AB139" s="73">
        <f>-389+133</f>
        <v>-256</v>
      </c>
    </row>
    <row r="140" spans="2:123" x14ac:dyDescent="0.2">
      <c r="B140" s="65" t="s">
        <v>662</v>
      </c>
      <c r="W140" s="73">
        <f t="shared" ref="W140:AB140" si="324">SUM(W136:W139)</f>
        <v>870</v>
      </c>
      <c r="X140" s="73">
        <f t="shared" si="324"/>
        <v>469</v>
      </c>
      <c r="Y140" s="73">
        <f t="shared" si="324"/>
        <v>2261</v>
      </c>
      <c r="Z140" s="73">
        <f t="shared" si="324"/>
        <v>1396</v>
      </c>
      <c r="AA140" s="73">
        <f t="shared" si="324"/>
        <v>1474</v>
      </c>
      <c r="AB140" s="73">
        <f t="shared" si="324"/>
        <v>-970</v>
      </c>
    </row>
    <row r="141" spans="2:123" x14ac:dyDescent="0.2">
      <c r="B141" s="65" t="s">
        <v>663</v>
      </c>
      <c r="W141" s="73">
        <v>26</v>
      </c>
      <c r="X141" s="73">
        <v>18</v>
      </c>
      <c r="Y141" s="73">
        <v>44</v>
      </c>
      <c r="Z141" s="73">
        <v>39</v>
      </c>
      <c r="AA141" s="73">
        <v>85</v>
      </c>
      <c r="AB141" s="73">
        <v>51</v>
      </c>
    </row>
    <row r="142" spans="2:123" x14ac:dyDescent="0.2">
      <c r="B142" s="65" t="s">
        <v>664</v>
      </c>
      <c r="W142" s="73">
        <f t="shared" ref="W142:AB142" si="325">W140-W141</f>
        <v>844</v>
      </c>
      <c r="X142" s="73">
        <f t="shared" si="325"/>
        <v>451</v>
      </c>
      <c r="Y142" s="73">
        <f t="shared" si="325"/>
        <v>2217</v>
      </c>
      <c r="Z142" s="73">
        <f t="shared" si="325"/>
        <v>1357</v>
      </c>
      <c r="AA142" s="73">
        <f t="shared" si="325"/>
        <v>1389</v>
      </c>
      <c r="AB142" s="73">
        <f t="shared" si="325"/>
        <v>-1021</v>
      </c>
    </row>
    <row r="143" spans="2:123" x14ac:dyDescent="0.2">
      <c r="B143" s="65" t="s">
        <v>665</v>
      </c>
      <c r="W143" s="73">
        <f t="shared" ref="W143:AB143" si="326">W111</f>
        <v>1333</v>
      </c>
      <c r="X143" s="73">
        <f t="shared" si="326"/>
        <v>1572</v>
      </c>
      <c r="Y143" s="73">
        <f t="shared" si="326"/>
        <v>1444</v>
      </c>
      <c r="Z143" s="73">
        <f t="shared" si="326"/>
        <v>1796</v>
      </c>
      <c r="AA143" s="73">
        <f t="shared" si="326"/>
        <v>1560</v>
      </c>
      <c r="AB143" s="73">
        <f t="shared" si="326"/>
        <v>1700</v>
      </c>
    </row>
    <row r="145" spans="2:81" x14ac:dyDescent="0.2">
      <c r="B145" s="112" t="s">
        <v>1430</v>
      </c>
      <c r="BX145" s="73">
        <f>+BX157-BX161</f>
        <v>-13746</v>
      </c>
      <c r="BY145" s="73">
        <f>+BX145+BY111</f>
        <v>-11730</v>
      </c>
      <c r="BZ145" s="73">
        <f t="shared" ref="BZ145:CC145" si="327">+BY145+BZ111</f>
        <v>-10690</v>
      </c>
      <c r="CA145" s="73">
        <f t="shared" si="327"/>
        <v>-10177.162</v>
      </c>
      <c r="CB145" s="73">
        <f t="shared" si="327"/>
        <v>-8594.6702750000004</v>
      </c>
      <c r="CC145" s="73">
        <f t="shared" si="327"/>
        <v>-6954.4720620833341</v>
      </c>
    </row>
    <row r="147" spans="2:81" x14ac:dyDescent="0.2">
      <c r="B147" s="65" t="s">
        <v>671</v>
      </c>
      <c r="O147" s="73">
        <v>7051</v>
      </c>
      <c r="P147" s="73">
        <v>7215</v>
      </c>
      <c r="Q147" s="73">
        <v>7464</v>
      </c>
      <c r="R147" s="73">
        <v>7821</v>
      </c>
      <c r="S147" s="73">
        <v>8026</v>
      </c>
      <c r="T147" s="73">
        <v>8092</v>
      </c>
      <c r="U147" s="73">
        <v>8395</v>
      </c>
      <c r="V147" s="73">
        <v>9678</v>
      </c>
      <c r="W147" s="73">
        <v>9441</v>
      </c>
      <c r="X147" s="73">
        <v>8875</v>
      </c>
      <c r="Y147" s="73">
        <v>9380</v>
      </c>
      <c r="Z147" s="73">
        <v>9374</v>
      </c>
      <c r="AA147" s="73">
        <f>9532</f>
        <v>9532</v>
      </c>
      <c r="AB147" s="73">
        <v>9180</v>
      </c>
      <c r="AC147" s="73">
        <v>9152</v>
      </c>
      <c r="BX147" s="73">
        <v>8503</v>
      </c>
    </row>
    <row r="148" spans="2:81" x14ac:dyDescent="0.2">
      <c r="B148" s="65" t="s">
        <v>672</v>
      </c>
      <c r="O148" s="73">
        <f>946+3702</f>
        <v>4648</v>
      </c>
      <c r="P148" s="73">
        <f>956+3688</f>
        <v>4644</v>
      </c>
      <c r="Q148" s="73">
        <f>985+3721</f>
        <v>4706</v>
      </c>
      <c r="R148" s="73">
        <f>1370+4456</f>
        <v>5826</v>
      </c>
      <c r="S148" s="73">
        <f>1372+4492</f>
        <v>5864</v>
      </c>
      <c r="T148" s="73">
        <f>1618+4658</f>
        <v>6276</v>
      </c>
      <c r="U148" s="73">
        <f>1747+4944</f>
        <v>6691</v>
      </c>
      <c r="V148" s="73">
        <f>2101+5869</f>
        <v>7970</v>
      </c>
      <c r="W148" s="73">
        <f>2147+6157</f>
        <v>8304</v>
      </c>
      <c r="X148" s="73">
        <f>2015+5787</f>
        <v>7802</v>
      </c>
      <c r="Y148" s="73">
        <f>3294+7261</f>
        <v>10555</v>
      </c>
      <c r="Z148" s="73">
        <f>3361+8183</f>
        <v>11544</v>
      </c>
      <c r="AA148" s="73">
        <f>3524+8412</f>
        <v>11936</v>
      </c>
      <c r="AB148" s="73">
        <f>3545+8378</f>
        <v>11923</v>
      </c>
      <c r="AC148" s="73">
        <f>3484+8369</f>
        <v>11853</v>
      </c>
      <c r="BX148" s="73">
        <f>650+5906+11371</f>
        <v>17927</v>
      </c>
    </row>
    <row r="149" spans="2:81" x14ac:dyDescent="0.2">
      <c r="B149" s="65" t="s">
        <v>673</v>
      </c>
      <c r="O149" s="73">
        <v>305</v>
      </c>
      <c r="P149" s="73">
        <v>309</v>
      </c>
      <c r="Q149" s="73">
        <v>313</v>
      </c>
      <c r="R149" s="73">
        <v>329</v>
      </c>
      <c r="S149" s="73">
        <v>328</v>
      </c>
      <c r="T149" s="73">
        <v>346</v>
      </c>
      <c r="U149" s="73">
        <v>445</v>
      </c>
      <c r="V149" s="73">
        <v>552</v>
      </c>
      <c r="W149" s="73">
        <v>499</v>
      </c>
      <c r="X149" s="73">
        <v>448</v>
      </c>
      <c r="Y149" s="73">
        <v>511</v>
      </c>
      <c r="Z149" s="73">
        <v>895</v>
      </c>
      <c r="AA149" s="73">
        <v>965</v>
      </c>
      <c r="AB149" s="73">
        <v>1071</v>
      </c>
      <c r="AC149" s="73">
        <v>1062</v>
      </c>
    </row>
    <row r="150" spans="2:81" x14ac:dyDescent="0.2">
      <c r="B150" s="65" t="s">
        <v>674</v>
      </c>
      <c r="O150" s="73">
        <v>581</v>
      </c>
      <c r="P150" s="73">
        <v>576</v>
      </c>
      <c r="Q150" s="73">
        <v>533</v>
      </c>
      <c r="R150" s="73">
        <v>517</v>
      </c>
      <c r="S150" s="73">
        <v>424</v>
      </c>
      <c r="T150" s="73">
        <v>382</v>
      </c>
      <c r="U150" s="73">
        <v>454</v>
      </c>
      <c r="V150" s="73">
        <v>478</v>
      </c>
      <c r="W150" s="73">
        <v>512</v>
      </c>
      <c r="X150" s="73">
        <v>463</v>
      </c>
      <c r="Y150" s="73">
        <v>558</v>
      </c>
      <c r="Z150" s="73">
        <v>454</v>
      </c>
      <c r="AA150" s="73">
        <v>529</v>
      </c>
      <c r="AB150" s="73">
        <v>495</v>
      </c>
      <c r="AC150" s="73">
        <v>560</v>
      </c>
    </row>
    <row r="151" spans="2:81" x14ac:dyDescent="0.2">
      <c r="B151" s="65" t="s">
        <v>416</v>
      </c>
      <c r="O151" s="73">
        <v>2199</v>
      </c>
      <c r="P151" s="73">
        <v>2173</v>
      </c>
      <c r="Q151" s="73">
        <v>2278</v>
      </c>
      <c r="R151" s="73">
        <v>2196</v>
      </c>
      <c r="S151" s="73">
        <v>2262</v>
      </c>
      <c r="T151" s="73">
        <v>2210</v>
      </c>
      <c r="U151" s="73">
        <v>2439</v>
      </c>
      <c r="V151" s="73">
        <v>2760</v>
      </c>
      <c r="W151" s="73">
        <v>2772</v>
      </c>
      <c r="X151" s="73">
        <v>2570</v>
      </c>
      <c r="Y151" s="73">
        <v>2397</v>
      </c>
      <c r="Z151" s="73">
        <v>2374</v>
      </c>
      <c r="AA151" s="73">
        <v>2492</v>
      </c>
      <c r="AB151" s="73">
        <v>2639</v>
      </c>
      <c r="AC151" s="73">
        <v>2510</v>
      </c>
      <c r="BX151" s="73">
        <f>4952+11</f>
        <v>4963</v>
      </c>
    </row>
    <row r="152" spans="2:81" x14ac:dyDescent="0.2">
      <c r="B152" s="65" t="s">
        <v>675</v>
      </c>
      <c r="O152" s="73">
        <v>0</v>
      </c>
      <c r="P152" s="73">
        <v>0</v>
      </c>
      <c r="Q152" s="73">
        <v>0</v>
      </c>
      <c r="R152" s="73">
        <v>1</v>
      </c>
      <c r="S152" s="73">
        <v>113</v>
      </c>
      <c r="T152" s="73">
        <v>42</v>
      </c>
      <c r="U152" s="73">
        <v>17</v>
      </c>
      <c r="V152" s="73">
        <v>107</v>
      </c>
      <c r="W152" s="73">
        <v>112</v>
      </c>
      <c r="X152" s="73">
        <v>61</v>
      </c>
      <c r="Y152" s="73">
        <v>89</v>
      </c>
      <c r="Z152" s="73">
        <v>68</v>
      </c>
      <c r="AA152" s="73">
        <f>94+87</f>
        <v>181</v>
      </c>
      <c r="AB152" s="73">
        <v>106</v>
      </c>
      <c r="AC152" s="73">
        <v>125</v>
      </c>
    </row>
    <row r="153" spans="2:81" x14ac:dyDescent="0.2">
      <c r="B153" s="65" t="s">
        <v>676</v>
      </c>
      <c r="O153" s="73">
        <v>735</v>
      </c>
      <c r="P153" s="73">
        <v>939</v>
      </c>
      <c r="Q153" s="73">
        <v>994</v>
      </c>
      <c r="R153" s="73">
        <v>687</v>
      </c>
      <c r="S153" s="73">
        <v>806</v>
      </c>
      <c r="T153" s="73">
        <v>495</v>
      </c>
      <c r="U153" s="73">
        <v>465</v>
      </c>
      <c r="V153" s="73">
        <v>579</v>
      </c>
      <c r="W153" s="73">
        <v>560</v>
      </c>
      <c r="X153" s="73">
        <v>493</v>
      </c>
      <c r="Y153" s="73">
        <v>616</v>
      </c>
      <c r="Z153" s="73">
        <v>583</v>
      </c>
      <c r="AA153" s="73">
        <v>653</v>
      </c>
      <c r="AB153" s="73">
        <v>560</v>
      </c>
      <c r="AC153" s="73">
        <v>593</v>
      </c>
      <c r="BX153" s="73">
        <v>1736</v>
      </c>
    </row>
    <row r="154" spans="2:81" x14ac:dyDescent="0.2">
      <c r="B154" s="65" t="s">
        <v>677</v>
      </c>
      <c r="O154" s="73">
        <v>2554</v>
      </c>
      <c r="P154" s="73">
        <v>2758</v>
      </c>
      <c r="Q154" s="73">
        <v>2965</v>
      </c>
      <c r="R154" s="73">
        <v>3062</v>
      </c>
      <c r="S154" s="73">
        <v>3314</v>
      </c>
      <c r="T154" s="73">
        <v>3525</v>
      </c>
      <c r="U154" s="73">
        <v>3515</v>
      </c>
      <c r="V154" s="73">
        <v>4056</v>
      </c>
      <c r="W154" s="73">
        <v>4107</v>
      </c>
      <c r="X154" s="73">
        <v>3910</v>
      </c>
      <c r="Y154" s="73">
        <v>4193</v>
      </c>
      <c r="Z154" s="73">
        <v>4064</v>
      </c>
      <c r="AA154" s="73">
        <v>4157</v>
      </c>
      <c r="AB154" s="73">
        <v>4070</v>
      </c>
      <c r="AC154" s="73">
        <v>4074</v>
      </c>
      <c r="BX154" s="73">
        <v>4664</v>
      </c>
    </row>
    <row r="155" spans="2:81" x14ac:dyDescent="0.2">
      <c r="B155" s="65" t="s">
        <v>678</v>
      </c>
      <c r="O155" s="73">
        <v>90</v>
      </c>
      <c r="P155" s="73">
        <v>68</v>
      </c>
      <c r="Q155" s="73">
        <v>159</v>
      </c>
      <c r="R155" s="73">
        <v>58</v>
      </c>
      <c r="S155" s="73">
        <v>45</v>
      </c>
      <c r="T155" s="73">
        <v>49</v>
      </c>
      <c r="U155" s="73">
        <v>50</v>
      </c>
      <c r="V155" s="73">
        <v>76</v>
      </c>
      <c r="W155" s="73">
        <v>95</v>
      </c>
      <c r="X155" s="73">
        <v>55</v>
      </c>
      <c r="Y155" s="73">
        <v>52</v>
      </c>
      <c r="Z155" s="73">
        <v>58</v>
      </c>
      <c r="AA155" s="73">
        <v>52</v>
      </c>
      <c r="AB155" s="73">
        <v>42</v>
      </c>
      <c r="AC155" s="73">
        <v>48</v>
      </c>
      <c r="BX155" s="73">
        <v>413</v>
      </c>
    </row>
    <row r="156" spans="2:81" x14ac:dyDescent="0.2">
      <c r="B156" s="65" t="s">
        <v>679</v>
      </c>
      <c r="O156" s="73">
        <v>5216</v>
      </c>
      <c r="P156" s="73">
        <v>5229</v>
      </c>
      <c r="Q156" s="73">
        <v>5119</v>
      </c>
      <c r="R156" s="73">
        <v>5495</v>
      </c>
      <c r="S156" s="73">
        <v>5316</v>
      </c>
      <c r="T156" s="73">
        <v>5392</v>
      </c>
      <c r="U156" s="73">
        <v>5483</v>
      </c>
      <c r="V156" s="73">
        <v>6265</v>
      </c>
      <c r="W156" s="73">
        <v>5920</v>
      </c>
      <c r="X156" s="73">
        <v>5363</v>
      </c>
      <c r="Y156" s="73">
        <v>6050</v>
      </c>
      <c r="Z156" s="73">
        <v>6492</v>
      </c>
      <c r="AA156" s="73">
        <v>6814</v>
      </c>
      <c r="AB156" s="73">
        <v>6015</v>
      </c>
      <c r="AC156" s="73">
        <v>5986</v>
      </c>
      <c r="BX156" s="73">
        <v>6457</v>
      </c>
    </row>
    <row r="157" spans="2:81" x14ac:dyDescent="0.2">
      <c r="B157" s="65" t="s">
        <v>377</v>
      </c>
      <c r="O157" s="73">
        <f>1009+1981+7</f>
        <v>2997</v>
      </c>
      <c r="P157" s="73">
        <f>1022+1894+3</f>
        <v>2919</v>
      </c>
      <c r="Q157" s="73">
        <f>1084+2050+4</f>
        <v>3138</v>
      </c>
      <c r="R157" s="73">
        <f>475+1153+3379+4</f>
        <v>5011</v>
      </c>
      <c r="S157" s="73">
        <f>2147+3+1225+483</f>
        <v>3858</v>
      </c>
      <c r="T157" s="73">
        <f>329+393+4988+3</f>
        <v>5713</v>
      </c>
      <c r="U157" s="73">
        <f>349+401+5148+8</f>
        <v>5906</v>
      </c>
      <c r="V157" s="73">
        <f>856+391+5623+2</f>
        <v>6872</v>
      </c>
      <c r="W157" s="73">
        <f>258+364+6221+2</f>
        <v>6845</v>
      </c>
      <c r="X157" s="73">
        <f>283+290+2+5346</f>
        <v>5921</v>
      </c>
      <c r="Y157" s="73">
        <f>288+274+6467+17</f>
        <v>7046</v>
      </c>
      <c r="Z157" s="73">
        <f>129+268+6545+14</f>
        <v>6956</v>
      </c>
      <c r="AA157" s="73">
        <f>254+6964+28</f>
        <v>7246</v>
      </c>
      <c r="AB157" s="73">
        <f>225+134+6574+19</f>
        <v>6952</v>
      </c>
      <c r="AC157" s="73">
        <f>215+216+6229+25</f>
        <v>6685</v>
      </c>
      <c r="BX157" s="73">
        <f>6465+67+105+77+1651</f>
        <v>8365</v>
      </c>
    </row>
    <row r="158" spans="2:81" x14ac:dyDescent="0.2">
      <c r="B158" s="112" t="s">
        <v>1429</v>
      </c>
      <c r="BX158" s="73">
        <v>36017</v>
      </c>
    </row>
    <row r="159" spans="2:81" x14ac:dyDescent="0.2">
      <c r="B159" s="65" t="s">
        <v>680</v>
      </c>
      <c r="O159" s="73">
        <f t="shared" ref="O159:AC159" si="328">SUM(O147:O157)</f>
        <v>26376</v>
      </c>
      <c r="P159" s="73">
        <f t="shared" si="328"/>
        <v>26830</v>
      </c>
      <c r="Q159" s="73">
        <f t="shared" si="328"/>
        <v>27669</v>
      </c>
      <c r="R159" s="73">
        <f t="shared" si="328"/>
        <v>31003</v>
      </c>
      <c r="S159" s="73">
        <f t="shared" si="328"/>
        <v>30356</v>
      </c>
      <c r="T159" s="73">
        <f t="shared" si="328"/>
        <v>32522</v>
      </c>
      <c r="U159" s="73">
        <f t="shared" si="328"/>
        <v>33860</v>
      </c>
      <c r="V159" s="73">
        <f t="shared" si="328"/>
        <v>39393</v>
      </c>
      <c r="W159" s="73">
        <f t="shared" si="328"/>
        <v>39167</v>
      </c>
      <c r="X159" s="73">
        <f t="shared" si="328"/>
        <v>35961</v>
      </c>
      <c r="Y159" s="73">
        <f t="shared" si="328"/>
        <v>41447</v>
      </c>
      <c r="Z159" s="73">
        <f t="shared" si="328"/>
        <v>42862</v>
      </c>
      <c r="AA159" s="73">
        <f t="shared" si="328"/>
        <v>44557</v>
      </c>
      <c r="AB159" s="73">
        <f t="shared" si="328"/>
        <v>43053</v>
      </c>
      <c r="AC159" s="73">
        <f t="shared" si="328"/>
        <v>42648</v>
      </c>
      <c r="BX159" s="73">
        <f>SUM(BX147:BX158)</f>
        <v>89045</v>
      </c>
    </row>
    <row r="161" spans="2:76" x14ac:dyDescent="0.2">
      <c r="B161" s="65" t="s">
        <v>681</v>
      </c>
      <c r="O161" s="73">
        <f>1205+4786</f>
        <v>5991</v>
      </c>
      <c r="P161" s="73">
        <f>1175+5023</f>
        <v>6198</v>
      </c>
      <c r="Q161" s="73">
        <f>1994+4885</f>
        <v>6879</v>
      </c>
      <c r="R161" s="73">
        <f>3504+7067</f>
        <v>10571</v>
      </c>
      <c r="S161" s="73">
        <f>1799+8114</f>
        <v>9913</v>
      </c>
      <c r="T161" s="73">
        <f>1157+12566</f>
        <v>13723</v>
      </c>
      <c r="U161" s="73">
        <f>1387+12801</f>
        <v>14188</v>
      </c>
      <c r="V161" s="73">
        <f>956+15231</f>
        <v>16187</v>
      </c>
      <c r="W161" s="73">
        <f>1276+15106</f>
        <v>16382</v>
      </c>
      <c r="X161" s="73">
        <f>1185+13067</f>
        <v>14252</v>
      </c>
      <c r="Y161" s="73">
        <f>1886+15035</f>
        <v>16921</v>
      </c>
      <c r="Z161" s="73">
        <f>1471+14786</f>
        <v>16257</v>
      </c>
      <c r="AA161" s="73">
        <f>1034+15220</f>
        <v>16254</v>
      </c>
      <c r="AB161" s="73">
        <f>453+14848</f>
        <v>15301</v>
      </c>
      <c r="AC161" s="73">
        <f>386+14851</f>
        <v>15237</v>
      </c>
      <c r="BX161" s="73">
        <f>3327+18784</f>
        <v>22111</v>
      </c>
    </row>
    <row r="162" spans="2:76" x14ac:dyDescent="0.2">
      <c r="B162" s="65" t="s">
        <v>682</v>
      </c>
      <c r="O162" s="73">
        <v>4583</v>
      </c>
      <c r="P162" s="73">
        <v>4516</v>
      </c>
      <c r="Q162" s="73">
        <v>5217</v>
      </c>
      <c r="R162" s="73">
        <v>4861</v>
      </c>
      <c r="S162" s="73">
        <v>5329</v>
      </c>
      <c r="T162" s="73">
        <v>5312</v>
      </c>
      <c r="U162" s="73">
        <v>5143</v>
      </c>
      <c r="V162" s="73">
        <v>6075</v>
      </c>
      <c r="W162" s="73">
        <v>5752</v>
      </c>
      <c r="X162" s="73">
        <v>5161</v>
      </c>
      <c r="Y162" s="73">
        <v>6084</v>
      </c>
      <c r="Z162" s="73">
        <v>6772</v>
      </c>
      <c r="AA162" s="73">
        <v>6796</v>
      </c>
      <c r="AB162" s="73">
        <v>6568</v>
      </c>
      <c r="AC162" s="73">
        <v>6806</v>
      </c>
    </row>
    <row r="163" spans="2:76" x14ac:dyDescent="0.2">
      <c r="B163" s="65" t="s">
        <v>675</v>
      </c>
      <c r="O163" s="73">
        <v>0</v>
      </c>
      <c r="P163" s="73">
        <v>0</v>
      </c>
      <c r="Q163" s="73">
        <v>0</v>
      </c>
      <c r="R163" s="73">
        <v>262</v>
      </c>
      <c r="S163" s="73">
        <v>244</v>
      </c>
      <c r="T163" s="73">
        <v>137</v>
      </c>
      <c r="U163" s="73">
        <v>195</v>
      </c>
      <c r="V163" s="73">
        <v>752</v>
      </c>
      <c r="W163" s="73">
        <v>254</v>
      </c>
      <c r="X163" s="73">
        <v>400</v>
      </c>
      <c r="Y163" s="73">
        <v>241</v>
      </c>
      <c r="Z163" s="73">
        <v>168</v>
      </c>
      <c r="AA163" s="73">
        <f>127+667+6</f>
        <v>800</v>
      </c>
      <c r="AB163" s="73">
        <v>209</v>
      </c>
      <c r="AC163" s="73">
        <f>231+7</f>
        <v>238</v>
      </c>
    </row>
    <row r="164" spans="2:76" x14ac:dyDescent="0.2">
      <c r="B164" s="65" t="s">
        <v>416</v>
      </c>
      <c r="O164" s="73">
        <f>914+739</f>
        <v>1653</v>
      </c>
      <c r="P164" s="73">
        <f>783+917</f>
        <v>1700</v>
      </c>
      <c r="Q164" s="73">
        <f>1217+831</f>
        <v>2048</v>
      </c>
      <c r="R164" s="73">
        <f>826+887</f>
        <v>1713</v>
      </c>
      <c r="S164" s="73">
        <f>1056+989</f>
        <v>2045</v>
      </c>
      <c r="T164" s="73">
        <f>841+762</f>
        <v>1603</v>
      </c>
      <c r="U164" s="73">
        <f>1058+652</f>
        <v>1710</v>
      </c>
      <c r="V164" s="73">
        <f>780+714</f>
        <v>1494</v>
      </c>
      <c r="W164" s="73">
        <v>948</v>
      </c>
      <c r="X164" s="73">
        <f>875+497</f>
        <v>1372</v>
      </c>
      <c r="Y164" s="73">
        <f>1179+691</f>
        <v>1870</v>
      </c>
      <c r="Z164" s="73">
        <f>1451+645</f>
        <v>2096</v>
      </c>
      <c r="AA164" s="73">
        <v>1716</v>
      </c>
      <c r="AB164" s="73">
        <f>1347+668</f>
        <v>2015</v>
      </c>
      <c r="AC164" s="73">
        <f>1172+706</f>
        <v>1878</v>
      </c>
    </row>
    <row r="165" spans="2:76" x14ac:dyDescent="0.2">
      <c r="B165" s="65" t="s">
        <v>683</v>
      </c>
      <c r="O165" s="73">
        <v>740</v>
      </c>
      <c r="P165" s="73">
        <v>733</v>
      </c>
      <c r="Q165" s="73">
        <v>601</v>
      </c>
      <c r="R165" s="73">
        <v>892</v>
      </c>
      <c r="S165" s="73">
        <v>851</v>
      </c>
      <c r="T165" s="73">
        <v>819</v>
      </c>
      <c r="U165" s="73">
        <v>1015</v>
      </c>
      <c r="V165" s="73">
        <v>1454</v>
      </c>
      <c r="W165" s="73">
        <f>1516+717</f>
        <v>2233</v>
      </c>
      <c r="X165" s="73">
        <v>1413</v>
      </c>
      <c r="Y165" s="73">
        <v>1730</v>
      </c>
      <c r="Z165" s="73">
        <v>2256</v>
      </c>
      <c r="AA165" s="73">
        <f>2480+1191</f>
        <v>3671</v>
      </c>
      <c r="AB165" s="73">
        <f>3425+1618</f>
        <v>5043</v>
      </c>
      <c r="AC165" s="73">
        <f>2648+1263</f>
        <v>3911</v>
      </c>
    </row>
    <row r="166" spans="2:76" x14ac:dyDescent="0.2">
      <c r="B166" s="65" t="s">
        <v>684</v>
      </c>
      <c r="O166" s="73">
        <f>2033</f>
        <v>2033</v>
      </c>
      <c r="P166" s="73">
        <v>1422</v>
      </c>
      <c r="Q166" s="73">
        <v>1331</v>
      </c>
      <c r="R166" s="73">
        <v>1383</v>
      </c>
      <c r="S166" s="73">
        <v>1326</v>
      </c>
      <c r="T166" s="73">
        <v>1756</v>
      </c>
      <c r="U166" s="73">
        <v>2312</v>
      </c>
      <c r="V166" s="73">
        <v>3039</v>
      </c>
      <c r="W166" s="73">
        <v>3227</v>
      </c>
      <c r="X166" s="73">
        <v>3664</v>
      </c>
      <c r="Y166" s="73">
        <v>3335</v>
      </c>
      <c r="Z166" s="73">
        <v>2981</v>
      </c>
      <c r="AA166" s="73">
        <v>3280</v>
      </c>
      <c r="AB166" s="73">
        <v>3773</v>
      </c>
      <c r="AC166" s="73">
        <v>3385</v>
      </c>
    </row>
    <row r="167" spans="2:76" x14ac:dyDescent="0.2">
      <c r="B167" s="65" t="s">
        <v>685</v>
      </c>
      <c r="O167" s="73">
        <f>817+397</f>
        <v>1214</v>
      </c>
      <c r="P167" s="73">
        <f>813+407</f>
        <v>1220</v>
      </c>
      <c r="Q167" s="73">
        <f>1002+429</f>
        <v>1431</v>
      </c>
      <c r="R167" s="73">
        <f>1035+8+368</f>
        <v>1411</v>
      </c>
      <c r="S167" s="73">
        <f>1084+354</f>
        <v>1438</v>
      </c>
      <c r="T167" s="73">
        <f>1100+2+363</f>
        <v>1465</v>
      </c>
      <c r="U167" s="73">
        <f>1129+371</f>
        <v>1500</v>
      </c>
      <c r="V167" s="73">
        <f>1645+2+427</f>
        <v>2074</v>
      </c>
      <c r="W167" s="73">
        <f>1529+2+406</f>
        <v>1937</v>
      </c>
      <c r="X167" s="73">
        <f>1276+392</f>
        <v>1668</v>
      </c>
      <c r="Y167" s="73">
        <f>1187+445</f>
        <v>1632</v>
      </c>
      <c r="Z167" s="73">
        <f>985+605</f>
        <v>1590</v>
      </c>
      <c r="AA167" s="73">
        <v>614</v>
      </c>
      <c r="AB167" s="73">
        <f>594+6</f>
        <v>600</v>
      </c>
      <c r="AC167" s="73">
        <v>580</v>
      </c>
    </row>
    <row r="168" spans="2:76" x14ac:dyDescent="0.2">
      <c r="B168" s="65" t="s">
        <v>686</v>
      </c>
      <c r="O168" s="73">
        <f t="shared" ref="O168:AB168" si="329">SUM(O161:O167)</f>
        <v>16214</v>
      </c>
      <c r="P168" s="73">
        <f t="shared" si="329"/>
        <v>15789</v>
      </c>
      <c r="Q168" s="73">
        <f t="shared" si="329"/>
        <v>17507</v>
      </c>
      <c r="R168" s="73">
        <f t="shared" si="329"/>
        <v>21093</v>
      </c>
      <c r="S168" s="73">
        <f t="shared" si="329"/>
        <v>21146</v>
      </c>
      <c r="T168" s="73">
        <f t="shared" si="329"/>
        <v>24815</v>
      </c>
      <c r="U168" s="73">
        <f t="shared" si="329"/>
        <v>26063</v>
      </c>
      <c r="V168" s="73">
        <f t="shared" si="329"/>
        <v>31075</v>
      </c>
      <c r="W168" s="73">
        <f t="shared" si="329"/>
        <v>30733</v>
      </c>
      <c r="X168" s="73">
        <f t="shared" si="329"/>
        <v>27930</v>
      </c>
      <c r="Y168" s="73">
        <f t="shared" si="329"/>
        <v>31813</v>
      </c>
      <c r="Z168" s="73">
        <f t="shared" si="329"/>
        <v>32120</v>
      </c>
      <c r="AA168" s="73">
        <f t="shared" si="329"/>
        <v>33131</v>
      </c>
      <c r="AB168" s="73">
        <f t="shared" si="329"/>
        <v>33509</v>
      </c>
      <c r="AC168" s="73">
        <f>SUM(AC161:AC167)</f>
        <v>32035</v>
      </c>
    </row>
    <row r="169" spans="2:76" x14ac:dyDescent="0.2">
      <c r="B169" s="65" t="s">
        <v>687</v>
      </c>
      <c r="O169" s="73">
        <v>9935</v>
      </c>
      <c r="P169" s="73">
        <v>10796</v>
      </c>
      <c r="Q169" s="73">
        <v>9879</v>
      </c>
      <c r="R169" s="73">
        <v>9603</v>
      </c>
      <c r="S169" s="73">
        <v>8916</v>
      </c>
      <c r="T169" s="73">
        <v>7438</v>
      </c>
      <c r="U169" s="73">
        <v>7486</v>
      </c>
      <c r="V169" s="73">
        <v>7931</v>
      </c>
      <c r="W169" s="73">
        <v>8062</v>
      </c>
      <c r="X169" s="73">
        <v>7717</v>
      </c>
      <c r="Y169" s="73">
        <v>9280</v>
      </c>
      <c r="Z169" s="73">
        <v>10005</v>
      </c>
      <c r="AA169" s="73">
        <v>10670</v>
      </c>
      <c r="AB169" s="73">
        <v>8769</v>
      </c>
      <c r="AC169" s="73">
        <v>9809</v>
      </c>
    </row>
    <row r="170" spans="2:76" x14ac:dyDescent="0.2">
      <c r="B170" s="65" t="s">
        <v>688</v>
      </c>
      <c r="O170" s="73">
        <v>227</v>
      </c>
      <c r="P170" s="73">
        <v>245</v>
      </c>
      <c r="Q170" s="73">
        <v>283</v>
      </c>
      <c r="R170" s="73">
        <v>307</v>
      </c>
      <c r="S170" s="73">
        <v>294</v>
      </c>
      <c r="T170" s="73">
        <v>269</v>
      </c>
      <c r="U170" s="73">
        <v>311</v>
      </c>
      <c r="V170" s="73">
        <v>387</v>
      </c>
      <c r="W170" s="73">
        <v>372</v>
      </c>
      <c r="X170" s="73">
        <v>314</v>
      </c>
      <c r="Y170" s="73">
        <v>354</v>
      </c>
      <c r="Z170" s="73">
        <v>737</v>
      </c>
      <c r="AA170" s="73">
        <v>756</v>
      </c>
      <c r="AB170" s="73">
        <v>775</v>
      </c>
      <c r="AC170" s="73">
        <v>804</v>
      </c>
    </row>
    <row r="171" spans="2:76" x14ac:dyDescent="0.2">
      <c r="B171" s="65" t="s">
        <v>689</v>
      </c>
      <c r="O171" s="73">
        <f t="shared" ref="O171:AB171" si="330">SUM(O168:O170)</f>
        <v>26376</v>
      </c>
      <c r="P171" s="73">
        <f t="shared" si="330"/>
        <v>26830</v>
      </c>
      <c r="Q171" s="73">
        <f t="shared" si="330"/>
        <v>27669</v>
      </c>
      <c r="R171" s="73">
        <f t="shared" si="330"/>
        <v>31003</v>
      </c>
      <c r="S171" s="73">
        <f t="shared" si="330"/>
        <v>30356</v>
      </c>
      <c r="T171" s="73">
        <f t="shared" si="330"/>
        <v>32522</v>
      </c>
      <c r="U171" s="73">
        <f t="shared" si="330"/>
        <v>33860</v>
      </c>
      <c r="V171" s="73">
        <f t="shared" si="330"/>
        <v>39393</v>
      </c>
      <c r="W171" s="73">
        <f t="shared" si="330"/>
        <v>39167</v>
      </c>
      <c r="X171" s="73">
        <f t="shared" si="330"/>
        <v>35961</v>
      </c>
      <c r="Y171" s="73">
        <f t="shared" si="330"/>
        <v>41447</v>
      </c>
      <c r="Z171" s="73">
        <f t="shared" si="330"/>
        <v>42862</v>
      </c>
      <c r="AA171" s="73">
        <f t="shared" si="330"/>
        <v>44557</v>
      </c>
      <c r="AB171" s="73">
        <f t="shared" si="330"/>
        <v>43053</v>
      </c>
      <c r="AC171" s="73">
        <f>SUM(AC168:AC170)</f>
        <v>42648</v>
      </c>
    </row>
    <row r="173" spans="2:76" x14ac:dyDescent="0.2">
      <c r="B173" s="65" t="s">
        <v>690</v>
      </c>
      <c r="W173" s="73">
        <v>1169</v>
      </c>
      <c r="X173" s="73">
        <f>2630-W173</f>
        <v>1461</v>
      </c>
      <c r="Y173" s="73">
        <f>4001-X173-W173</f>
        <v>1371</v>
      </c>
      <c r="Z173" s="73">
        <f>5669-Y173-X173-W173</f>
        <v>1668</v>
      </c>
      <c r="AA173" s="73">
        <f>AA136</f>
        <v>1395</v>
      </c>
      <c r="AB173" s="73">
        <f>1143-AA173</f>
        <v>-252</v>
      </c>
      <c r="AC173" s="73">
        <f>2486-AB173-AA173</f>
        <v>1343</v>
      </c>
    </row>
    <row r="174" spans="2:76" x14ac:dyDescent="0.2">
      <c r="B174" s="65" t="s">
        <v>416</v>
      </c>
      <c r="W174" s="73">
        <v>497</v>
      </c>
      <c r="X174" s="73">
        <f>1098-W174</f>
        <v>601</v>
      </c>
      <c r="Y174" s="73">
        <f>1640-X174-W174</f>
        <v>542</v>
      </c>
      <c r="Z174" s="73">
        <f>2222-Y174-X174-W174</f>
        <v>582</v>
      </c>
      <c r="AA174" s="73">
        <v>536</v>
      </c>
      <c r="AB174" s="73">
        <f>691-AA174</f>
        <v>155</v>
      </c>
      <c r="AC174" s="73">
        <f>1147-AB174-AA174</f>
        <v>456</v>
      </c>
    </row>
    <row r="175" spans="2:76" x14ac:dyDescent="0.2">
      <c r="B175" s="65" t="s">
        <v>691</v>
      </c>
      <c r="W175" s="73">
        <f>-14-115</f>
        <v>-129</v>
      </c>
      <c r="X175" s="73">
        <f>-31-115-W175</f>
        <v>-17</v>
      </c>
      <c r="Y175" s="73">
        <f>-53-115-X175-W175</f>
        <v>-22</v>
      </c>
      <c r="Z175" s="73">
        <f>-64-115-Y175-X175-W175</f>
        <v>-11</v>
      </c>
      <c r="AA175" s="73">
        <v>-25</v>
      </c>
      <c r="AB175" s="73">
        <f>-47-AA175</f>
        <v>-22</v>
      </c>
      <c r="AC175" s="73">
        <f>-63-AB175-AA175</f>
        <v>-16</v>
      </c>
    </row>
    <row r="176" spans="2:76" x14ac:dyDescent="0.2">
      <c r="B176" s="65" t="s">
        <v>692</v>
      </c>
      <c r="W176" s="73">
        <v>175</v>
      </c>
      <c r="X176" s="73">
        <f>325-W176</f>
        <v>150</v>
      </c>
      <c r="Y176" s="73">
        <f>505-X176-W176</f>
        <v>180</v>
      </c>
      <c r="Z176" s="73">
        <f>713-Y176-X176-W176</f>
        <v>208</v>
      </c>
      <c r="AA176" s="73">
        <v>188</v>
      </c>
      <c r="AB176" s="73">
        <f>358-AA176</f>
        <v>170</v>
      </c>
      <c r="AC176" s="73">
        <f>533-AB176-AA176</f>
        <v>175</v>
      </c>
    </row>
    <row r="177" spans="2:105" x14ac:dyDescent="0.2">
      <c r="B177" s="65" t="s">
        <v>693</v>
      </c>
      <c r="W177" s="73">
        <v>603</v>
      </c>
      <c r="X177" s="73">
        <f>767-W177</f>
        <v>164</v>
      </c>
      <c r="Y177" s="73">
        <f>1248-X177-W177</f>
        <v>481</v>
      </c>
      <c r="Z177" s="73">
        <f>1271-Y177-X177-W177</f>
        <v>23</v>
      </c>
      <c r="AA177" s="73">
        <v>466</v>
      </c>
      <c r="AB177" s="73">
        <f>928-AA177</f>
        <v>462</v>
      </c>
      <c r="AC177" s="73">
        <f>1494-AB177-AA177</f>
        <v>566</v>
      </c>
    </row>
    <row r="178" spans="2:105" x14ac:dyDescent="0.2">
      <c r="B178" s="65" t="s">
        <v>694</v>
      </c>
      <c r="W178" s="73">
        <v>22</v>
      </c>
      <c r="X178" s="73">
        <f>228-W178</f>
        <v>206</v>
      </c>
      <c r="Y178" s="73">
        <f>-51-X178-W178</f>
        <v>-279</v>
      </c>
      <c r="Z178" s="73">
        <f>-106-Y178-X178-W178</f>
        <v>-55</v>
      </c>
      <c r="AA178" s="73">
        <v>-277</v>
      </c>
      <c r="AB178" s="73">
        <f>464-AA178</f>
        <v>741</v>
      </c>
      <c r="AC178" s="73">
        <f>555-AB178-AA178</f>
        <v>91</v>
      </c>
    </row>
    <row r="179" spans="2:105" x14ac:dyDescent="0.2">
      <c r="B179" s="65" t="s">
        <v>695</v>
      </c>
      <c r="W179" s="73">
        <v>-271</v>
      </c>
      <c r="X179" s="73">
        <f>-488-W179</f>
        <v>-217</v>
      </c>
      <c r="Y179" s="73">
        <f>-329-X179-W179</f>
        <v>159</v>
      </c>
      <c r="Z179" s="73">
        <f>-45-Y179-X179-W179</f>
        <v>284</v>
      </c>
      <c r="AA179" s="73">
        <v>122</v>
      </c>
      <c r="AB179" s="73">
        <f>1525-AA179</f>
        <v>1403</v>
      </c>
      <c r="AC179" s="73">
        <f>545-AB179-AA179</f>
        <v>-980</v>
      </c>
    </row>
    <row r="180" spans="2:105" s="69" customFormat="1" x14ac:dyDescent="0.2">
      <c r="B180" s="69" t="s">
        <v>515</v>
      </c>
      <c r="C180" s="159"/>
      <c r="D180" s="159"/>
      <c r="E180" s="159"/>
      <c r="F180" s="159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>
        <f t="shared" ref="W180:AC180" si="331">SUM(W173:W179)</f>
        <v>2066</v>
      </c>
      <c r="X180" s="72">
        <f t="shared" si="331"/>
        <v>2348</v>
      </c>
      <c r="Y180" s="72">
        <f t="shared" si="331"/>
        <v>2432</v>
      </c>
      <c r="Z180" s="72">
        <f t="shared" si="331"/>
        <v>2699</v>
      </c>
      <c r="AA180" s="72">
        <f t="shared" si="331"/>
        <v>2405</v>
      </c>
      <c r="AB180" s="72">
        <f t="shared" si="331"/>
        <v>2657</v>
      </c>
      <c r="AC180" s="72">
        <f t="shared" si="331"/>
        <v>1635</v>
      </c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13"/>
      <c r="CK180" s="13"/>
      <c r="CL180" s="72"/>
      <c r="CM180" s="72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  <c r="CZ180" s="70"/>
      <c r="DA180" s="70"/>
    </row>
    <row r="181" spans="2:105" x14ac:dyDescent="0.2">
      <c r="B181" s="65" t="s">
        <v>416</v>
      </c>
      <c r="W181" s="73">
        <v>330</v>
      </c>
      <c r="X181" s="73">
        <f>915-W181</f>
        <v>585</v>
      </c>
      <c r="Y181" s="73">
        <f>1266-X181-W181</f>
        <v>351</v>
      </c>
      <c r="Z181" s="73">
        <f>1704-Y181-X181-W181</f>
        <v>438</v>
      </c>
      <c r="AA181" s="73">
        <v>283</v>
      </c>
      <c r="AB181" s="73">
        <f>824-AA181</f>
        <v>541</v>
      </c>
      <c r="AC181" s="73">
        <f>1365-AB181-AA181</f>
        <v>541</v>
      </c>
    </row>
    <row r="182" spans="2:105" s="69" customFormat="1" x14ac:dyDescent="0.2">
      <c r="B182" s="69" t="s">
        <v>858</v>
      </c>
      <c r="C182" s="159"/>
      <c r="D182" s="159"/>
      <c r="E182" s="159"/>
      <c r="F182" s="159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>
        <f t="shared" ref="W182:AC182" si="332">+W180-W181</f>
        <v>1736</v>
      </c>
      <c r="X182" s="72">
        <f t="shared" si="332"/>
        <v>1763</v>
      </c>
      <c r="Y182" s="72">
        <f t="shared" si="332"/>
        <v>2081</v>
      </c>
      <c r="Z182" s="72">
        <f t="shared" si="332"/>
        <v>2261</v>
      </c>
      <c r="AA182" s="72">
        <f t="shared" si="332"/>
        <v>2122</v>
      </c>
      <c r="AB182" s="72">
        <f t="shared" si="332"/>
        <v>2116</v>
      </c>
      <c r="AC182" s="72">
        <f t="shared" si="332"/>
        <v>1094</v>
      </c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13"/>
      <c r="CK182" s="13"/>
      <c r="CL182" s="72"/>
      <c r="CM182" s="72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</row>
    <row r="183" spans="2:105" x14ac:dyDescent="0.2">
      <c r="B183" s="65" t="s">
        <v>696</v>
      </c>
      <c r="W183" s="73">
        <f>-268+7</f>
        <v>-261</v>
      </c>
      <c r="X183" s="73">
        <f>-655+12-W183</f>
        <v>-382</v>
      </c>
      <c r="Y183" s="73">
        <f>-972+26-X183-W183</f>
        <v>-303</v>
      </c>
      <c r="Z183" s="73">
        <f>-1418+48-Y183-X183-W183</f>
        <v>-424</v>
      </c>
      <c r="AA183" s="73">
        <f>-207+17</f>
        <v>-190</v>
      </c>
      <c r="AB183" s="73">
        <f>-474-AA183+46</f>
        <v>-238</v>
      </c>
      <c r="AC183" s="73">
        <f>-725+57-AB183-AA183</f>
        <v>-240</v>
      </c>
    </row>
    <row r="184" spans="2:105" s="69" customFormat="1" x14ac:dyDescent="0.2">
      <c r="B184" s="69" t="s">
        <v>697</v>
      </c>
      <c r="C184" s="159"/>
      <c r="D184" s="159"/>
      <c r="E184" s="159"/>
      <c r="F184" s="159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>
        <f t="shared" ref="W184:AC184" si="333">W183+W182</f>
        <v>1475</v>
      </c>
      <c r="X184" s="72">
        <f t="shared" si="333"/>
        <v>1381</v>
      </c>
      <c r="Y184" s="72">
        <f t="shared" si="333"/>
        <v>1778</v>
      </c>
      <c r="Z184" s="72">
        <f t="shared" si="333"/>
        <v>1837</v>
      </c>
      <c r="AA184" s="72">
        <f t="shared" si="333"/>
        <v>1932</v>
      </c>
      <c r="AB184" s="72">
        <f t="shared" si="333"/>
        <v>1878</v>
      </c>
      <c r="AC184" s="72">
        <f t="shared" si="333"/>
        <v>854</v>
      </c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13"/>
      <c r="CK184" s="13"/>
      <c r="CL184" s="72"/>
      <c r="CM184" s="72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</row>
    <row r="185" spans="2:105" x14ac:dyDescent="0.2">
      <c r="B185" s="65" t="s">
        <v>859</v>
      </c>
      <c r="W185" s="73">
        <v>-120</v>
      </c>
      <c r="X185" s="73">
        <f>-195+353-W185</f>
        <v>278</v>
      </c>
      <c r="Y185" s="73">
        <f>-260+346-X185-W185</f>
        <v>-72</v>
      </c>
      <c r="Z185" s="73">
        <f>-455+356-Y185-X185-W185</f>
        <v>-185</v>
      </c>
      <c r="AA185" s="73">
        <v>-119</v>
      </c>
      <c r="AB185" s="73">
        <f>-198+32-AA185</f>
        <v>-47</v>
      </c>
    </row>
    <row r="186" spans="2:105" x14ac:dyDescent="0.2">
      <c r="B186" s="65" t="s">
        <v>860</v>
      </c>
      <c r="W186" s="73">
        <f>-23+1-501-7</f>
        <v>-530</v>
      </c>
      <c r="X186" s="73">
        <f>-44+2-673-7-W186</f>
        <v>-192</v>
      </c>
      <c r="Y186" s="73">
        <f>-117+25-2677-27-X186-W186</f>
        <v>-2074</v>
      </c>
      <c r="Z186" s="73">
        <f>-154+59-2792-29-Y186-X186-W186</f>
        <v>-120</v>
      </c>
      <c r="AA186" s="73">
        <f>-61+10-13</f>
        <v>-64</v>
      </c>
      <c r="AB186" s="73">
        <f>-147+12-163-43-AA186</f>
        <v>-277</v>
      </c>
    </row>
    <row r="187" spans="2:105" x14ac:dyDescent="0.2">
      <c r="B187" s="65" t="s">
        <v>861</v>
      </c>
      <c r="W187" s="73">
        <f>23+178+41+3</f>
        <v>245</v>
      </c>
      <c r="X187" s="73">
        <f>58+178+59+8-W187</f>
        <v>58</v>
      </c>
      <c r="Y187" s="73">
        <f>84+178+81+11-X187-W187</f>
        <v>51</v>
      </c>
      <c r="Z187" s="73">
        <f>87+178+90+17-Y187-X187-W187</f>
        <v>18</v>
      </c>
      <c r="AA187" s="73">
        <f>28+19+2</f>
        <v>49</v>
      </c>
      <c r="AB187" s="73">
        <f>56+39+4-AA187</f>
        <v>50</v>
      </c>
    </row>
    <row r="188" spans="2:105" x14ac:dyDescent="0.2">
      <c r="B188" s="65" t="s">
        <v>862</v>
      </c>
      <c r="W188" s="73">
        <f>SUM(W185:W187)</f>
        <v>-405</v>
      </c>
      <c r="X188" s="73">
        <f>SUM(X185:X187)</f>
        <v>144</v>
      </c>
      <c r="Y188" s="73">
        <f>SUM(Y185:Y187)</f>
        <v>-2095</v>
      </c>
      <c r="Z188" s="73">
        <f>SUM(Z185:Z187)</f>
        <v>-287</v>
      </c>
      <c r="AA188" s="73">
        <f>SUM(AA185:AA187)</f>
        <v>-134</v>
      </c>
      <c r="AB188" s="73">
        <f t="shared" ref="AB188" si="334">SUM(AB185:AB187)</f>
        <v>-274</v>
      </c>
    </row>
    <row r="189" spans="2:105" x14ac:dyDescent="0.2">
      <c r="B189" s="65" t="s">
        <v>695</v>
      </c>
      <c r="W189" s="73">
        <f>3-50+15+166-11-56+50</f>
        <v>117</v>
      </c>
      <c r="X189" s="73">
        <f>3-48+16-471-23-385-W189-208</f>
        <v>-1233</v>
      </c>
      <c r="Y189" s="73">
        <f>4-56+19+1358+148-33-390-X189-W189-152</f>
        <v>2014</v>
      </c>
      <c r="Z189" s="73">
        <f>13-58+44+1358+646-748-48-780-109-Y189-X189-W189</f>
        <v>-580</v>
      </c>
      <c r="AA189" s="73">
        <f>6+17-56-625+15-11-40-93</f>
        <v>-787</v>
      </c>
      <c r="AB189" s="73">
        <f>6+21-58-1321+38-24-352-AA189-201</f>
        <v>-1104</v>
      </c>
    </row>
    <row r="190" spans="2:105" x14ac:dyDescent="0.2">
      <c r="B190" s="65" t="s">
        <v>516</v>
      </c>
      <c r="W190" s="73">
        <v>-730</v>
      </c>
      <c r="X190" s="73">
        <f>-1586-W190</f>
        <v>-856</v>
      </c>
      <c r="Y190" s="73">
        <f>-2290-X190-W190</f>
        <v>-704</v>
      </c>
      <c r="Z190" s="73">
        <f>-3003-Y190-X190-W190</f>
        <v>-713</v>
      </c>
      <c r="AA190" s="73">
        <v>-763</v>
      </c>
      <c r="AB190" s="73">
        <f>-1682-AA190</f>
        <v>-919</v>
      </c>
    </row>
    <row r="191" spans="2:105" x14ac:dyDescent="0.2">
      <c r="B191" s="65" t="s">
        <v>688</v>
      </c>
      <c r="W191" s="73">
        <v>-41</v>
      </c>
      <c r="X191" s="73">
        <f>-91-W191</f>
        <v>-50</v>
      </c>
      <c r="Y191" s="73">
        <f>-85-X191-W191</f>
        <v>6</v>
      </c>
      <c r="Z191" s="73">
        <f>-89-Y191-X191-W191</f>
        <v>-4</v>
      </c>
      <c r="AA191" s="73">
        <v>-67</v>
      </c>
      <c r="AB191" s="73">
        <f>-99-AA191</f>
        <v>-32</v>
      </c>
    </row>
    <row r="192" spans="2:105" x14ac:dyDescent="0.2">
      <c r="B192" s="65" t="s">
        <v>863</v>
      </c>
      <c r="W192" s="73">
        <f t="shared" ref="W192:AB192" si="335">SUM(W189:W191)</f>
        <v>-654</v>
      </c>
      <c r="X192" s="73">
        <f t="shared" si="335"/>
        <v>-2139</v>
      </c>
      <c r="Y192" s="73">
        <f t="shared" si="335"/>
        <v>1316</v>
      </c>
      <c r="Z192" s="73">
        <f t="shared" si="335"/>
        <v>-1297</v>
      </c>
      <c r="AA192" s="73">
        <f t="shared" si="335"/>
        <v>-1617</v>
      </c>
      <c r="AB192" s="73">
        <f t="shared" si="335"/>
        <v>-2055</v>
      </c>
    </row>
    <row r="193" spans="2:105" s="69" customFormat="1" x14ac:dyDescent="0.2">
      <c r="B193" s="69" t="s">
        <v>417</v>
      </c>
      <c r="C193" s="159"/>
      <c r="D193" s="159"/>
      <c r="E193" s="159"/>
      <c r="F193" s="159"/>
      <c r="G193" s="72"/>
      <c r="H193" s="72"/>
      <c r="I193" s="72"/>
      <c r="J193" s="72"/>
      <c r="K193" s="72"/>
      <c r="L193" s="72"/>
      <c r="M193" s="72"/>
      <c r="N193" s="72"/>
      <c r="O193" s="72">
        <f t="shared" ref="O193:AC193" si="336">O111</f>
        <v>1495</v>
      </c>
      <c r="P193" s="72">
        <f t="shared" si="336"/>
        <v>1311</v>
      </c>
      <c r="Q193" s="72">
        <f t="shared" si="336"/>
        <v>1310</v>
      </c>
      <c r="R193" s="72">
        <f t="shared" si="336"/>
        <v>1326</v>
      </c>
      <c r="S193" s="72">
        <f t="shared" si="336"/>
        <v>1348</v>
      </c>
      <c r="T193" s="72">
        <f t="shared" si="336"/>
        <v>1404</v>
      </c>
      <c r="U193" s="72">
        <f t="shared" si="336"/>
        <v>1287</v>
      </c>
      <c r="V193" s="72">
        <f t="shared" si="336"/>
        <v>1356</v>
      </c>
      <c r="W193" s="72">
        <f t="shared" si="336"/>
        <v>1333</v>
      </c>
      <c r="X193" s="72">
        <f t="shared" si="336"/>
        <v>1572</v>
      </c>
      <c r="Y193" s="72">
        <f t="shared" si="336"/>
        <v>1444</v>
      </c>
      <c r="Z193" s="72">
        <f t="shared" si="336"/>
        <v>1796</v>
      </c>
      <c r="AA193" s="72">
        <f t="shared" si="336"/>
        <v>1560</v>
      </c>
      <c r="AB193" s="72">
        <f t="shared" si="336"/>
        <v>1700</v>
      </c>
      <c r="AC193" s="72">
        <f t="shared" si="336"/>
        <v>1513</v>
      </c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13"/>
      <c r="CK193" s="13"/>
      <c r="CL193" s="72"/>
      <c r="CM193" s="72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  <c r="CZ193" s="70"/>
      <c r="DA193" s="70"/>
    </row>
    <row r="194" spans="2:105" s="69" customFormat="1" x14ac:dyDescent="0.2">
      <c r="B194" s="69" t="s">
        <v>515</v>
      </c>
      <c r="C194" s="159"/>
      <c r="D194" s="159"/>
      <c r="E194" s="159"/>
      <c r="F194" s="159"/>
      <c r="G194" s="72"/>
      <c r="H194" s="72"/>
      <c r="I194" s="72"/>
      <c r="J194" s="72"/>
      <c r="K194" s="72"/>
      <c r="L194" s="72"/>
      <c r="M194" s="72"/>
      <c r="N194" s="72"/>
      <c r="O194" s="72">
        <v>1550</v>
      </c>
      <c r="P194" s="72">
        <v>1385</v>
      </c>
      <c r="Q194" s="72">
        <v>1842</v>
      </c>
      <c r="R194" s="72">
        <f>6161-Q194-P194-O194</f>
        <v>1384</v>
      </c>
      <c r="S194" s="72">
        <v>1801</v>
      </c>
      <c r="T194" s="72">
        <f>3174-S194</f>
        <v>1373</v>
      </c>
      <c r="U194" s="72">
        <f>5067-T194-S194</f>
        <v>1893</v>
      </c>
      <c r="V194" s="72">
        <f>7311-U194-T194-S194</f>
        <v>2244</v>
      </c>
      <c r="W194" s="72">
        <v>1736</v>
      </c>
      <c r="X194" s="72">
        <f>3499-W194</f>
        <v>1763</v>
      </c>
      <c r="Y194" s="72">
        <f>5580-X194-W194</f>
        <v>2081</v>
      </c>
      <c r="Z194" s="72">
        <f>7841-Y194-X194-W194</f>
        <v>2261</v>
      </c>
      <c r="AA194" s="72">
        <v>2122</v>
      </c>
      <c r="AB194" s="72">
        <f>AB193+562</f>
        <v>2262</v>
      </c>
      <c r="AC194" s="72">
        <f>5332-AB194-AA194</f>
        <v>948</v>
      </c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13"/>
      <c r="CK194" s="13"/>
      <c r="CL194" s="72"/>
      <c r="CM194" s="72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  <c r="CZ194" s="70"/>
      <c r="DA194" s="70"/>
    </row>
    <row r="195" spans="2:105" x14ac:dyDescent="0.2">
      <c r="B195" s="65" t="s">
        <v>656</v>
      </c>
      <c r="O195" s="73">
        <f t="shared" ref="O195:AC195" si="337">O193-O194</f>
        <v>-55</v>
      </c>
      <c r="P195" s="73">
        <f t="shared" si="337"/>
        <v>-74</v>
      </c>
      <c r="Q195" s="73">
        <f t="shared" si="337"/>
        <v>-532</v>
      </c>
      <c r="R195" s="73">
        <f t="shared" si="337"/>
        <v>-58</v>
      </c>
      <c r="S195" s="73">
        <f t="shared" si="337"/>
        <v>-453</v>
      </c>
      <c r="T195" s="73">
        <f t="shared" si="337"/>
        <v>31</v>
      </c>
      <c r="U195" s="73">
        <f t="shared" si="337"/>
        <v>-606</v>
      </c>
      <c r="V195" s="73">
        <f t="shared" si="337"/>
        <v>-888</v>
      </c>
      <c r="W195" s="73">
        <f>W193-W194</f>
        <v>-403</v>
      </c>
      <c r="X195" s="73">
        <f t="shared" si="337"/>
        <v>-191</v>
      </c>
      <c r="Y195" s="73">
        <f t="shared" si="337"/>
        <v>-637</v>
      </c>
      <c r="Z195" s="73">
        <f t="shared" si="337"/>
        <v>-465</v>
      </c>
      <c r="AA195" s="73">
        <f t="shared" si="337"/>
        <v>-562</v>
      </c>
      <c r="AB195" s="73">
        <f t="shared" si="337"/>
        <v>-562</v>
      </c>
      <c r="AC195" s="73">
        <f t="shared" si="337"/>
        <v>565</v>
      </c>
    </row>
    <row r="197" spans="2:105" x14ac:dyDescent="0.2">
      <c r="B197" s="65" t="s">
        <v>702</v>
      </c>
      <c r="S197" s="73">
        <v>2138</v>
      </c>
      <c r="T197" s="73">
        <v>2129</v>
      </c>
      <c r="U197" s="73">
        <v>2101</v>
      </c>
      <c r="V197" s="73">
        <v>2526</v>
      </c>
      <c r="W197" s="73">
        <v>2088</v>
      </c>
      <c r="X197" s="73">
        <v>2140</v>
      </c>
      <c r="Y197" s="73">
        <v>2143</v>
      </c>
      <c r="Z197" s="73">
        <v>2450</v>
      </c>
      <c r="AA197" s="73">
        <v>1909</v>
      </c>
      <c r="AB197" s="73">
        <v>1935</v>
      </c>
    </row>
    <row r="198" spans="2:105" x14ac:dyDescent="0.2">
      <c r="B198" s="65" t="s">
        <v>703</v>
      </c>
      <c r="S198" s="73">
        <v>1496</v>
      </c>
      <c r="T198" s="73">
        <v>1598</v>
      </c>
      <c r="U198" s="73">
        <v>1563</v>
      </c>
      <c r="V198" s="73">
        <v>1826</v>
      </c>
      <c r="W198" s="73">
        <v>1669</v>
      </c>
      <c r="X198" s="73">
        <v>1588</v>
      </c>
      <c r="Y198" s="73">
        <v>1734</v>
      </c>
      <c r="Z198" s="73">
        <v>2361</v>
      </c>
      <c r="AA198" s="73">
        <v>1893</v>
      </c>
      <c r="AB198" s="73">
        <v>1580</v>
      </c>
    </row>
    <row r="199" spans="2:105" x14ac:dyDescent="0.2">
      <c r="B199" s="65" t="s">
        <v>704</v>
      </c>
      <c r="S199" s="73">
        <v>469</v>
      </c>
      <c r="T199" s="73">
        <v>563</v>
      </c>
      <c r="U199" s="73">
        <v>581</v>
      </c>
      <c r="V199" s="73">
        <v>677</v>
      </c>
      <c r="W199" s="73">
        <v>639</v>
      </c>
      <c r="X199" s="73">
        <v>693</v>
      </c>
      <c r="Y199" s="73">
        <v>765</v>
      </c>
      <c r="Z199" s="73">
        <v>827</v>
      </c>
      <c r="AA199" s="73">
        <v>866</v>
      </c>
      <c r="AB199" s="73">
        <v>848</v>
      </c>
      <c r="AF199" s="157"/>
    </row>
    <row r="200" spans="2:105" x14ac:dyDescent="0.2">
      <c r="B200" s="65" t="s">
        <v>705</v>
      </c>
      <c r="S200" s="73">
        <v>420</v>
      </c>
      <c r="T200" s="73">
        <v>464</v>
      </c>
      <c r="U200" s="73">
        <v>464</v>
      </c>
      <c r="V200" s="73">
        <v>570</v>
      </c>
      <c r="W200" s="73">
        <v>619</v>
      </c>
      <c r="X200" s="73">
        <v>587</v>
      </c>
      <c r="Y200" s="73">
        <v>643</v>
      </c>
      <c r="Z200" s="73">
        <v>809</v>
      </c>
      <c r="AA200" s="73">
        <v>885</v>
      </c>
      <c r="AB200" s="73">
        <v>727</v>
      </c>
    </row>
    <row r="201" spans="2:105" x14ac:dyDescent="0.2">
      <c r="B201" s="65" t="s">
        <v>706</v>
      </c>
      <c r="W201" s="73">
        <v>419</v>
      </c>
      <c r="X201" s="176">
        <v>379</v>
      </c>
      <c r="AA201" s="73">
        <v>373</v>
      </c>
      <c r="AB201" s="73">
        <v>389</v>
      </c>
    </row>
    <row r="202" spans="2:105" x14ac:dyDescent="0.2">
      <c r="B202" s="65" t="s">
        <v>707</v>
      </c>
      <c r="S202" s="73">
        <v>244</v>
      </c>
      <c r="T202" s="73">
        <v>169</v>
      </c>
      <c r="U202" s="73">
        <v>179</v>
      </c>
      <c r="V202" s="73">
        <v>204</v>
      </c>
      <c r="W202" s="73">
        <v>184</v>
      </c>
      <c r="X202" s="73">
        <v>191</v>
      </c>
      <c r="Y202" s="73">
        <v>308</v>
      </c>
      <c r="Z202" s="73">
        <v>469</v>
      </c>
      <c r="AA202" s="73">
        <v>200</v>
      </c>
      <c r="AB202" s="73">
        <v>294</v>
      </c>
    </row>
    <row r="203" spans="2:105" x14ac:dyDescent="0.2">
      <c r="B203" s="65" t="s">
        <v>369</v>
      </c>
      <c r="S203" s="73">
        <v>919</v>
      </c>
      <c r="T203" s="73">
        <v>951</v>
      </c>
      <c r="U203" s="73">
        <v>994</v>
      </c>
      <c r="V203" s="73">
        <v>1107</v>
      </c>
      <c r="W203" s="73">
        <v>1151</v>
      </c>
      <c r="X203" s="73">
        <v>1169</v>
      </c>
      <c r="Y203" s="73">
        <v>1165</v>
      </c>
      <c r="Z203" s="73">
        <v>1178</v>
      </c>
      <c r="AA203" s="73">
        <v>1231</v>
      </c>
      <c r="AB203" s="73">
        <v>1252</v>
      </c>
    </row>
    <row r="204" spans="2:105" x14ac:dyDescent="0.2">
      <c r="B204" s="65" t="s">
        <v>370</v>
      </c>
      <c r="S204" s="73">
        <f>SUM(S197:S203)</f>
        <v>5686</v>
      </c>
      <c r="T204" s="73">
        <f t="shared" ref="T204:AB204" si="338">SUM(T197:T203)</f>
        <v>5874</v>
      </c>
      <c r="U204" s="73">
        <f t="shared" si="338"/>
        <v>5882</v>
      </c>
      <c r="V204" s="73">
        <f t="shared" si="338"/>
        <v>6910</v>
      </c>
      <c r="W204" s="73">
        <f t="shared" si="338"/>
        <v>6769</v>
      </c>
      <c r="X204" s="73">
        <f t="shared" si="338"/>
        <v>6747</v>
      </c>
      <c r="Y204" s="73">
        <f t="shared" si="338"/>
        <v>6758</v>
      </c>
      <c r="Z204" s="73">
        <f t="shared" si="338"/>
        <v>8094</v>
      </c>
      <c r="AA204" s="73">
        <f t="shared" si="338"/>
        <v>7357</v>
      </c>
      <c r="AB204" s="73">
        <f t="shared" si="338"/>
        <v>7025</v>
      </c>
    </row>
    <row r="206" spans="2:105" x14ac:dyDescent="0.2">
      <c r="B206" s="65" t="s">
        <v>708</v>
      </c>
      <c r="W206" s="157">
        <f t="shared" ref="W206:AB206" si="339">W197/S197-1</f>
        <v>-2.3386342376052416E-2</v>
      </c>
      <c r="X206" s="157">
        <f t="shared" si="339"/>
        <v>5.1667449506811458E-3</v>
      </c>
      <c r="Y206" s="157">
        <f t="shared" si="339"/>
        <v>1.9990480723464987E-2</v>
      </c>
      <c r="Z206" s="157">
        <f t="shared" si="339"/>
        <v>-3.0087094220110799E-2</v>
      </c>
      <c r="AA206" s="157">
        <f t="shared" si="339"/>
        <v>-8.5727969348659006E-2</v>
      </c>
      <c r="AB206" s="157">
        <f t="shared" si="339"/>
        <v>-9.5794392523364524E-2</v>
      </c>
    </row>
    <row r="207" spans="2:105" x14ac:dyDescent="0.2">
      <c r="B207" s="65" t="s">
        <v>648</v>
      </c>
      <c r="W207" s="157">
        <v>-0.22</v>
      </c>
      <c r="X207" s="157">
        <v>-0.15</v>
      </c>
      <c r="Y207" s="157">
        <v>-0.12</v>
      </c>
      <c r="Z207" s="157">
        <v>-0.04</v>
      </c>
      <c r="AA207" s="157">
        <v>-0.01</v>
      </c>
      <c r="AB207" s="157">
        <v>-0.13</v>
      </c>
    </row>
    <row r="208" spans="2:105" x14ac:dyDescent="0.2">
      <c r="B208" s="65" t="s">
        <v>709</v>
      </c>
      <c r="W208" s="157">
        <f t="shared" ref="W208:AB208" si="340">W198/S198-1</f>
        <v>0.1156417112299466</v>
      </c>
      <c r="X208" s="157">
        <f t="shared" si="340"/>
        <v>-6.2578222778473247E-3</v>
      </c>
      <c r="Y208" s="157">
        <f t="shared" si="340"/>
        <v>0.10940499040307095</v>
      </c>
      <c r="Z208" s="157">
        <f t="shared" si="340"/>
        <v>0.2929901423877328</v>
      </c>
      <c r="AA208" s="157">
        <f t="shared" si="340"/>
        <v>0.13421210305572195</v>
      </c>
      <c r="AB208" s="157">
        <f t="shared" si="340"/>
        <v>-5.0377833753149082E-3</v>
      </c>
    </row>
    <row r="209" spans="2:87" x14ac:dyDescent="0.2">
      <c r="B209" s="65" t="s">
        <v>710</v>
      </c>
      <c r="W209" s="157">
        <v>7.0000000000000007E-2</v>
      </c>
      <c r="X209" s="157">
        <v>0.01</v>
      </c>
      <c r="Y209" s="157">
        <v>0.03</v>
      </c>
      <c r="Z209" s="157">
        <v>0.23</v>
      </c>
      <c r="AA209" s="157">
        <v>0.16</v>
      </c>
      <c r="AB209" s="157">
        <v>0.01</v>
      </c>
    </row>
    <row r="210" spans="2:87" x14ac:dyDescent="0.2">
      <c r="B210" s="65" t="s">
        <v>711</v>
      </c>
      <c r="W210" s="157">
        <f t="shared" ref="W210:AB210" si="341">W199/S199-1</f>
        <v>0.36247334754797444</v>
      </c>
      <c r="X210" s="157">
        <f t="shared" si="341"/>
        <v>0.23090586145648317</v>
      </c>
      <c r="Y210" s="157">
        <f t="shared" si="341"/>
        <v>0.31669535283993122</v>
      </c>
      <c r="Z210" s="157">
        <f t="shared" si="341"/>
        <v>0.2215657311669128</v>
      </c>
      <c r="AA210" s="157">
        <f t="shared" si="341"/>
        <v>0.35524256651017216</v>
      </c>
      <c r="AB210" s="157">
        <f t="shared" si="341"/>
        <v>0.22366522366522368</v>
      </c>
    </row>
    <row r="211" spans="2:87" x14ac:dyDescent="0.2">
      <c r="B211" s="65" t="s">
        <v>712</v>
      </c>
      <c r="W211" s="157">
        <v>0.18</v>
      </c>
      <c r="X211" s="157">
        <v>0.14000000000000001</v>
      </c>
      <c r="Y211" s="157">
        <v>0.25</v>
      </c>
      <c r="Z211" s="157">
        <v>0.22</v>
      </c>
      <c r="AA211" s="157">
        <v>0.43</v>
      </c>
      <c r="AB211" s="157">
        <v>0.17</v>
      </c>
    </row>
    <row r="212" spans="2:87" x14ac:dyDescent="0.2">
      <c r="B212" s="65" t="s">
        <v>713</v>
      </c>
      <c r="W212" s="157">
        <f t="shared" ref="W212:AB212" si="342">W200/S200-1</f>
        <v>0.4738095238095239</v>
      </c>
      <c r="X212" s="157">
        <f t="shared" si="342"/>
        <v>0.26508620689655182</v>
      </c>
      <c r="Y212" s="157">
        <f t="shared" si="342"/>
        <v>0.38577586206896552</v>
      </c>
      <c r="Z212" s="157">
        <f t="shared" si="342"/>
        <v>0.41929824561403506</v>
      </c>
      <c r="AA212" s="157">
        <f t="shared" si="342"/>
        <v>0.4297253634894993</v>
      </c>
      <c r="AB212" s="157">
        <f t="shared" si="342"/>
        <v>0.23850085178875635</v>
      </c>
    </row>
    <row r="213" spans="2:87" x14ac:dyDescent="0.2">
      <c r="B213" s="65" t="s">
        <v>714</v>
      </c>
      <c r="W213" s="157">
        <v>0.12</v>
      </c>
      <c r="X213" s="157">
        <v>0.06</v>
      </c>
      <c r="Y213" s="157">
        <v>0.13</v>
      </c>
      <c r="Z213" s="157">
        <v>0.28000000000000003</v>
      </c>
      <c r="AA213" s="157">
        <v>0.45</v>
      </c>
      <c r="AB213" s="157">
        <v>0.09</v>
      </c>
    </row>
    <row r="214" spans="2:87" x14ac:dyDescent="0.2">
      <c r="B214" s="65" t="s">
        <v>715</v>
      </c>
      <c r="W214" s="157"/>
      <c r="X214" s="157"/>
      <c r="Y214" s="157"/>
      <c r="Z214" s="157"/>
      <c r="AA214" s="157">
        <f>AA201/W201-1</f>
        <v>-0.10978520286396176</v>
      </c>
      <c r="AB214" s="157">
        <f>AB201/X201-1</f>
        <v>2.638522427440626E-2</v>
      </c>
    </row>
    <row r="215" spans="2:87" x14ac:dyDescent="0.2">
      <c r="B215" s="65" t="s">
        <v>716</v>
      </c>
      <c r="W215" s="157"/>
      <c r="X215" s="157"/>
      <c r="Y215" s="157"/>
      <c r="Z215" s="157"/>
      <c r="AA215" s="157">
        <v>-7.0000000000000007E-2</v>
      </c>
      <c r="AB215" s="157">
        <v>0.01</v>
      </c>
    </row>
    <row r="216" spans="2:87" x14ac:dyDescent="0.2">
      <c r="B216" s="65" t="s">
        <v>717</v>
      </c>
      <c r="W216" s="157">
        <f t="shared" ref="W216:AB216" si="343">W202/S202-1</f>
        <v>-0.24590163934426235</v>
      </c>
      <c r="X216" s="157">
        <f t="shared" si="343"/>
        <v>0.13017751479289941</v>
      </c>
      <c r="Y216" s="157">
        <f t="shared" si="343"/>
        <v>0.72067039106145248</v>
      </c>
      <c r="Z216" s="157">
        <f t="shared" si="343"/>
        <v>1.2990196078431371</v>
      </c>
      <c r="AA216" s="157">
        <f t="shared" si="343"/>
        <v>8.6956521739130377E-2</v>
      </c>
      <c r="AB216" s="157">
        <f t="shared" si="343"/>
        <v>0.53926701570680624</v>
      </c>
    </row>
    <row r="217" spans="2:87" x14ac:dyDescent="0.2">
      <c r="B217" s="65" t="s">
        <v>718</v>
      </c>
      <c r="W217" s="178">
        <v>-0.28999999999999998</v>
      </c>
      <c r="X217" s="178">
        <v>0.06</v>
      </c>
      <c r="Y217" s="178">
        <v>0.48</v>
      </c>
      <c r="Z217" s="178" t="s">
        <v>1226</v>
      </c>
      <c r="AA217" s="157">
        <v>0.04</v>
      </c>
      <c r="AB217" s="157">
        <v>0.37</v>
      </c>
    </row>
    <row r="219" spans="2:87" x14ac:dyDescent="0.2">
      <c r="B219" s="112" t="s">
        <v>1155</v>
      </c>
      <c r="S219" s="157">
        <v>0.38</v>
      </c>
      <c r="T219" s="157">
        <v>0.37</v>
      </c>
      <c r="U219" s="157">
        <v>0.35</v>
      </c>
      <c r="V219" s="157">
        <v>0.34</v>
      </c>
      <c r="W219" s="157">
        <v>0.32</v>
      </c>
      <c r="X219" s="157">
        <v>0.31</v>
      </c>
      <c r="Y219" s="157">
        <v>0.28999999999999998</v>
      </c>
      <c r="Z219" s="157">
        <v>0.28000000000000003</v>
      </c>
      <c r="AA219" s="157">
        <v>0.27</v>
      </c>
      <c r="AB219" s="157">
        <v>0.26</v>
      </c>
      <c r="AC219" s="157">
        <v>0.23</v>
      </c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  <c r="AV219" s="157"/>
      <c r="AW219" s="157"/>
      <c r="AX219" s="157"/>
      <c r="AY219" s="157"/>
      <c r="AZ219" s="157"/>
      <c r="BA219" s="157"/>
      <c r="BB219" s="157"/>
      <c r="BC219" s="157"/>
      <c r="BD219" s="157"/>
      <c r="BE219" s="157"/>
      <c r="BF219" s="157"/>
      <c r="BG219" s="157"/>
      <c r="BH219" s="157"/>
      <c r="BI219" s="157"/>
      <c r="BJ219" s="157"/>
      <c r="BK219" s="157"/>
      <c r="BL219" s="157"/>
      <c r="BM219" s="157"/>
      <c r="BN219" s="157"/>
      <c r="BO219" s="157"/>
      <c r="BP219" s="157"/>
      <c r="BQ219" s="157"/>
      <c r="BR219" s="157"/>
      <c r="BS219" s="157"/>
      <c r="BT219" s="157"/>
      <c r="BU219" s="157"/>
      <c r="BV219" s="157"/>
      <c r="BW219" s="157"/>
      <c r="BX219" s="157"/>
      <c r="BY219" s="157"/>
      <c r="BZ219" s="157"/>
      <c r="CA219" s="157"/>
      <c r="CB219" s="157"/>
      <c r="CC219" s="157"/>
      <c r="CD219" s="157"/>
      <c r="CE219" s="157"/>
      <c r="CF219" s="157"/>
      <c r="CG219" s="157"/>
      <c r="CH219" s="157"/>
      <c r="CI219" s="157"/>
    </row>
  </sheetData>
  <phoneticPr fontId="4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/>
  </sheetViews>
  <sheetFormatPr defaultRowHeight="12.75" x14ac:dyDescent="0.2"/>
  <cols>
    <col min="1" max="1" width="9.140625" style="1"/>
    <col min="2" max="2" width="13.5703125" style="1" customWidth="1"/>
    <col min="3" max="16384" width="9.140625" style="1"/>
  </cols>
  <sheetData>
    <row r="1" spans="1:4" x14ac:dyDescent="0.2">
      <c r="A1" s="17" t="s">
        <v>135</v>
      </c>
    </row>
    <row r="2" spans="1:4" x14ac:dyDescent="0.2">
      <c r="A2" s="17"/>
    </row>
    <row r="3" spans="1:4" x14ac:dyDescent="0.2">
      <c r="A3" s="17"/>
      <c r="B3" s="1" t="s">
        <v>154</v>
      </c>
      <c r="C3" s="1" t="s">
        <v>168</v>
      </c>
    </row>
    <row r="4" spans="1:4" x14ac:dyDescent="0.2">
      <c r="A4" s="17"/>
      <c r="B4" s="1" t="s">
        <v>0</v>
      </c>
      <c r="C4" s="1" t="s">
        <v>143</v>
      </c>
    </row>
    <row r="5" spans="1:4" x14ac:dyDescent="0.2">
      <c r="A5" s="17"/>
      <c r="B5" s="1" t="s">
        <v>156</v>
      </c>
      <c r="C5" s="1" t="s">
        <v>180</v>
      </c>
    </row>
    <row r="6" spans="1:4" x14ac:dyDescent="0.2">
      <c r="A6" s="17"/>
      <c r="B6" s="1" t="s">
        <v>174</v>
      </c>
      <c r="C6" s="1" t="s">
        <v>179</v>
      </c>
    </row>
    <row r="7" spans="1:4" x14ac:dyDescent="0.2">
      <c r="A7" s="17"/>
      <c r="B7" s="1" t="s">
        <v>169</v>
      </c>
    </row>
    <row r="8" spans="1:4" x14ac:dyDescent="0.2">
      <c r="C8" s="1" t="s">
        <v>4</v>
      </c>
      <c r="D8" s="1" t="s">
        <v>170</v>
      </c>
    </row>
    <row r="9" spans="1:4" x14ac:dyDescent="0.2">
      <c r="C9" s="1" t="s">
        <v>171</v>
      </c>
      <c r="D9" s="1" t="s">
        <v>172</v>
      </c>
    </row>
    <row r="10" spans="1:4" x14ac:dyDescent="0.2">
      <c r="C10" s="1" t="s">
        <v>164</v>
      </c>
      <c r="D10" s="1" t="s">
        <v>173</v>
      </c>
    </row>
    <row r="11" spans="1:4" x14ac:dyDescent="0.2">
      <c r="D11" s="1" t="s">
        <v>175</v>
      </c>
    </row>
    <row r="12" spans="1:4" x14ac:dyDescent="0.2">
      <c r="D12" s="1" t="s">
        <v>178</v>
      </c>
    </row>
    <row r="13" spans="1:4" x14ac:dyDescent="0.2">
      <c r="C13" s="1" t="s">
        <v>176</v>
      </c>
      <c r="D13" s="1" t="s">
        <v>177</v>
      </c>
    </row>
  </sheetData>
  <phoneticPr fontId="4" type="noConversion"/>
  <hyperlinks>
    <hyperlink ref="A1" location="Main!A1" display="Main" xr:uid="{00000000-0004-0000-1900-000000000000}"/>
  </hyperlinks>
  <pageMargins left="0.75" right="0.75" top="1" bottom="1" header="0.5" footer="0.5"/>
  <pageSetup orientation="portrait" horizontalDpi="4294967293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4"/>
  <sheetViews>
    <sheetView workbookViewId="0"/>
  </sheetViews>
  <sheetFormatPr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31" t="s">
        <v>568</v>
      </c>
    </row>
    <row r="3" spans="1:3" x14ac:dyDescent="0.2">
      <c r="B3" s="1" t="s">
        <v>154</v>
      </c>
      <c r="C3" s="117" t="s">
        <v>427</v>
      </c>
    </row>
    <row r="4" spans="1:3" x14ac:dyDescent="0.2">
      <c r="B4" s="31" t="s">
        <v>0</v>
      </c>
      <c r="C4" s="117" t="s">
        <v>1165</v>
      </c>
    </row>
    <row r="5" spans="1:3" x14ac:dyDescent="0.2">
      <c r="B5" s="31" t="s">
        <v>223</v>
      </c>
      <c r="C5" s="117" t="s">
        <v>1183</v>
      </c>
    </row>
    <row r="6" spans="1:3" x14ac:dyDescent="0.2">
      <c r="B6" s="1" t="s">
        <v>428</v>
      </c>
      <c r="C6" s="1" t="s">
        <v>429</v>
      </c>
    </row>
    <row r="7" spans="1:3" x14ac:dyDescent="0.2">
      <c r="B7" s="31" t="s">
        <v>157</v>
      </c>
      <c r="C7" s="117" t="s">
        <v>1164</v>
      </c>
    </row>
    <row r="8" spans="1:3" x14ac:dyDescent="0.2">
      <c r="B8" s="31" t="s">
        <v>174</v>
      </c>
      <c r="C8" s="117" t="s">
        <v>1202</v>
      </c>
    </row>
    <row r="9" spans="1:3" x14ac:dyDescent="0.2">
      <c r="B9" s="31"/>
      <c r="C9" s="31" t="s">
        <v>864</v>
      </c>
    </row>
    <row r="10" spans="1:3" x14ac:dyDescent="0.2">
      <c r="C10" s="117" t="s">
        <v>1250</v>
      </c>
    </row>
    <row r="11" spans="1:3" x14ac:dyDescent="0.2">
      <c r="C11" s="117" t="s">
        <v>1251</v>
      </c>
    </row>
    <row r="12" spans="1:3" x14ac:dyDescent="0.2">
      <c r="B12" s="117" t="s">
        <v>169</v>
      </c>
    </row>
    <row r="13" spans="1:3" x14ac:dyDescent="0.2">
      <c r="C13" s="19" t="s">
        <v>1166</v>
      </c>
    </row>
    <row r="14" spans="1:3" x14ac:dyDescent="0.2">
      <c r="C14" s="117" t="s">
        <v>1167</v>
      </c>
    </row>
    <row r="17" spans="3:3" x14ac:dyDescent="0.2">
      <c r="C17" s="19" t="s">
        <v>1173</v>
      </c>
    </row>
    <row r="18" spans="3:3" x14ac:dyDescent="0.2">
      <c r="C18" s="117" t="s">
        <v>1171</v>
      </c>
    </row>
    <row r="19" spans="3:3" x14ac:dyDescent="0.2">
      <c r="C19" s="117" t="s">
        <v>1172</v>
      </c>
    </row>
    <row r="20" spans="3:3" x14ac:dyDescent="0.2">
      <c r="C20" s="117" t="s">
        <v>1174</v>
      </c>
    </row>
    <row r="23" spans="3:3" x14ac:dyDescent="0.2">
      <c r="C23" s="19" t="s">
        <v>1269</v>
      </c>
    </row>
    <row r="24" spans="3:3" x14ac:dyDescent="0.2">
      <c r="C24" s="117" t="s">
        <v>1270</v>
      </c>
    </row>
  </sheetData>
  <phoneticPr fontId="4" type="noConversion"/>
  <hyperlinks>
    <hyperlink ref="A1" location="Main!A1" display="Main" xr:uid="{00000000-0004-0000-1A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3"/>
  <sheetViews>
    <sheetView workbookViewId="0"/>
  </sheetViews>
  <sheetFormatPr defaultRowHeight="12.75" x14ac:dyDescent="0.2"/>
  <cols>
    <col min="1" max="1" width="5.5703125" style="1" customWidth="1"/>
    <col min="2" max="2" width="13.28515625" style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17" t="s">
        <v>1215</v>
      </c>
    </row>
    <row r="3" spans="1:3" x14ac:dyDescent="0.2">
      <c r="B3" s="1" t="s">
        <v>154</v>
      </c>
      <c r="C3" s="1" t="s">
        <v>199</v>
      </c>
    </row>
    <row r="4" spans="1:3" x14ac:dyDescent="0.2">
      <c r="B4" s="1" t="s">
        <v>0</v>
      </c>
      <c r="C4" s="1" t="s">
        <v>144</v>
      </c>
    </row>
    <row r="5" spans="1:3" x14ac:dyDescent="0.2">
      <c r="B5" s="1" t="s">
        <v>156</v>
      </c>
      <c r="C5" s="1" t="s">
        <v>200</v>
      </c>
    </row>
    <row r="6" spans="1:3" x14ac:dyDescent="0.2">
      <c r="B6" s="1" t="s">
        <v>2</v>
      </c>
      <c r="C6" s="1" t="s">
        <v>409</v>
      </c>
    </row>
    <row r="7" spans="1:3" x14ac:dyDescent="0.2">
      <c r="B7" s="117" t="s">
        <v>213</v>
      </c>
      <c r="C7" s="117" t="s">
        <v>1217</v>
      </c>
    </row>
    <row r="8" spans="1:3" x14ac:dyDescent="0.2">
      <c r="B8" s="117"/>
      <c r="C8" s="117" t="s">
        <v>1216</v>
      </c>
    </row>
    <row r="9" spans="1:3" x14ac:dyDescent="0.2">
      <c r="B9" s="117"/>
      <c r="C9" s="117" t="s">
        <v>1232</v>
      </c>
    </row>
    <row r="10" spans="1:3" x14ac:dyDescent="0.2">
      <c r="B10" s="1" t="s">
        <v>169</v>
      </c>
      <c r="C10" s="1" t="s">
        <v>201</v>
      </c>
    </row>
    <row r="11" spans="1:3" x14ac:dyDescent="0.2">
      <c r="C11" s="1" t="s">
        <v>202</v>
      </c>
    </row>
    <row r="12" spans="1:3" x14ac:dyDescent="0.2">
      <c r="C12" s="1" t="s">
        <v>145</v>
      </c>
    </row>
    <row r="13" spans="1:3" x14ac:dyDescent="0.2">
      <c r="C13" s="1" t="s">
        <v>146</v>
      </c>
    </row>
  </sheetData>
  <phoneticPr fontId="4" type="noConversion"/>
  <hyperlinks>
    <hyperlink ref="A1" location="Main!A1" display="Main" xr:uid="{00000000-0004-0000-1B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4"/>
  <sheetViews>
    <sheetView zoomScaleNormal="100"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3" width="11" style="1" customWidth="1"/>
    <col min="4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" t="s">
        <v>23</v>
      </c>
    </row>
    <row r="3" spans="1:3" x14ac:dyDescent="0.2">
      <c r="B3" s="1" t="s">
        <v>156</v>
      </c>
      <c r="C3" s="1" t="s">
        <v>408</v>
      </c>
    </row>
    <row r="4" spans="1:3" x14ac:dyDescent="0.2">
      <c r="B4" s="1" t="s">
        <v>2</v>
      </c>
      <c r="C4" s="1" t="s">
        <v>197</v>
      </c>
    </row>
    <row r="5" spans="1:3" x14ac:dyDescent="0.2">
      <c r="B5" s="1" t="s">
        <v>174</v>
      </c>
      <c r="C5" s="117" t="s">
        <v>1253</v>
      </c>
    </row>
    <row r="6" spans="1:3" x14ac:dyDescent="0.2">
      <c r="C6" s="117" t="s">
        <v>1252</v>
      </c>
    </row>
    <row r="7" spans="1:3" x14ac:dyDescent="0.2">
      <c r="C7" s="117" t="s">
        <v>1254</v>
      </c>
    </row>
    <row r="8" spans="1:3" x14ac:dyDescent="0.2">
      <c r="B8" s="1" t="s">
        <v>169</v>
      </c>
    </row>
    <row r="9" spans="1:3" x14ac:dyDescent="0.2">
      <c r="C9" s="61" t="s">
        <v>1287</v>
      </c>
    </row>
    <row r="10" spans="1:3" x14ac:dyDescent="0.2">
      <c r="C10" s="31" t="s">
        <v>413</v>
      </c>
    </row>
    <row r="11" spans="1:3" x14ac:dyDescent="0.2">
      <c r="C11" s="117" t="s">
        <v>1286</v>
      </c>
    </row>
    <row r="13" spans="1:3" x14ac:dyDescent="0.2">
      <c r="C13" s="19" t="s">
        <v>252</v>
      </c>
    </row>
    <row r="14" spans="1:3" x14ac:dyDescent="0.2">
      <c r="C14" s="1" t="s">
        <v>253</v>
      </c>
    </row>
  </sheetData>
  <phoneticPr fontId="4" type="noConversion"/>
  <hyperlinks>
    <hyperlink ref="A1" location="Main!A1" display="Main" xr:uid="{00000000-0004-0000-1C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7"/>
  <sheetViews>
    <sheetView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17" t="s">
        <v>1221</v>
      </c>
    </row>
    <row r="3" spans="1:3" x14ac:dyDescent="0.2">
      <c r="B3" s="1" t="s">
        <v>223</v>
      </c>
      <c r="C3" s="1" t="s">
        <v>517</v>
      </c>
    </row>
    <row r="4" spans="1:3" x14ac:dyDescent="0.2">
      <c r="B4" s="1" t="s">
        <v>0</v>
      </c>
      <c r="C4" s="1" t="s">
        <v>518</v>
      </c>
    </row>
    <row r="5" spans="1:3" x14ac:dyDescent="0.2">
      <c r="B5" s="117" t="s">
        <v>174</v>
      </c>
      <c r="C5" s="117" t="s">
        <v>1224</v>
      </c>
    </row>
    <row r="6" spans="1:3" x14ac:dyDescent="0.2">
      <c r="C6" s="117" t="s">
        <v>1222</v>
      </c>
    </row>
    <row r="7" spans="1:3" x14ac:dyDescent="0.2">
      <c r="C7" s="117" t="s">
        <v>1223</v>
      </c>
    </row>
  </sheetData>
  <phoneticPr fontId="4" type="noConversion"/>
  <hyperlinks>
    <hyperlink ref="A1" location="Main!A1" display="Main" xr:uid="{00000000-0004-0000-1D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" t="s">
        <v>245</v>
      </c>
    </row>
    <row r="3" spans="1:3" x14ac:dyDescent="0.2">
      <c r="B3" s="1" t="s">
        <v>154</v>
      </c>
    </row>
    <row r="4" spans="1:3" x14ac:dyDescent="0.2">
      <c r="B4" s="1" t="s">
        <v>156</v>
      </c>
      <c r="C4" s="1" t="s">
        <v>246</v>
      </c>
    </row>
    <row r="5" spans="1:3" x14ac:dyDescent="0.2">
      <c r="B5" s="1" t="s">
        <v>169</v>
      </c>
    </row>
    <row r="6" spans="1:3" x14ac:dyDescent="0.2">
      <c r="C6" s="19" t="s">
        <v>247</v>
      </c>
    </row>
    <row r="7" spans="1:3" x14ac:dyDescent="0.2">
      <c r="C7" s="31" t="s">
        <v>251</v>
      </c>
    </row>
    <row r="8" spans="1:3" x14ac:dyDescent="0.2">
      <c r="C8" s="1" t="s">
        <v>248</v>
      </c>
    </row>
    <row r="10" spans="1:3" x14ac:dyDescent="0.2">
      <c r="C10" s="19" t="s">
        <v>249</v>
      </c>
    </row>
    <row r="11" spans="1:3" x14ac:dyDescent="0.2">
      <c r="C11" s="1" t="s">
        <v>250</v>
      </c>
    </row>
  </sheetData>
  <phoneticPr fontId="4" type="noConversion"/>
  <hyperlinks>
    <hyperlink ref="A1" location="Main!A1" display="Main" xr:uid="{00000000-0004-0000-1E00-000000000000}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0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20" t="s">
        <v>135</v>
      </c>
    </row>
    <row r="2" spans="1:2" x14ac:dyDescent="0.2">
      <c r="B2" t="s">
        <v>7</v>
      </c>
    </row>
    <row r="3" spans="1:2" x14ac:dyDescent="0.2">
      <c r="B3" t="s">
        <v>8</v>
      </c>
    </row>
    <row r="4" spans="1:2" x14ac:dyDescent="0.2">
      <c r="B4" t="s">
        <v>9</v>
      </c>
    </row>
    <row r="6" spans="1:2" x14ac:dyDescent="0.2">
      <c r="B6" t="s">
        <v>10</v>
      </c>
    </row>
    <row r="7" spans="1:2" x14ac:dyDescent="0.2">
      <c r="B7" t="s">
        <v>11</v>
      </c>
    </row>
    <row r="9" spans="1:2" x14ac:dyDescent="0.2">
      <c r="B9" t="s">
        <v>12</v>
      </c>
    </row>
    <row r="10" spans="1:2" x14ac:dyDescent="0.2">
      <c r="B10" t="s">
        <v>13</v>
      </c>
    </row>
  </sheetData>
  <phoneticPr fontId="4" type="noConversion"/>
  <hyperlinks>
    <hyperlink ref="A1" location="Main!A1" display="Main" xr:uid="{00000000-0004-0000-1F00-000000000000}"/>
  </hyperlinks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65" t="s">
        <v>153</v>
      </c>
      <c r="C2" s="65" t="s">
        <v>834</v>
      </c>
    </row>
    <row r="3" spans="1:3" x14ac:dyDescent="0.2">
      <c r="B3" s="65" t="s">
        <v>154</v>
      </c>
      <c r="C3" s="65" t="s">
        <v>833</v>
      </c>
    </row>
    <row r="4" spans="1:3" x14ac:dyDescent="0.2">
      <c r="B4" s="65" t="s">
        <v>174</v>
      </c>
      <c r="C4" s="65" t="s">
        <v>839</v>
      </c>
    </row>
    <row r="5" spans="1:3" x14ac:dyDescent="0.2">
      <c r="C5" s="65" t="s">
        <v>856</v>
      </c>
    </row>
    <row r="6" spans="1:3" x14ac:dyDescent="0.2">
      <c r="C6" s="112" t="s">
        <v>1246</v>
      </c>
    </row>
    <row r="7" spans="1:3" x14ac:dyDescent="0.2">
      <c r="B7" s="112" t="s">
        <v>223</v>
      </c>
      <c r="C7" s="112" t="s">
        <v>555</v>
      </c>
    </row>
  </sheetData>
  <hyperlinks>
    <hyperlink ref="A1" location="Main!A1" display="Main" xr:uid="{00000000-0004-0000-20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0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65" t="s">
        <v>153</v>
      </c>
      <c r="C2" s="112" t="s">
        <v>1228</v>
      </c>
    </row>
    <row r="3" spans="1:3" x14ac:dyDescent="0.2">
      <c r="B3" s="65" t="s">
        <v>223</v>
      </c>
      <c r="C3" s="112" t="s">
        <v>1229</v>
      </c>
    </row>
    <row r="4" spans="1:3" x14ac:dyDescent="0.2">
      <c r="B4" s="65" t="s">
        <v>0</v>
      </c>
      <c r="C4" s="65" t="s">
        <v>816</v>
      </c>
    </row>
    <row r="5" spans="1:3" x14ac:dyDescent="0.2">
      <c r="B5" s="65" t="s">
        <v>156</v>
      </c>
      <c r="C5" s="112" t="s">
        <v>1231</v>
      </c>
    </row>
    <row r="6" spans="1:3" x14ac:dyDescent="0.2">
      <c r="B6" s="112" t="s">
        <v>169</v>
      </c>
    </row>
    <row r="7" spans="1:3" x14ac:dyDescent="0.2">
      <c r="C7" s="113" t="s">
        <v>1129</v>
      </c>
    </row>
    <row r="10" spans="1:3" x14ac:dyDescent="0.2">
      <c r="C10" s="113" t="s">
        <v>1230</v>
      </c>
    </row>
  </sheetData>
  <hyperlinks>
    <hyperlink ref="A1" location="Main!A1" display="Main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827</v>
      </c>
    </row>
    <row r="3" spans="1:3" x14ac:dyDescent="0.2">
      <c r="B3" s="112" t="s">
        <v>0</v>
      </c>
      <c r="C3" s="112" t="s">
        <v>1115</v>
      </c>
    </row>
    <row r="4" spans="1:3" x14ac:dyDescent="0.2">
      <c r="B4" s="112" t="s">
        <v>174</v>
      </c>
      <c r="C4" s="20" t="s">
        <v>1112</v>
      </c>
    </row>
    <row r="5" spans="1:3" x14ac:dyDescent="0.2">
      <c r="B5" s="112" t="s">
        <v>156</v>
      </c>
      <c r="C5" s="112" t="s">
        <v>1116</v>
      </c>
    </row>
    <row r="6" spans="1:3" x14ac:dyDescent="0.2">
      <c r="B6" s="112" t="s">
        <v>169</v>
      </c>
    </row>
    <row r="7" spans="1:3" x14ac:dyDescent="0.2">
      <c r="C7" s="113" t="s">
        <v>1117</v>
      </c>
    </row>
  </sheetData>
  <hyperlinks>
    <hyperlink ref="A1" location="Main!A1" display="Main" xr:uid="{00000000-0004-0000-2200-000000000000}"/>
    <hyperlink ref="C4" r:id="rId1" xr:uid="{00000000-0004-0000-2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6DED-79B8-4782-9318-DA3A5EAF743A}">
  <dimension ref="A1:H14"/>
  <sheetViews>
    <sheetView zoomScale="250" zoomScaleNormal="250" workbookViewId="0"/>
  </sheetViews>
  <sheetFormatPr defaultRowHeight="12.75" x14ac:dyDescent="0.2"/>
  <cols>
    <col min="1" max="1" width="5" bestFit="1" customWidth="1"/>
    <col min="2" max="2" width="12.42578125" customWidth="1"/>
  </cols>
  <sheetData>
    <row r="1" spans="1:8" x14ac:dyDescent="0.2">
      <c r="A1" s="20" t="s">
        <v>135</v>
      </c>
    </row>
    <row r="2" spans="1:8" x14ac:dyDescent="0.2">
      <c r="B2" s="112" t="s">
        <v>1399</v>
      </c>
      <c r="C2" s="112" t="s">
        <v>1391</v>
      </c>
    </row>
    <row r="3" spans="1:8" x14ac:dyDescent="0.2">
      <c r="B3" s="112" t="s">
        <v>580</v>
      </c>
    </row>
    <row r="4" spans="1:8" x14ac:dyDescent="0.2">
      <c r="B4" s="112" t="s">
        <v>1401</v>
      </c>
      <c r="C4" s="112" t="s">
        <v>1457</v>
      </c>
    </row>
    <row r="5" spans="1:8" x14ac:dyDescent="0.2">
      <c r="B5" s="112" t="s">
        <v>1282</v>
      </c>
      <c r="C5" s="112" t="s">
        <v>1455</v>
      </c>
    </row>
    <row r="6" spans="1:8" x14ac:dyDescent="0.2">
      <c r="B6" s="112" t="s">
        <v>0</v>
      </c>
      <c r="C6" s="112" t="s">
        <v>1456</v>
      </c>
    </row>
    <row r="7" spans="1:8" x14ac:dyDescent="0.2">
      <c r="B7" s="112" t="s">
        <v>798</v>
      </c>
      <c r="C7" s="112" t="s">
        <v>1462</v>
      </c>
    </row>
    <row r="8" spans="1:8" x14ac:dyDescent="0.2">
      <c r="B8" s="112" t="s">
        <v>1463</v>
      </c>
      <c r="C8" s="112" t="s">
        <v>1464</v>
      </c>
    </row>
    <row r="9" spans="1:8" x14ac:dyDescent="0.2">
      <c r="B9" s="112" t="s">
        <v>169</v>
      </c>
    </row>
    <row r="10" spans="1:8" x14ac:dyDescent="0.2">
      <c r="C10" s="113" t="s">
        <v>1459</v>
      </c>
    </row>
    <row r="11" spans="1:8" x14ac:dyDescent="0.2">
      <c r="C11" s="112" t="s">
        <v>1458</v>
      </c>
      <c r="G11" s="204"/>
    </row>
    <row r="12" spans="1:8" x14ac:dyDescent="0.2">
      <c r="H12" s="204"/>
    </row>
    <row r="13" spans="1:8" x14ac:dyDescent="0.2">
      <c r="C13" s="113" t="s">
        <v>1460</v>
      </c>
      <c r="G13" s="204"/>
    </row>
    <row r="14" spans="1:8" x14ac:dyDescent="0.2">
      <c r="C14" s="112" t="s">
        <v>1461</v>
      </c>
    </row>
  </sheetData>
  <hyperlinks>
    <hyperlink ref="A1" location="Main!A1" display="Main" xr:uid="{BCFFFA33-A082-4A35-A503-0A0FA062209F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7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828</v>
      </c>
    </row>
    <row r="3" spans="1:3" x14ac:dyDescent="0.2">
      <c r="B3" s="112" t="s">
        <v>0</v>
      </c>
      <c r="C3" s="112" t="s">
        <v>1115</v>
      </c>
    </row>
    <row r="4" spans="1:3" x14ac:dyDescent="0.2">
      <c r="B4" s="112" t="s">
        <v>174</v>
      </c>
      <c r="C4" s="20" t="s">
        <v>1112</v>
      </c>
    </row>
    <row r="5" spans="1:3" x14ac:dyDescent="0.2">
      <c r="B5" s="112" t="s">
        <v>156</v>
      </c>
      <c r="C5" s="112" t="s">
        <v>1113</v>
      </c>
    </row>
    <row r="6" spans="1:3" x14ac:dyDescent="0.2">
      <c r="B6" s="112" t="s">
        <v>169</v>
      </c>
    </row>
    <row r="7" spans="1:3" x14ac:dyDescent="0.2">
      <c r="C7" s="113" t="s">
        <v>1114</v>
      </c>
    </row>
  </sheetData>
  <hyperlinks>
    <hyperlink ref="A1" location="Main!A1" display="Main" xr:uid="{00000000-0004-0000-2300-000000000000}"/>
    <hyperlink ref="C4" r:id="rId1" xr:uid="{00000000-0004-0000-23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8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836</v>
      </c>
    </row>
    <row r="3" spans="1:3" x14ac:dyDescent="0.2">
      <c r="B3" s="112" t="s">
        <v>0</v>
      </c>
      <c r="C3" s="112" t="s">
        <v>769</v>
      </c>
    </row>
    <row r="4" spans="1:3" x14ac:dyDescent="0.2">
      <c r="B4" s="112" t="s">
        <v>156</v>
      </c>
      <c r="C4" s="112" t="s">
        <v>1119</v>
      </c>
    </row>
    <row r="5" spans="1:3" x14ac:dyDescent="0.2">
      <c r="B5" s="112" t="s">
        <v>223</v>
      </c>
      <c r="C5" s="112" t="s">
        <v>819</v>
      </c>
    </row>
    <row r="6" spans="1:3" x14ac:dyDescent="0.2">
      <c r="B6" s="112" t="s">
        <v>169</v>
      </c>
    </row>
    <row r="7" spans="1:3" x14ac:dyDescent="0.2">
      <c r="C7" s="113" t="s">
        <v>1120</v>
      </c>
    </row>
    <row r="8" spans="1:3" x14ac:dyDescent="0.2">
      <c r="C8" s="112" t="s">
        <v>1121</v>
      </c>
    </row>
  </sheetData>
  <hyperlinks>
    <hyperlink ref="A1" location="Main!A1" display="Main" xr:uid="{00000000-0004-0000-24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6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453</v>
      </c>
    </row>
    <row r="3" spans="1:3" x14ac:dyDescent="0.2">
      <c r="B3" s="112" t="s">
        <v>154</v>
      </c>
      <c r="C3" s="112" t="s">
        <v>1125</v>
      </c>
    </row>
    <row r="4" spans="1:3" x14ac:dyDescent="0.2">
      <c r="B4" s="112" t="s">
        <v>169</v>
      </c>
    </row>
    <row r="5" spans="1:3" x14ac:dyDescent="0.2">
      <c r="C5" s="113" t="s">
        <v>1126</v>
      </c>
    </row>
    <row r="6" spans="1:3" x14ac:dyDescent="0.2">
      <c r="C6" s="112" t="s">
        <v>1127</v>
      </c>
    </row>
  </sheetData>
  <hyperlinks>
    <hyperlink ref="A1" location="Main!A1" display="Main" xr:uid="{00000000-0004-0000-25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843</v>
      </c>
    </row>
    <row r="3" spans="1:3" x14ac:dyDescent="0.2">
      <c r="B3" s="112" t="s">
        <v>223</v>
      </c>
      <c r="C3" s="112" t="s">
        <v>1132</v>
      </c>
    </row>
    <row r="4" spans="1:3" x14ac:dyDescent="0.2">
      <c r="B4" s="112" t="s">
        <v>0</v>
      </c>
      <c r="C4" s="112" t="s">
        <v>844</v>
      </c>
    </row>
    <row r="5" spans="1:3" x14ac:dyDescent="0.2">
      <c r="B5" s="112" t="s">
        <v>156</v>
      </c>
      <c r="C5" s="112" t="s">
        <v>1134</v>
      </c>
    </row>
    <row r="6" spans="1:3" x14ac:dyDescent="0.2">
      <c r="B6" s="112" t="s">
        <v>169</v>
      </c>
    </row>
    <row r="7" spans="1:3" x14ac:dyDescent="0.2">
      <c r="C7" s="113" t="s">
        <v>1133</v>
      </c>
    </row>
  </sheetData>
  <hyperlinks>
    <hyperlink ref="A1" location="Main!A1" display="Main" xr:uid="{00000000-0004-0000-26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3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569</v>
      </c>
    </row>
    <row r="3" spans="1:3" x14ac:dyDescent="0.2">
      <c r="B3" s="112" t="s">
        <v>154</v>
      </c>
      <c r="C3" s="112" t="s">
        <v>1139</v>
      </c>
    </row>
    <row r="4" spans="1:3" x14ac:dyDescent="0.2">
      <c r="B4" s="112" t="s">
        <v>0</v>
      </c>
      <c r="C4" s="112" t="s">
        <v>1140</v>
      </c>
    </row>
    <row r="5" spans="1:3" x14ac:dyDescent="0.2">
      <c r="B5" s="112" t="s">
        <v>174</v>
      </c>
      <c r="C5" s="112" t="s">
        <v>1141</v>
      </c>
    </row>
    <row r="6" spans="1:3" x14ac:dyDescent="0.2">
      <c r="B6" s="112" t="s">
        <v>169</v>
      </c>
    </row>
    <row r="7" spans="1:3" x14ac:dyDescent="0.2">
      <c r="C7" s="113" t="s">
        <v>1199</v>
      </c>
    </row>
    <row r="8" spans="1:3" x14ac:dyDescent="0.2">
      <c r="C8" s="112" t="s">
        <v>1200</v>
      </c>
    </row>
    <row r="9" spans="1:3" x14ac:dyDescent="0.2">
      <c r="C9" s="69" t="s">
        <v>1201</v>
      </c>
    </row>
    <row r="10" spans="1:3" x14ac:dyDescent="0.2">
      <c r="C10" s="112" t="s">
        <v>1247</v>
      </c>
    </row>
    <row r="12" spans="1:3" x14ac:dyDescent="0.2">
      <c r="C12" s="113" t="s">
        <v>1284</v>
      </c>
    </row>
    <row r="13" spans="1:3" x14ac:dyDescent="0.2">
      <c r="C13" s="112" t="s">
        <v>1285</v>
      </c>
    </row>
  </sheetData>
  <hyperlinks>
    <hyperlink ref="A1" location="Main!A1" display="Main" xr:uid="{00000000-0004-0000-27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820</v>
      </c>
    </row>
    <row r="3" spans="1:3" x14ac:dyDescent="0.2">
      <c r="B3" s="112" t="s">
        <v>154</v>
      </c>
      <c r="C3" s="112" t="s">
        <v>1147</v>
      </c>
    </row>
    <row r="4" spans="1:3" x14ac:dyDescent="0.2">
      <c r="B4" s="112" t="s">
        <v>223</v>
      </c>
      <c r="C4" s="112" t="s">
        <v>1144</v>
      </c>
    </row>
    <row r="5" spans="1:3" x14ac:dyDescent="0.2">
      <c r="B5" s="112" t="s">
        <v>0</v>
      </c>
      <c r="C5" s="112" t="s">
        <v>857</v>
      </c>
    </row>
    <row r="6" spans="1:3" x14ac:dyDescent="0.2">
      <c r="B6" s="112" t="s">
        <v>169</v>
      </c>
    </row>
    <row r="7" spans="1:3" x14ac:dyDescent="0.2">
      <c r="C7" s="113" t="s">
        <v>1145</v>
      </c>
    </row>
  </sheetData>
  <hyperlinks>
    <hyperlink ref="A1" location="Main!A1" display="Main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82</v>
      </c>
    </row>
    <row r="3" spans="1:3" x14ac:dyDescent="0.2">
      <c r="B3" s="112" t="s">
        <v>154</v>
      </c>
      <c r="C3" s="112" t="s">
        <v>1152</v>
      </c>
    </row>
    <row r="4" spans="1:3" x14ac:dyDescent="0.2">
      <c r="B4" s="112" t="s">
        <v>0</v>
      </c>
      <c r="C4" s="112" t="s">
        <v>1153</v>
      </c>
    </row>
    <row r="5" spans="1:3" x14ac:dyDescent="0.2">
      <c r="B5" s="112" t="s">
        <v>156</v>
      </c>
      <c r="C5" s="112" t="s">
        <v>1154</v>
      </c>
    </row>
  </sheetData>
  <hyperlinks>
    <hyperlink ref="A1" location="Main!A1" display="Main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6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1238</v>
      </c>
    </row>
    <row r="3" spans="1:3" x14ac:dyDescent="0.2">
      <c r="B3" s="112" t="s">
        <v>176</v>
      </c>
      <c r="C3" s="112" t="s">
        <v>1157</v>
      </c>
    </row>
    <row r="4" spans="1:3" x14ac:dyDescent="0.2">
      <c r="B4" s="112" t="s">
        <v>156</v>
      </c>
      <c r="C4" s="112" t="s">
        <v>1158</v>
      </c>
    </row>
    <row r="5" spans="1:3" x14ac:dyDescent="0.2">
      <c r="B5" s="112" t="s">
        <v>0</v>
      </c>
      <c r="C5" s="112" t="s">
        <v>1159</v>
      </c>
    </row>
    <row r="6" spans="1:3" x14ac:dyDescent="0.2">
      <c r="B6" s="112" t="s">
        <v>213</v>
      </c>
      <c r="C6" s="112" t="s">
        <v>1260</v>
      </c>
    </row>
  </sheetData>
  <hyperlinks>
    <hyperlink ref="A1" location="Main!A1" display="Main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1188</v>
      </c>
    </row>
    <row r="3" spans="1:3" x14ac:dyDescent="0.2">
      <c r="B3" s="112" t="s">
        <v>0</v>
      </c>
      <c r="C3" s="112" t="s">
        <v>1189</v>
      </c>
    </row>
    <row r="4" spans="1:3" x14ac:dyDescent="0.2">
      <c r="B4" s="112" t="s">
        <v>174</v>
      </c>
      <c r="C4" s="112" t="s">
        <v>1190</v>
      </c>
    </row>
  </sheetData>
  <hyperlinks>
    <hyperlink ref="A1" location="Main!A1" display="Main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  <col min="3" max="3" width="14.71093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25</v>
      </c>
    </row>
    <row r="3" spans="1:3" x14ac:dyDescent="0.2">
      <c r="B3" s="112" t="s">
        <v>154</v>
      </c>
      <c r="C3" s="112" t="s">
        <v>1192</v>
      </c>
    </row>
    <row r="4" spans="1:3" x14ac:dyDescent="0.2">
      <c r="B4" s="112" t="s">
        <v>0</v>
      </c>
      <c r="C4" s="112" t="s">
        <v>1193</v>
      </c>
    </row>
    <row r="5" spans="1:3" x14ac:dyDescent="0.2">
      <c r="B5" s="112" t="s">
        <v>176</v>
      </c>
      <c r="C5" s="112" t="s">
        <v>1194</v>
      </c>
    </row>
    <row r="6" spans="1:3" x14ac:dyDescent="0.2">
      <c r="B6" s="112" t="s">
        <v>157</v>
      </c>
      <c r="C6" s="112" t="s">
        <v>1227</v>
      </c>
    </row>
    <row r="7" spans="1:3" x14ac:dyDescent="0.2">
      <c r="B7" s="112" t="s">
        <v>174</v>
      </c>
      <c r="C7" s="112" t="s">
        <v>1240</v>
      </c>
    </row>
  </sheetData>
  <hyperlinks>
    <hyperlink ref="A1" location="Main!A1" display="Main" xr:uid="{00000000-0004-0000-2C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FE61-1BAB-47AD-9CA3-E8497D2B813D}">
  <dimension ref="A1:C14"/>
  <sheetViews>
    <sheetView zoomScale="280" zoomScaleNormal="280" workbookViewId="0">
      <selection activeCell="D6" sqref="D6"/>
    </sheetView>
  </sheetViews>
  <sheetFormatPr defaultRowHeight="12.75" x14ac:dyDescent="0.2"/>
  <cols>
    <col min="1" max="1" width="5" bestFit="1" customWidth="1"/>
  </cols>
  <sheetData>
    <row r="1" spans="1:3" x14ac:dyDescent="0.2">
      <c r="A1" s="20" t="s">
        <v>135</v>
      </c>
    </row>
    <row r="2" spans="1:3" x14ac:dyDescent="0.2">
      <c r="B2" t="s">
        <v>1399</v>
      </c>
      <c r="C2" t="s">
        <v>1380</v>
      </c>
    </row>
    <row r="3" spans="1:3" x14ac:dyDescent="0.2">
      <c r="B3" t="s">
        <v>580</v>
      </c>
      <c r="C3" s="112" t="s">
        <v>1451</v>
      </c>
    </row>
    <row r="4" spans="1:3" x14ac:dyDescent="0.2">
      <c r="B4" t="s">
        <v>3</v>
      </c>
      <c r="C4" s="206" t="s">
        <v>1475</v>
      </c>
    </row>
    <row r="5" spans="1:3" x14ac:dyDescent="0.2">
      <c r="C5" s="112" t="s">
        <v>1473</v>
      </c>
    </row>
    <row r="7" spans="1:3" x14ac:dyDescent="0.2">
      <c r="B7" t="s">
        <v>1399</v>
      </c>
      <c r="C7" s="112" t="s">
        <v>1379</v>
      </c>
    </row>
    <row r="8" spans="1:3" x14ac:dyDescent="0.2">
      <c r="B8" t="s">
        <v>580</v>
      </c>
      <c r="C8" s="112" t="s">
        <v>1449</v>
      </c>
    </row>
    <row r="10" spans="1:3" x14ac:dyDescent="0.2">
      <c r="B10" t="s">
        <v>1399</v>
      </c>
      <c r="C10" s="112" t="s">
        <v>1381</v>
      </c>
    </row>
    <row r="11" spans="1:3" x14ac:dyDescent="0.2">
      <c r="B11" t="s">
        <v>580</v>
      </c>
      <c r="C11" s="112" t="s">
        <v>1474</v>
      </c>
    </row>
    <row r="13" spans="1:3" x14ac:dyDescent="0.2">
      <c r="B13" s="112" t="s">
        <v>1399</v>
      </c>
      <c r="C13" s="112" t="s">
        <v>1382</v>
      </c>
    </row>
    <row r="14" spans="1:3" x14ac:dyDescent="0.2">
      <c r="B14" t="s">
        <v>580</v>
      </c>
      <c r="C14" s="112" t="s">
        <v>1450</v>
      </c>
    </row>
  </sheetData>
  <hyperlinks>
    <hyperlink ref="A1" location="Main!A1" display="Main" xr:uid="{7A5F1877-211D-4E43-9348-F7921D92643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1245</v>
      </c>
    </row>
    <row r="3" spans="1:3" x14ac:dyDescent="0.2">
      <c r="B3" s="112" t="s">
        <v>154</v>
      </c>
      <c r="C3" s="112" t="s">
        <v>1244</v>
      </c>
    </row>
    <row r="4" spans="1:3" x14ac:dyDescent="0.2">
      <c r="B4" s="112" t="s">
        <v>174</v>
      </c>
      <c r="C4" s="112" t="s">
        <v>1268</v>
      </c>
    </row>
    <row r="5" spans="1:3" x14ac:dyDescent="0.2">
      <c r="C5" s="112" t="s">
        <v>1297</v>
      </c>
    </row>
  </sheetData>
  <hyperlinks>
    <hyperlink ref="A1" location="Main!A1" display="Main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10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1267</v>
      </c>
    </row>
    <row r="3" spans="1:3" x14ac:dyDescent="0.2">
      <c r="B3" s="112" t="s">
        <v>223</v>
      </c>
      <c r="C3" s="112" t="s">
        <v>593</v>
      </c>
    </row>
    <row r="4" spans="1:3" x14ac:dyDescent="0.2">
      <c r="B4" s="112" t="s">
        <v>156</v>
      </c>
      <c r="C4" s="112" t="s">
        <v>1263</v>
      </c>
    </row>
    <row r="5" spans="1:3" x14ac:dyDescent="0.2">
      <c r="B5" s="112" t="s">
        <v>0</v>
      </c>
      <c r="C5" s="112" t="s">
        <v>66</v>
      </c>
    </row>
    <row r="6" spans="1:3" x14ac:dyDescent="0.2">
      <c r="B6" s="112" t="s">
        <v>1265</v>
      </c>
      <c r="C6" s="112" t="s">
        <v>1266</v>
      </c>
    </row>
    <row r="7" spans="1:3" x14ac:dyDescent="0.2">
      <c r="B7" s="112" t="s">
        <v>1282</v>
      </c>
      <c r="C7" s="112" t="s">
        <v>1283</v>
      </c>
    </row>
    <row r="8" spans="1:3" x14ac:dyDescent="0.2">
      <c r="B8" s="112" t="s">
        <v>169</v>
      </c>
    </row>
    <row r="9" spans="1:3" x14ac:dyDescent="0.2">
      <c r="C9" s="113" t="s">
        <v>1280</v>
      </c>
    </row>
    <row r="10" spans="1:3" x14ac:dyDescent="0.2">
      <c r="C10" s="112" t="s">
        <v>1281</v>
      </c>
    </row>
  </sheetData>
  <hyperlinks>
    <hyperlink ref="A1" location="Main!A1" display="Main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6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1272</v>
      </c>
    </row>
    <row r="3" spans="1:3" x14ac:dyDescent="0.2">
      <c r="B3" s="112" t="s">
        <v>154</v>
      </c>
      <c r="C3" s="112" t="s">
        <v>1271</v>
      </c>
    </row>
    <row r="4" spans="1:3" x14ac:dyDescent="0.2">
      <c r="B4" s="112" t="s">
        <v>156</v>
      </c>
      <c r="C4" s="112" t="s">
        <v>1273</v>
      </c>
    </row>
    <row r="5" spans="1:3" x14ac:dyDescent="0.2">
      <c r="B5" s="112" t="s">
        <v>0</v>
      </c>
      <c r="C5" s="112" t="s">
        <v>1274</v>
      </c>
    </row>
    <row r="6" spans="1:3" x14ac:dyDescent="0.2">
      <c r="B6" s="112" t="s">
        <v>174</v>
      </c>
      <c r="C6" s="112" t="s">
        <v>1275</v>
      </c>
    </row>
  </sheetData>
  <hyperlinks>
    <hyperlink ref="A1" location="Main!A1" display="Main" xr:uid="{00000000-0004-0000-30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</row>
    <row r="3" spans="1:3" x14ac:dyDescent="0.2">
      <c r="B3" s="112" t="s">
        <v>154</v>
      </c>
      <c r="C3" s="112" t="s">
        <v>1276</v>
      </c>
    </row>
    <row r="4" spans="1:3" x14ac:dyDescent="0.2">
      <c r="B4" s="112" t="s">
        <v>0</v>
      </c>
      <c r="C4" s="112" t="s">
        <v>1278</v>
      </c>
    </row>
    <row r="5" spans="1:3" x14ac:dyDescent="0.2">
      <c r="B5" s="112" t="s">
        <v>223</v>
      </c>
      <c r="C5" s="112" t="s">
        <v>1277</v>
      </c>
    </row>
  </sheetData>
  <hyperlinks>
    <hyperlink ref="A1" location="Main!A1" display="Main" xr:uid="{00000000-0004-0000-31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153</v>
      </c>
      <c r="C2" s="112" t="s">
        <v>1304</v>
      </c>
    </row>
    <row r="3" spans="1:3" x14ac:dyDescent="0.2">
      <c r="B3" s="112" t="s">
        <v>154</v>
      </c>
      <c r="C3" s="112" t="s">
        <v>1298</v>
      </c>
    </row>
    <row r="4" spans="1:3" x14ac:dyDescent="0.2">
      <c r="B4" s="112" t="s">
        <v>0</v>
      </c>
      <c r="C4" s="112" t="s">
        <v>206</v>
      </c>
    </row>
    <row r="5" spans="1:3" x14ac:dyDescent="0.2">
      <c r="B5" s="112" t="s">
        <v>156</v>
      </c>
      <c r="C5" s="112" t="s">
        <v>1300</v>
      </c>
    </row>
    <row r="6" spans="1:3" x14ac:dyDescent="0.2">
      <c r="B6" s="112" t="s">
        <v>223</v>
      </c>
      <c r="C6" s="112" t="s">
        <v>1301</v>
      </c>
    </row>
    <row r="7" spans="1:3" x14ac:dyDescent="0.2">
      <c r="B7" s="112" t="s">
        <v>2</v>
      </c>
      <c r="C7" s="112" t="s">
        <v>1323</v>
      </c>
    </row>
    <row r="8" spans="1:3" x14ac:dyDescent="0.2">
      <c r="B8" s="112" t="s">
        <v>169</v>
      </c>
    </row>
    <row r="9" spans="1:3" x14ac:dyDescent="0.2">
      <c r="C9" s="113" t="s">
        <v>1299</v>
      </c>
    </row>
  </sheetData>
  <hyperlinks>
    <hyperlink ref="A1" location="Main!A1" display="Main" xr:uid="{00000000-0004-0000-32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5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1" width="6.7109375" style="1" bestFit="1" customWidth="1"/>
    <col min="12" max="14" width="6.5703125" style="1" bestFit="1" customWidth="1"/>
    <col min="15" max="15" width="2" style="1" customWidth="1"/>
    <col min="16" max="24" width="6.140625" style="1" customWidth="1"/>
    <col min="25" max="16384" width="9.140625" style="1"/>
  </cols>
  <sheetData>
    <row r="1" spans="1:3" x14ac:dyDescent="0.2">
      <c r="A1" s="17" t="s">
        <v>135</v>
      </c>
    </row>
    <row r="2" spans="1:3" x14ac:dyDescent="0.2">
      <c r="A2" s="17"/>
      <c r="B2" s="117" t="s">
        <v>153</v>
      </c>
      <c r="C2" s="117" t="s">
        <v>14</v>
      </c>
    </row>
    <row r="3" spans="1:3" x14ac:dyDescent="0.2">
      <c r="A3" s="17"/>
      <c r="B3" s="117" t="s">
        <v>169</v>
      </c>
    </row>
    <row r="4" spans="1:3" x14ac:dyDescent="0.2">
      <c r="A4" s="17"/>
      <c r="B4" s="117"/>
      <c r="C4" s="19" t="s">
        <v>1292</v>
      </c>
    </row>
    <row r="5" spans="1:3" x14ac:dyDescent="0.2">
      <c r="A5" s="17"/>
      <c r="B5" s="117"/>
      <c r="C5" s="117" t="s">
        <v>1293</v>
      </c>
    </row>
    <row r="7" spans="1:3" x14ac:dyDescent="0.2">
      <c r="C7" s="19" t="s">
        <v>215</v>
      </c>
    </row>
    <row r="8" spans="1:3" x14ac:dyDescent="0.2">
      <c r="C8" s="1" t="s">
        <v>231</v>
      </c>
    </row>
    <row r="9" spans="1:3" x14ac:dyDescent="0.2">
      <c r="C9" s="1" t="s">
        <v>232</v>
      </c>
    </row>
    <row r="10" spans="1:3" x14ac:dyDescent="0.2">
      <c r="C10" s="1" t="s">
        <v>233</v>
      </c>
    </row>
    <row r="12" spans="1:3" x14ac:dyDescent="0.2">
      <c r="C12" s="19" t="s">
        <v>207</v>
      </c>
    </row>
    <row r="16" spans="1:3" x14ac:dyDescent="0.2">
      <c r="C16" s="19" t="s">
        <v>216</v>
      </c>
    </row>
    <row r="24" spans="2:26" s="24" customFormat="1" x14ac:dyDescent="0.2">
      <c r="B24" s="21" t="s">
        <v>44</v>
      </c>
      <c r="C24" s="120" t="s">
        <v>45</v>
      </c>
      <c r="D24" s="120" t="s">
        <v>46</v>
      </c>
      <c r="E24" s="120" t="s">
        <v>47</v>
      </c>
      <c r="F24" s="120" t="s">
        <v>48</v>
      </c>
      <c r="G24" s="120" t="s">
        <v>49</v>
      </c>
      <c r="H24" s="120" t="s">
        <v>50</v>
      </c>
      <c r="I24" s="120" t="s">
        <v>51</v>
      </c>
      <c r="J24" s="120" t="s">
        <v>52</v>
      </c>
      <c r="K24" s="120" t="s">
        <v>53</v>
      </c>
      <c r="L24" s="120"/>
      <c r="M24" s="120"/>
      <c r="N24" s="120"/>
      <c r="O24" s="120"/>
      <c r="P24" s="121">
        <v>2003</v>
      </c>
      <c r="Q24" s="121">
        <v>2004</v>
      </c>
      <c r="R24" s="121">
        <v>2005</v>
      </c>
      <c r="S24" s="121">
        <v>2006</v>
      </c>
      <c r="T24" s="121"/>
      <c r="U24" s="121"/>
      <c r="V24" s="121"/>
      <c r="W24" s="121"/>
      <c r="X24" s="121"/>
      <c r="Y24" s="122"/>
      <c r="Z24" s="122"/>
    </row>
    <row r="25" spans="2:26" s="27" customFormat="1" x14ac:dyDescent="0.2">
      <c r="B25" s="25" t="s">
        <v>57</v>
      </c>
      <c r="C25" s="123">
        <v>185</v>
      </c>
      <c r="D25" s="123">
        <v>233</v>
      </c>
      <c r="E25" s="123">
        <v>216</v>
      </c>
      <c r="F25" s="123">
        <v>218</v>
      </c>
      <c r="G25" s="123">
        <v>215</v>
      </c>
      <c r="H25" s="123">
        <v>263</v>
      </c>
      <c r="I25" s="123">
        <v>265</v>
      </c>
      <c r="J25" s="123">
        <v>234</v>
      </c>
      <c r="K25" s="123">
        <v>281</v>
      </c>
      <c r="L25" s="123"/>
      <c r="M25" s="123"/>
      <c r="N25" s="123"/>
      <c r="O25" s="123"/>
      <c r="P25" s="123">
        <v>755</v>
      </c>
      <c r="Q25" s="123">
        <v>852</v>
      </c>
      <c r="R25" s="123">
        <v>977</v>
      </c>
      <c r="S25" s="123">
        <v>1170</v>
      </c>
      <c r="T25" s="123"/>
      <c r="U25" s="123"/>
      <c r="V25" s="123"/>
      <c r="W25" s="123"/>
      <c r="X25" s="123"/>
      <c r="Y25" s="124"/>
      <c r="Z25" s="124"/>
    </row>
    <row r="26" spans="2:26" s="27" customFormat="1" x14ac:dyDescent="0.2">
      <c r="B26" s="25" t="s">
        <v>58</v>
      </c>
      <c r="C26" s="123">
        <v>21</v>
      </c>
      <c r="D26" s="123">
        <v>24</v>
      </c>
      <c r="E26" s="123">
        <v>27</v>
      </c>
      <c r="F26" s="123">
        <v>29</v>
      </c>
      <c r="G26" s="123">
        <v>32</v>
      </c>
      <c r="H26" s="123">
        <v>39</v>
      </c>
      <c r="I26" s="123">
        <v>40</v>
      </c>
      <c r="J26" s="123">
        <v>46</v>
      </c>
      <c r="K26" s="123">
        <v>51</v>
      </c>
      <c r="L26" s="123"/>
      <c r="M26" s="123"/>
      <c r="N26" s="123"/>
      <c r="O26" s="123"/>
      <c r="P26" s="123">
        <v>68</v>
      </c>
      <c r="Q26" s="123">
        <v>101</v>
      </c>
      <c r="R26" s="123">
        <v>157</v>
      </c>
      <c r="S26" s="123">
        <v>230</v>
      </c>
      <c r="T26" s="123"/>
      <c r="U26" s="123"/>
      <c r="V26" s="123"/>
      <c r="W26" s="123"/>
      <c r="X26" s="123"/>
      <c r="Y26" s="124"/>
      <c r="Z26" s="124"/>
    </row>
    <row r="27" spans="2:26" s="27" customFormat="1" x14ac:dyDescent="0.2">
      <c r="B27" s="25" t="s">
        <v>59</v>
      </c>
      <c r="C27" s="123">
        <v>31</v>
      </c>
      <c r="D27" s="123">
        <v>49</v>
      </c>
      <c r="E27" s="123">
        <v>41</v>
      </c>
      <c r="F27" s="123">
        <v>40</v>
      </c>
      <c r="G27" s="123">
        <v>40</v>
      </c>
      <c r="H27" s="123">
        <v>50</v>
      </c>
      <c r="I27" s="123">
        <v>50</v>
      </c>
      <c r="J27" s="123">
        <v>55</v>
      </c>
      <c r="K27" s="123">
        <v>52</v>
      </c>
      <c r="L27" s="123"/>
      <c r="M27" s="123"/>
      <c r="N27" s="123"/>
      <c r="O27" s="123"/>
      <c r="P27" s="123">
        <v>106</v>
      </c>
      <c r="Q27" s="123">
        <v>161</v>
      </c>
      <c r="R27" s="123">
        <v>195</v>
      </c>
      <c r="S27" s="123">
        <v>240</v>
      </c>
      <c r="T27" s="123"/>
      <c r="U27" s="123"/>
      <c r="V27" s="123"/>
      <c r="W27" s="123"/>
      <c r="X27" s="123"/>
      <c r="Y27" s="124"/>
      <c r="Z27" s="124"/>
    </row>
    <row r="28" spans="2:26" x14ac:dyDescent="0.2"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2:26" x14ac:dyDescent="0.2"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2:26" x14ac:dyDescent="0.2"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2:26" x14ac:dyDescent="0.2"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2:26" x14ac:dyDescent="0.2"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3:26" x14ac:dyDescent="0.2"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3:26" x14ac:dyDescent="0.2"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3:26" x14ac:dyDescent="0.2"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</sheetData>
  <phoneticPr fontId="4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308E-4C4F-4687-AEDC-539C37C28001}">
  <dimension ref="A1:C5"/>
  <sheetViews>
    <sheetView zoomScale="220" zoomScaleNormal="22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135</v>
      </c>
    </row>
    <row r="2" spans="1:3" x14ac:dyDescent="0.2">
      <c r="B2" s="112" t="s">
        <v>1399</v>
      </c>
      <c r="C2" s="112" t="s">
        <v>1476</v>
      </c>
    </row>
    <row r="3" spans="1:3" x14ac:dyDescent="0.2">
      <c r="B3" s="112" t="s">
        <v>580</v>
      </c>
      <c r="C3" s="112" t="s">
        <v>1477</v>
      </c>
    </row>
    <row r="4" spans="1:3" x14ac:dyDescent="0.2">
      <c r="B4" s="112" t="s">
        <v>157</v>
      </c>
      <c r="C4" s="112" t="s">
        <v>1478</v>
      </c>
    </row>
    <row r="5" spans="1:3" x14ac:dyDescent="0.2">
      <c r="B5" s="112" t="s">
        <v>0</v>
      </c>
      <c r="C5" s="112" t="s">
        <v>1479</v>
      </c>
    </row>
  </sheetData>
  <hyperlinks>
    <hyperlink ref="A1" location="Main!A1" display="Main" xr:uid="{DC1043FC-41E0-438A-93C1-427843BC181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3"/>
  <sheetViews>
    <sheetView zoomScale="175" zoomScaleNormal="175" workbookViewId="0"/>
  </sheetViews>
  <sheetFormatPr defaultRowHeight="12.75" x14ac:dyDescent="0.2"/>
  <cols>
    <col min="1" max="1" width="5" style="1" bestFit="1" customWidth="1"/>
    <col min="2" max="2" width="13.140625" style="1" customWidth="1"/>
    <col min="3" max="10" width="6.7109375" style="1" bestFit="1" customWidth="1"/>
    <col min="11" max="14" width="6.5703125" style="1" bestFit="1" customWidth="1"/>
    <col min="15" max="18" width="6.5703125" style="1" customWidth="1"/>
    <col min="19" max="19" width="2" style="1" customWidth="1"/>
    <col min="20" max="29" width="6.140625" style="1" customWidth="1"/>
    <col min="30" max="30" width="7.140625" style="1" customWidth="1"/>
    <col min="31" max="16384" width="9.140625" style="1"/>
  </cols>
  <sheetData>
    <row r="1" spans="1:3" x14ac:dyDescent="0.2">
      <c r="A1" s="17" t="s">
        <v>135</v>
      </c>
    </row>
    <row r="2" spans="1:3" x14ac:dyDescent="0.2">
      <c r="B2" s="1" t="s">
        <v>153</v>
      </c>
      <c r="C2" s="117" t="s">
        <v>1195</v>
      </c>
    </row>
    <row r="3" spans="1:3" x14ac:dyDescent="0.2">
      <c r="B3" s="1" t="s">
        <v>154</v>
      </c>
      <c r="C3" s="1" t="s">
        <v>506</v>
      </c>
    </row>
    <row r="4" spans="1:3" x14ac:dyDescent="0.2">
      <c r="B4" s="1" t="s">
        <v>156</v>
      </c>
      <c r="C4" s="1" t="s">
        <v>329</v>
      </c>
    </row>
    <row r="5" spans="1:3" x14ac:dyDescent="0.2">
      <c r="B5" s="1" t="s">
        <v>0</v>
      </c>
      <c r="C5" s="1" t="s">
        <v>210</v>
      </c>
    </row>
    <row r="6" spans="1:3" x14ac:dyDescent="0.2">
      <c r="B6" s="1" t="s">
        <v>507</v>
      </c>
      <c r="C6" s="1" t="s">
        <v>801</v>
      </c>
    </row>
    <row r="7" spans="1:3" x14ac:dyDescent="0.2">
      <c r="B7" s="1" t="s">
        <v>798</v>
      </c>
      <c r="C7" s="1" t="s">
        <v>799</v>
      </c>
    </row>
    <row r="8" spans="1:3" x14ac:dyDescent="0.2">
      <c r="B8" s="1" t="s">
        <v>2</v>
      </c>
      <c r="C8" s="1" t="s">
        <v>556</v>
      </c>
    </row>
    <row r="9" spans="1:3" x14ac:dyDescent="0.2">
      <c r="B9" s="1" t="s">
        <v>176</v>
      </c>
      <c r="C9" s="1" t="s">
        <v>508</v>
      </c>
    </row>
    <row r="10" spans="1:3" x14ac:dyDescent="0.2">
      <c r="C10" s="118" t="s">
        <v>1219</v>
      </c>
    </row>
    <row r="11" spans="1:3" x14ac:dyDescent="0.2">
      <c r="B11" s="31" t="s">
        <v>223</v>
      </c>
      <c r="C11" s="31" t="s">
        <v>800</v>
      </c>
    </row>
    <row r="12" spans="1:3" x14ac:dyDescent="0.2">
      <c r="B12" s="1" t="s">
        <v>3</v>
      </c>
      <c r="C12" s="31" t="s">
        <v>572</v>
      </c>
    </row>
    <row r="13" spans="1:3" x14ac:dyDescent="0.2">
      <c r="C13" s="1" t="s">
        <v>496</v>
      </c>
    </row>
    <row r="14" spans="1:3" x14ac:dyDescent="0.2">
      <c r="C14" s="31" t="s">
        <v>597</v>
      </c>
    </row>
    <row r="15" spans="1:3" x14ac:dyDescent="0.2">
      <c r="C15" s="31" t="s">
        <v>598</v>
      </c>
    </row>
    <row r="16" spans="1:3" x14ac:dyDescent="0.2">
      <c r="C16" s="31" t="s">
        <v>599</v>
      </c>
    </row>
    <row r="17" spans="2:31" x14ac:dyDescent="0.2">
      <c r="C17" s="31" t="s">
        <v>778</v>
      </c>
    </row>
    <row r="18" spans="2:31" x14ac:dyDescent="0.2">
      <c r="C18" s="31" t="s">
        <v>779</v>
      </c>
    </row>
    <row r="19" spans="2:31" x14ac:dyDescent="0.2">
      <c r="C19" s="31" t="s">
        <v>793</v>
      </c>
    </row>
    <row r="20" spans="2:31" x14ac:dyDescent="0.2">
      <c r="C20" s="117" t="s">
        <v>1196</v>
      </c>
    </row>
    <row r="21" spans="2:31" x14ac:dyDescent="0.2">
      <c r="C21" s="117" t="s">
        <v>1289</v>
      </c>
    </row>
    <row r="22" spans="2:31" x14ac:dyDescent="0.2">
      <c r="B22" s="1" t="s">
        <v>373</v>
      </c>
      <c r="C22" s="31" t="s">
        <v>585</v>
      </c>
    </row>
    <row r="23" spans="2:31" x14ac:dyDescent="0.2">
      <c r="B23" s="1" t="s">
        <v>213</v>
      </c>
      <c r="C23" s="1" t="s">
        <v>236</v>
      </c>
    </row>
    <row r="24" spans="2:31" x14ac:dyDescent="0.2">
      <c r="B24" s="28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75"/>
    </row>
    <row r="25" spans="2:31" x14ac:dyDescent="0.2">
      <c r="B25" s="1" t="s">
        <v>169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67"/>
      <c r="X25" s="67"/>
      <c r="Y25" s="67"/>
      <c r="Z25" s="67"/>
      <c r="AA25" s="67"/>
      <c r="AB25" s="67"/>
      <c r="AC25" s="67"/>
      <c r="AD25" s="67"/>
      <c r="AE25" s="75"/>
    </row>
    <row r="26" spans="2:31" x14ac:dyDescent="0.2">
      <c r="C26" s="19" t="s">
        <v>235</v>
      </c>
    </row>
    <row r="27" spans="2:31" x14ac:dyDescent="0.2">
      <c r="C27" s="1" t="s">
        <v>211</v>
      </c>
    </row>
    <row r="28" spans="2:31" x14ac:dyDescent="0.2">
      <c r="C28" s="1" t="s">
        <v>101</v>
      </c>
    </row>
    <row r="29" spans="2:31" x14ac:dyDescent="0.2">
      <c r="D29" s="1" t="s">
        <v>209</v>
      </c>
    </row>
    <row r="30" spans="2:31" x14ac:dyDescent="0.2">
      <c r="C30" s="1" t="s">
        <v>212</v>
      </c>
    </row>
    <row r="31" spans="2:31" x14ac:dyDescent="0.2">
      <c r="C31" s="1" t="s">
        <v>234</v>
      </c>
    </row>
    <row r="35" spans="3:3" x14ac:dyDescent="0.2">
      <c r="C35" s="1" t="s">
        <v>111</v>
      </c>
    </row>
    <row r="36" spans="3:3" x14ac:dyDescent="0.2">
      <c r="C36" s="1" t="s">
        <v>112</v>
      </c>
    </row>
    <row r="37" spans="3:3" x14ac:dyDescent="0.2">
      <c r="C37" s="1" t="s">
        <v>107</v>
      </c>
    </row>
    <row r="38" spans="3:3" x14ac:dyDescent="0.2">
      <c r="C38" s="1" t="s">
        <v>109</v>
      </c>
    </row>
    <row r="39" spans="3:3" x14ac:dyDescent="0.2">
      <c r="C39" s="1" t="s">
        <v>110</v>
      </c>
    </row>
    <row r="42" spans="3:3" x14ac:dyDescent="0.2">
      <c r="C42" s="1" t="s">
        <v>119</v>
      </c>
    </row>
    <row r="44" spans="3:3" x14ac:dyDescent="0.2">
      <c r="C44" s="1" t="s">
        <v>133</v>
      </c>
    </row>
    <row r="46" spans="3:3" x14ac:dyDescent="0.2">
      <c r="C46" s="1" t="s">
        <v>208</v>
      </c>
    </row>
    <row r="53" spans="3:3" x14ac:dyDescent="0.2">
      <c r="C53" s="1" t="s">
        <v>557</v>
      </c>
    </row>
  </sheetData>
  <phoneticPr fontId="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1DBA-65F3-48B5-B401-9F37381914A7}">
  <dimension ref="A1:C7"/>
  <sheetViews>
    <sheetView zoomScale="175" zoomScaleNormal="175" workbookViewId="0">
      <selection activeCell="C7" sqref="C7"/>
    </sheetView>
  </sheetViews>
  <sheetFormatPr defaultRowHeight="12.75" x14ac:dyDescent="0.2"/>
  <cols>
    <col min="1" max="1" width="5" bestFit="1" customWidth="1"/>
    <col min="2" max="2" width="11.140625" customWidth="1"/>
  </cols>
  <sheetData>
    <row r="1" spans="1:3" x14ac:dyDescent="0.2">
      <c r="A1" s="20" t="s">
        <v>135</v>
      </c>
    </row>
    <row r="2" spans="1:3" x14ac:dyDescent="0.2">
      <c r="B2" s="112" t="s">
        <v>1399</v>
      </c>
      <c r="C2" s="112" t="s">
        <v>1386</v>
      </c>
    </row>
    <row r="3" spans="1:3" x14ac:dyDescent="0.2">
      <c r="B3" s="112" t="s">
        <v>580</v>
      </c>
      <c r="C3" s="112" t="s">
        <v>1444</v>
      </c>
    </row>
    <row r="4" spans="1:3" x14ac:dyDescent="0.2">
      <c r="B4" s="112" t="s">
        <v>0</v>
      </c>
      <c r="C4" s="112" t="s">
        <v>1445</v>
      </c>
    </row>
    <row r="5" spans="1:3" x14ac:dyDescent="0.2">
      <c r="B5" s="112" t="s">
        <v>1401</v>
      </c>
      <c r="C5" s="112" t="s">
        <v>1443</v>
      </c>
    </row>
    <row r="6" spans="1:3" x14ac:dyDescent="0.2">
      <c r="B6" s="112" t="s">
        <v>3</v>
      </c>
      <c r="C6" s="112" t="s">
        <v>1448</v>
      </c>
    </row>
    <row r="7" spans="1:3" x14ac:dyDescent="0.2">
      <c r="B7" s="112" t="s">
        <v>1446</v>
      </c>
      <c r="C7" s="179" t="s">
        <v>1447</v>
      </c>
    </row>
  </sheetData>
  <hyperlinks>
    <hyperlink ref="A1" location="Main!A1" display="Main" xr:uid="{6967DB8F-2327-4A59-9099-EC3D59AAB8B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zoomScale="115" zoomScaleNormal="115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7" t="s">
        <v>135</v>
      </c>
    </row>
    <row r="2" spans="1:3" x14ac:dyDescent="0.2">
      <c r="A2" s="17"/>
      <c r="B2" s="1" t="s">
        <v>153</v>
      </c>
      <c r="C2" s="117" t="s">
        <v>1180</v>
      </c>
    </row>
    <row r="3" spans="1:3" x14ac:dyDescent="0.2">
      <c r="A3" s="17"/>
      <c r="B3" s="117" t="s">
        <v>154</v>
      </c>
      <c r="C3" s="117" t="s">
        <v>1160</v>
      </c>
    </row>
    <row r="4" spans="1:3" x14ac:dyDescent="0.2">
      <c r="A4" s="17"/>
      <c r="B4" s="117" t="s">
        <v>156</v>
      </c>
      <c r="C4" s="117" t="s">
        <v>1161</v>
      </c>
    </row>
    <row r="5" spans="1:3" x14ac:dyDescent="0.2">
      <c r="A5" s="17"/>
      <c r="B5" s="117"/>
      <c r="C5" s="117" t="s">
        <v>1213</v>
      </c>
    </row>
    <row r="6" spans="1:3" x14ac:dyDescent="0.2">
      <c r="A6" s="17"/>
      <c r="B6" s="117" t="s">
        <v>157</v>
      </c>
      <c r="C6" s="117" t="s">
        <v>1162</v>
      </c>
    </row>
    <row r="7" spans="1:3" x14ac:dyDescent="0.2">
      <c r="B7" s="1" t="s">
        <v>223</v>
      </c>
      <c r="C7" s="117" t="s">
        <v>108</v>
      </c>
    </row>
    <row r="8" spans="1:3" x14ac:dyDescent="0.2">
      <c r="B8" s="117" t="s">
        <v>1211</v>
      </c>
      <c r="C8" s="117" t="s">
        <v>1212</v>
      </c>
    </row>
    <row r="9" spans="1:3" x14ac:dyDescent="0.2">
      <c r="B9" s="117" t="s">
        <v>169</v>
      </c>
    </row>
    <row r="10" spans="1:3" x14ac:dyDescent="0.2">
      <c r="C10" s="19" t="s">
        <v>1207</v>
      </c>
    </row>
    <row r="11" spans="1:3" x14ac:dyDescent="0.2">
      <c r="C11" s="117" t="s">
        <v>1208</v>
      </c>
    </row>
    <row r="13" spans="1:3" x14ac:dyDescent="0.2">
      <c r="C13" s="19" t="s">
        <v>1209</v>
      </c>
    </row>
    <row r="15" spans="1:3" x14ac:dyDescent="0.2">
      <c r="C15" s="19" t="s">
        <v>1210</v>
      </c>
    </row>
    <row r="17" spans="3:3" x14ac:dyDescent="0.2">
      <c r="C17" s="19" t="s">
        <v>1248</v>
      </c>
    </row>
    <row r="18" spans="3:3" x14ac:dyDescent="0.2">
      <c r="C18" s="117" t="s">
        <v>1249</v>
      </c>
    </row>
    <row r="20" spans="3:3" x14ac:dyDescent="0.2">
      <c r="C20" s="19" t="s">
        <v>842</v>
      </c>
    </row>
    <row r="21" spans="3:3" x14ac:dyDescent="0.2">
      <c r="C21" s="117" t="s">
        <v>1131</v>
      </c>
    </row>
    <row r="23" spans="3:3" x14ac:dyDescent="0.2">
      <c r="C23" s="19" t="s">
        <v>445</v>
      </c>
    </row>
    <row r="24" spans="3:3" x14ac:dyDescent="0.2">
      <c r="C24" s="1" t="s">
        <v>442</v>
      </c>
    </row>
    <row r="26" spans="3:3" x14ac:dyDescent="0.2">
      <c r="C26" s="19" t="s">
        <v>446</v>
      </c>
    </row>
    <row r="27" spans="3:3" x14ac:dyDescent="0.2">
      <c r="C27" s="1" t="s">
        <v>442</v>
      </c>
    </row>
    <row r="28" spans="3:3" x14ac:dyDescent="0.2">
      <c r="C28" s="117" t="s">
        <v>1308</v>
      </c>
    </row>
    <row r="30" spans="3:3" x14ac:dyDescent="0.2">
      <c r="C30" s="19" t="s">
        <v>531</v>
      </c>
    </row>
    <row r="31" spans="3:3" x14ac:dyDescent="0.2">
      <c r="C31" s="1" t="s">
        <v>532</v>
      </c>
    </row>
    <row r="33" spans="3:3" x14ac:dyDescent="0.2">
      <c r="C33" s="19" t="s">
        <v>539</v>
      </c>
    </row>
    <row r="35" spans="3:3" x14ac:dyDescent="0.2">
      <c r="C35" s="19" t="s">
        <v>443</v>
      </c>
    </row>
    <row r="37" spans="3:3" x14ac:dyDescent="0.2">
      <c r="C37" s="19" t="s">
        <v>444</v>
      </c>
    </row>
    <row r="39" spans="3:3" x14ac:dyDescent="0.2">
      <c r="C39" s="1" t="s">
        <v>134</v>
      </c>
    </row>
    <row r="40" spans="3:3" x14ac:dyDescent="0.2">
      <c r="C40" s="1" t="s">
        <v>121</v>
      </c>
    </row>
    <row r="41" spans="3:3" x14ac:dyDescent="0.2">
      <c r="C41" s="1" t="s">
        <v>441</v>
      </c>
    </row>
    <row r="42" spans="3:3" x14ac:dyDescent="0.2">
      <c r="C42" s="1" t="s">
        <v>448</v>
      </c>
    </row>
    <row r="43" spans="3:3" x14ac:dyDescent="0.2">
      <c r="C43" s="1" t="s">
        <v>796</v>
      </c>
    </row>
    <row r="44" spans="3:3" x14ac:dyDescent="0.2">
      <c r="C44" s="117" t="s">
        <v>1316</v>
      </c>
    </row>
    <row r="45" spans="3:3" x14ac:dyDescent="0.2">
      <c r="C45" s="31" t="s">
        <v>841</v>
      </c>
    </row>
  </sheetData>
  <phoneticPr fontId="4" type="noConversion"/>
  <hyperlinks>
    <hyperlink ref="A1" location="Main!A1" display="Mzin" xr:uid="{00000000-0004-0000-03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A8F0A8-F5A8-4CB0-B82B-38561BD280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43E441-751F-4E6B-8948-ECCFE949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4408FA-ABCD-4F72-AAD9-718A646262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Master</vt:lpstr>
      <vt:lpstr>Main</vt:lpstr>
      <vt:lpstr>Model</vt:lpstr>
      <vt:lpstr>Shingrix</vt:lpstr>
      <vt:lpstr>dolutegravir</vt:lpstr>
      <vt:lpstr>Trelegy</vt:lpstr>
      <vt:lpstr>Advair</vt:lpstr>
      <vt:lpstr>Zejula</vt:lpstr>
      <vt:lpstr>Relovair</vt:lpstr>
      <vt:lpstr>Valtrex</vt:lpstr>
      <vt:lpstr>Serevent</vt:lpstr>
      <vt:lpstr>Avodart</vt:lpstr>
      <vt:lpstr>Flovent</vt:lpstr>
      <vt:lpstr>Consumer</vt:lpstr>
      <vt:lpstr>Tykerb</vt:lpstr>
      <vt:lpstr>Imitrex</vt:lpstr>
      <vt:lpstr>Lamictal</vt:lpstr>
      <vt:lpstr>Trexima</vt:lpstr>
      <vt:lpstr>Combivir</vt:lpstr>
      <vt:lpstr>Votrient</vt:lpstr>
      <vt:lpstr>Allermist</vt:lpstr>
      <vt:lpstr>Avandaryl</vt:lpstr>
      <vt:lpstr>Trizivir</vt:lpstr>
      <vt:lpstr>Lexiva</vt:lpstr>
      <vt:lpstr>Wellbutrin</vt:lpstr>
      <vt:lpstr>Paxil</vt:lpstr>
      <vt:lpstr>Requip</vt:lpstr>
      <vt:lpstr>Flonase</vt:lpstr>
      <vt:lpstr>Vestipitant</vt:lpstr>
      <vt:lpstr>MAGE</vt:lpstr>
      <vt:lpstr>Arzerra</vt:lpstr>
      <vt:lpstr>eltrombopag</vt:lpstr>
      <vt:lpstr>Cervarix</vt:lpstr>
      <vt:lpstr>Horizant</vt:lpstr>
      <vt:lpstr>716155</vt:lpstr>
      <vt:lpstr>699</vt:lpstr>
      <vt:lpstr>Potiga</vt:lpstr>
      <vt:lpstr>GSK786</vt:lpstr>
      <vt:lpstr>GSK436</vt:lpstr>
      <vt:lpstr>GSK212</vt:lpstr>
      <vt:lpstr>GSK968</vt:lpstr>
      <vt:lpstr>Relenza</vt:lpstr>
      <vt:lpstr>IPX066</vt:lpstr>
      <vt:lpstr>Benlysta</vt:lpstr>
      <vt:lpstr>Amigal</vt:lpstr>
      <vt:lpstr>Arixtra</vt:lpstr>
      <vt:lpstr>Pandemrix</vt:lpstr>
      <vt:lpstr>MenHibrix</vt:lpstr>
      <vt:lpstr>Rotarix</vt:lpstr>
      <vt:lpstr>Synflorix</vt:lpstr>
      <vt:lpstr>GSK572</vt:lpstr>
      <vt:lpstr>mepolizumab</vt:lpstr>
      <vt:lpstr>denosumab</vt:lpstr>
      <vt:lpstr>Syncria</vt:lpstr>
      <vt:lpstr>Avandia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2009-08-10T23:39:19Z</cp:lastPrinted>
  <dcterms:created xsi:type="dcterms:W3CDTF">2005-01-03T02:03:05Z</dcterms:created>
  <dcterms:modified xsi:type="dcterms:W3CDTF">2023-03-02T17:03:07Z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