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AF9DBDF1-A321-4FE1-93E9-AA91FBDC1AAC}" xr6:coauthVersionLast="47" xr6:coauthVersionMax="47" xr10:uidLastSave="{00000000-0000-0000-0000-000000000000}"/>
  <bookViews>
    <workbookView xWindow="18300" yWindow="1635" windowWidth="31320" windowHeight="18525" xr2:uid="{6D0C9AA7-E60A-45CC-9230-29CA233AF48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R48" i="2"/>
  <c r="R53" i="2" s="1"/>
  <c r="R41" i="2"/>
  <c r="R38" i="2"/>
  <c r="R43" i="2" s="1"/>
  <c r="R34" i="2"/>
  <c r="Q31" i="2"/>
  <c r="Q30" i="2"/>
  <c r="M26" i="2"/>
  <c r="M27" i="2" s="1"/>
  <c r="M24" i="2"/>
  <c r="M16" i="2"/>
  <c r="M20" i="2"/>
  <c r="M15" i="2"/>
  <c r="Q20" i="2"/>
  <c r="Q15" i="2"/>
  <c r="Q16" i="2" s="1"/>
  <c r="Q21" i="2" s="1"/>
  <c r="R31" i="2"/>
  <c r="R30" i="2"/>
  <c r="N20" i="2"/>
  <c r="N15" i="2"/>
  <c r="N16" i="2" s="1"/>
  <c r="R25" i="2"/>
  <c r="R20" i="2"/>
  <c r="R15" i="2"/>
  <c r="R16" i="2" s="1"/>
  <c r="R21" i="2" s="1"/>
  <c r="R24" i="2" s="1"/>
  <c r="AE3" i="2"/>
  <c r="AF3" i="2"/>
  <c r="AG3" i="2"/>
  <c r="AG32" i="2" s="1"/>
  <c r="AG34" i="2"/>
  <c r="AG48" i="2"/>
  <c r="AG53" i="2" s="1"/>
  <c r="AG38" i="2"/>
  <c r="AG41" i="2"/>
  <c r="AF30" i="2"/>
  <c r="AG30" i="2"/>
  <c r="AF23" i="2"/>
  <c r="AG25" i="2"/>
  <c r="AG23" i="2"/>
  <c r="AG20" i="2"/>
  <c r="AF20" i="2"/>
  <c r="AF15" i="2"/>
  <c r="AF16" i="2" s="1"/>
  <c r="AG15" i="2"/>
  <c r="AG16" i="2" s="1"/>
  <c r="AA2" i="2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Q32" i="2"/>
  <c r="P32" i="2"/>
  <c r="O32" i="2"/>
  <c r="N32" i="2"/>
  <c r="M32" i="2"/>
  <c r="L32" i="2"/>
  <c r="K32" i="2"/>
  <c r="J32" i="2"/>
  <c r="I32" i="2"/>
  <c r="H32" i="2"/>
  <c r="G32" i="2"/>
  <c r="R32" i="2"/>
  <c r="L4" i="1"/>
  <c r="L3" i="1"/>
  <c r="M21" i="2" l="1"/>
  <c r="R26" i="2"/>
  <c r="R27" i="2" s="1"/>
  <c r="N21" i="2"/>
  <c r="N24" i="2" s="1"/>
  <c r="N26" i="2" s="1"/>
  <c r="N27" i="2" s="1"/>
  <c r="AG43" i="2"/>
  <c r="AF32" i="2"/>
  <c r="AF21" i="2"/>
  <c r="AF24" i="2" s="1"/>
  <c r="AF26" i="2" s="1"/>
  <c r="AF27" i="2" s="1"/>
  <c r="AG21" i="2"/>
  <c r="AG24" i="2" s="1"/>
  <c r="AG26" i="2" s="1"/>
  <c r="AG27" i="2" s="1"/>
</calcChain>
</file>

<file path=xl/sharedStrings.xml><?xml version="1.0" encoding="utf-8"?>
<sst xmlns="http://schemas.openxmlformats.org/spreadsheetml/2006/main" count="79" uniqueCount="72">
  <si>
    <t>Price</t>
  </si>
  <si>
    <t>Shares</t>
  </si>
  <si>
    <t>MC</t>
  </si>
  <si>
    <t>Cash</t>
  </si>
  <si>
    <t>Debt</t>
  </si>
  <si>
    <t>EV</t>
  </si>
  <si>
    <t>2128 employees</t>
  </si>
  <si>
    <t>2004 founded</t>
  </si>
  <si>
    <t>Main</t>
  </si>
  <si>
    <t>DAUs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</si>
  <si>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</si>
  <si>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</si>
  <si>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</si>
  <si>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</si>
  <si>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</si>
  <si>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</si>
  <si>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</si>
  <si>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</si>
  <si>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</si>
  <si>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</si>
  <si>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</si>
  <si>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</si>
  <si>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</si>
  <si>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</si>
  <si>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</si>
  <si>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</si>
  <si>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DAUs y/y</t>
  </si>
  <si>
    <t>Hours</t>
  </si>
  <si>
    <t>Hours/DAU</t>
  </si>
  <si>
    <t>ABpDAU</t>
  </si>
  <si>
    <t>Bookings</t>
  </si>
  <si>
    <t>Revenue</t>
  </si>
  <si>
    <t>AdjEBITDA</t>
  </si>
  <si>
    <t>Gross Profit</t>
  </si>
  <si>
    <t>COGS</t>
  </si>
  <si>
    <t>COR</t>
  </si>
  <si>
    <t>DevExch</t>
  </si>
  <si>
    <t>Infra/Trust</t>
  </si>
  <si>
    <t>R&amp;D</t>
  </si>
  <si>
    <t>G&amp;A</t>
  </si>
  <si>
    <t>S&amp;M</t>
  </si>
  <si>
    <t>Operating Expenses</t>
  </si>
  <si>
    <t>Operating Income</t>
  </si>
  <si>
    <t>Interest</t>
  </si>
  <si>
    <t>Pretax</t>
  </si>
  <si>
    <t>Taxes</t>
  </si>
  <si>
    <t>Net Income</t>
  </si>
  <si>
    <t>EPS</t>
  </si>
  <si>
    <t>Revenue y/y</t>
  </si>
  <si>
    <t>DUPU</t>
  </si>
  <si>
    <t>Assets</t>
  </si>
  <si>
    <t>A/R</t>
  </si>
  <si>
    <t>Prepaids</t>
  </si>
  <si>
    <t>DCOR</t>
  </si>
  <si>
    <t>PP&amp;E</t>
  </si>
  <si>
    <t>Goodwill</t>
  </si>
  <si>
    <t>Lease</t>
  </si>
  <si>
    <t>OA</t>
  </si>
  <si>
    <t>AP</t>
  </si>
  <si>
    <t>AE</t>
  </si>
  <si>
    <t>DR</t>
  </si>
  <si>
    <t>Leases</t>
  </si>
  <si>
    <t>OLTL</t>
  </si>
  <si>
    <t>S/E</t>
  </si>
  <si>
    <t>L+S/E</t>
  </si>
  <si>
    <t>Net Cash</t>
  </si>
  <si>
    <t>CFFO</t>
  </si>
  <si>
    <t>Q123</t>
  </si>
  <si>
    <t>Q223</t>
  </si>
  <si>
    <t>Q323</t>
  </si>
  <si>
    <t>Q423</t>
  </si>
  <si>
    <t>Bookings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</si>
</sst>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4" fontId="0" fillId="0" borderId="0" xfId="0" applyNumberFormat="1"/>
    <xf numFmtId="3" fontId="0" fillId="0" borderId="0" xfId="0" applyNumberFormat="1"/>
    <xf numFmtId="14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 applyAlignment="1">
      <alignment horizontal="right"/>
    </xf>
    <xf numFmtId="0" fontId="2" fillId="0" borderId="0" xfId="1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1" fillId="0" borderId="0" xfId="0" applyNumberFormat="1" applyFont="1"/>
    <xf numFmtId="9" fontId="0" fillId="0" borderId="0" xfId="0" applyNumberFormat="1"/>
    <xf numFmtId="3" fontId="1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23812</xdr:colOff>
      <xdr:row>0</xdr:row>
      <xdr:rowOff>23812</xdr:rowOff>
    </xdr:from>
    <xdr:to>
      <xdr:col>33</xdr:col>
      <xdr:colOff>23812</xdr:colOff>
      <xdr:row>56</xdr:row>
      <xdr:rowOff>41671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EF4E1AE-E4E0-0B87-9679-574C5EDDD140}"/>
            </a:ext>
          </a:extLst>
        </xdr:cNvPr>
        <xdr:cNvCxnSpPr/>
      </xdr:nvCxnSpPr>
      <xdr:spPr>
        <a:xfrm>
          <a:off x="18252281" y="23812"/>
          <a:ext cx="0" cy="8858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29765</xdr:colOff>
      <xdr:row>0</xdr:row>
      <xdr:rowOff>65484</xdr:rowOff>
    </xdr:from>
    <xdr:to>
      <xdr:col>18</xdr:col>
      <xdr:colOff>29765</xdr:colOff>
      <xdr:row>40</xdr:row>
      <xdr:rowOff>41672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4861381-191D-7495-87EE-64F11A78D1A2}"/>
            </a:ext>
          </a:extLst>
        </xdr:cNvPr>
        <xdr:cNvCxnSpPr/>
      </xdr:nvCxnSpPr>
      <xdr:spPr>
        <a:xfrm>
          <a:off x="10971609" y="65484"/>
          <a:ext cx="0" cy="64055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E8E6B-4B4B-464E-A208-C37C1AB38F9F}">
  <dimension ref="K2:M12"/>
  <sheetViews>
    <sheetView tabSelected="1" zoomScale="190" zoomScaleNormal="190" workbookViewId="0">
      <selection activeCell="M1" sqref="M1"/>
    </sheetView>
  </sheetViews>
  <sheetFormatPr defaultRowHeight="12.75" x14ac:dyDescent="0.2"/>
  <cols>
    <col min="11" max="11" width="15.42578125" customWidth="1"/>
    <col min="12" max="12" width="10.42578125" bestFit="1" customWidth="1"/>
  </cols>
  <sheetData>
    <row r="2" spans="11:13" x14ac:dyDescent="0.2">
      <c r="K2" t="s">
        <v>0</v>
      </c>
      <c r="L2" s="1">
        <v>35</v>
      </c>
    </row>
    <row r="3" spans="11:13" x14ac:dyDescent="0.2">
      <c r="K3" t="s">
        <v>1</v>
      </c>
      <c r="L3" s="2">
        <f>553.798118+51.337302</f>
        <v>605.13542000000007</v>
      </c>
      <c r="M3" s="4" t="s">
        <v>25</v>
      </c>
    </row>
    <row r="4" spans="11:13" x14ac:dyDescent="0.2">
      <c r="K4" t="s">
        <v>2</v>
      </c>
      <c r="L4" s="2">
        <f>+L2*L3</f>
        <v>21179.739700000002</v>
      </c>
      <c r="M4" s="4"/>
    </row>
    <row r="5" spans="11:13" x14ac:dyDescent="0.2">
      <c r="K5" t="s">
        <v>3</v>
      </c>
      <c r="L5" s="2">
        <v>2977</v>
      </c>
      <c r="M5" s="4" t="s">
        <v>25</v>
      </c>
    </row>
    <row r="6" spans="11:13" x14ac:dyDescent="0.2">
      <c r="K6" t="s">
        <v>4</v>
      </c>
      <c r="L6" s="2">
        <v>989</v>
      </c>
      <c r="M6" s="4" t="s">
        <v>25</v>
      </c>
    </row>
    <row r="7" spans="11:13" x14ac:dyDescent="0.2">
      <c r="K7" t="s">
        <v>5</v>
      </c>
      <c r="L7" s="2">
        <f>L4-L5+L6</f>
        <v>19191.739700000002</v>
      </c>
    </row>
    <row r="11" spans="11:13" x14ac:dyDescent="0.2">
      <c r="K11" t="s">
        <v>6</v>
      </c>
      <c r="L11" s="3">
        <v>44926</v>
      </c>
    </row>
    <row r="12" spans="11:13" x14ac:dyDescent="0.2">
      <c r="K12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7D717-BF13-4B06-BD00-B0629B64921F}">
  <dimension ref="A1:AL55"/>
  <sheetViews>
    <sheetView zoomScale="160" zoomScaleNormal="160" workbookViewId="0">
      <pane xSplit="2" ySplit="2" topLeftCell="M3" activePane="bottomRight" state="frozen"/>
      <selection pane="topRight" activeCell="C1" sqref="C1"/>
      <selection pane="bottomLeft" activeCell="A3" sqref="A3"/>
      <selection pane="bottomRight" activeCell="M9" sqref="M9"/>
    </sheetView>
  </sheetViews>
  <sheetFormatPr defaultRowHeight="12.75" x14ac:dyDescent="0.2"/>
  <cols>
    <col min="1" max="1" width="5" bestFit="1" customWidth="1"/>
    <col min="2" max="2" width="13.42578125" customWidth="1"/>
    <col min="3" max="21" width="9.140625" style="4"/>
  </cols>
  <sheetData>
    <row r="1" spans="1:38" x14ac:dyDescent="0.2">
      <c r="A1" s="6" t="s">
        <v>8</v>
      </c>
    </row>
    <row r="2" spans="1:38" x14ac:dyDescent="0.2">
      <c r="C2" s="4" t="s">
        <v>10</v>
      </c>
      <c r="D2" s="4" t="s">
        <v>11</v>
      </c>
      <c r="E2" s="4" t="s">
        <v>12</v>
      </c>
      <c r="F2" s="4" t="s">
        <v>13</v>
      </c>
      <c r="G2" s="4" t="s">
        <v>14</v>
      </c>
      <c r="H2" s="4" t="s">
        <v>15</v>
      </c>
      <c r="I2" s="4" t="s">
        <v>16</v>
      </c>
      <c r="J2" s="4" t="s">
        <v>17</v>
      </c>
      <c r="K2" s="4" t="s">
        <v>18</v>
      </c>
      <c r="L2" s="4" t="s">
        <v>19</v>
      </c>
      <c r="M2" s="4" t="s">
        <v>20</v>
      </c>
      <c r="N2" s="4" t="s">
        <v>21</v>
      </c>
      <c r="O2" s="4" t="s">
        <v>22</v>
      </c>
      <c r="P2" s="4" t="s">
        <v>23</v>
      </c>
      <c r="Q2" s="4" t="s">
        <v>24</v>
      </c>
      <c r="R2" s="4" t="s">
        <v>25</v>
      </c>
      <c r="S2" s="4" t="s">
        <v>67</v>
      </c>
      <c r="T2" s="4" t="s">
        <v>68</v>
      </c>
      <c r="U2" s="4" t="s">
        <v>69</v>
      </c>
      <c r="V2" s="4" t="s">
        <v>70</v>
      </c>
      <c r="Z2">
        <v>2015</v>
      </c>
      <c r="AA2">
        <f>+Z2+1</f>
        <v>2016</v>
      </c>
      <c r="AB2">
        <f t="shared" ref="AB2:AL2" si="0">+AA2+1</f>
        <v>2017</v>
      </c>
      <c r="AC2">
        <f t="shared" si="0"/>
        <v>2018</v>
      </c>
      <c r="AD2">
        <f t="shared" si="0"/>
        <v>2019</v>
      </c>
      <c r="AE2">
        <f t="shared" si="0"/>
        <v>2020</v>
      </c>
      <c r="AF2">
        <f t="shared" si="0"/>
        <v>2021</v>
      </c>
      <c r="AG2">
        <f t="shared" si="0"/>
        <v>2022</v>
      </c>
      <c r="AH2">
        <f t="shared" si="0"/>
        <v>2023</v>
      </c>
      <c r="AI2">
        <f t="shared" si="0"/>
        <v>2024</v>
      </c>
      <c r="AJ2">
        <f t="shared" si="0"/>
        <v>2025</v>
      </c>
      <c r="AK2">
        <f t="shared" si="0"/>
        <v>2026</v>
      </c>
      <c r="AL2">
        <f t="shared" si="0"/>
        <v>2027</v>
      </c>
    </row>
    <row r="3" spans="1:38" x14ac:dyDescent="0.2">
      <c r="B3" t="s">
        <v>9</v>
      </c>
      <c r="C3" s="4">
        <v>15.8</v>
      </c>
      <c r="D3" s="4">
        <v>17.100000000000001</v>
      </c>
      <c r="E3" s="4">
        <v>18.399999999999999</v>
      </c>
      <c r="F3" s="4">
        <v>19.100000000000001</v>
      </c>
      <c r="G3" s="4">
        <v>23.6</v>
      </c>
      <c r="H3" s="4">
        <v>33.4</v>
      </c>
      <c r="I3" s="4">
        <v>36.200000000000003</v>
      </c>
      <c r="J3" s="4">
        <v>37.1</v>
      </c>
      <c r="K3" s="4">
        <v>42.1</v>
      </c>
      <c r="L3" s="4">
        <v>43.2</v>
      </c>
      <c r="M3" s="4">
        <v>47.3</v>
      </c>
      <c r="N3" s="4">
        <v>49.5</v>
      </c>
      <c r="O3" s="4">
        <v>54.1</v>
      </c>
      <c r="P3" s="4">
        <v>52.2</v>
      </c>
      <c r="Q3" s="4">
        <v>58.8</v>
      </c>
      <c r="R3" s="4">
        <v>58.8</v>
      </c>
      <c r="AE3">
        <f>J3</f>
        <v>37.1</v>
      </c>
      <c r="AF3">
        <f>N3</f>
        <v>49.5</v>
      </c>
      <c r="AG3">
        <f>R3</f>
        <v>58.8</v>
      </c>
    </row>
    <row r="4" spans="1:38" x14ac:dyDescent="0.2">
      <c r="B4" t="s">
        <v>27</v>
      </c>
      <c r="C4" s="7">
        <v>2974</v>
      </c>
      <c r="D4" s="7">
        <v>3248</v>
      </c>
      <c r="E4" s="7">
        <v>3730</v>
      </c>
      <c r="F4" s="7">
        <v>3701</v>
      </c>
      <c r="G4" s="7">
        <v>4875</v>
      </c>
      <c r="H4" s="7">
        <v>8586</v>
      </c>
      <c r="I4" s="7">
        <v>8711</v>
      </c>
      <c r="J4" s="7">
        <v>8430</v>
      </c>
      <c r="K4" s="7">
        <v>9674</v>
      </c>
      <c r="L4" s="7">
        <v>9738</v>
      </c>
      <c r="M4" s="7">
        <v>11184</v>
      </c>
      <c r="N4" s="7">
        <v>10818</v>
      </c>
      <c r="O4" s="7">
        <v>11822</v>
      </c>
      <c r="P4" s="7">
        <v>11294</v>
      </c>
      <c r="Q4" s="7">
        <v>13399</v>
      </c>
      <c r="R4" s="7">
        <v>12807</v>
      </c>
      <c r="S4" s="7"/>
      <c r="T4" s="7"/>
      <c r="U4" s="7"/>
    </row>
    <row r="5" spans="1:38" x14ac:dyDescent="0.2">
      <c r="B5" t="s">
        <v>28</v>
      </c>
      <c r="C5" s="7">
        <f>+C4/C3</f>
        <v>188.22784810126581</v>
      </c>
      <c r="D5" s="7">
        <f t="shared" ref="D5:R5" si="1">+D4/D3</f>
        <v>189.94152046783626</v>
      </c>
      <c r="E5" s="7">
        <f t="shared" si="1"/>
        <v>202.71739130434784</v>
      </c>
      <c r="F5" s="7">
        <f t="shared" si="1"/>
        <v>193.7696335078534</v>
      </c>
      <c r="G5" s="7">
        <f t="shared" si="1"/>
        <v>206.56779661016947</v>
      </c>
      <c r="H5" s="7">
        <f t="shared" si="1"/>
        <v>257.06586826347308</v>
      </c>
      <c r="I5" s="7">
        <f t="shared" si="1"/>
        <v>240.63535911602207</v>
      </c>
      <c r="J5" s="7">
        <f t="shared" si="1"/>
        <v>227.22371967654985</v>
      </c>
      <c r="K5" s="7">
        <f t="shared" si="1"/>
        <v>229.78622327790973</v>
      </c>
      <c r="L5" s="7">
        <f t="shared" si="1"/>
        <v>225.41666666666666</v>
      </c>
      <c r="M5" s="7">
        <f t="shared" si="1"/>
        <v>236.44820295983089</v>
      </c>
      <c r="N5" s="7">
        <f t="shared" si="1"/>
        <v>218.54545454545453</v>
      </c>
      <c r="O5" s="7">
        <f t="shared" si="1"/>
        <v>218.52125693160812</v>
      </c>
      <c r="P5" s="7">
        <f t="shared" si="1"/>
        <v>216.36015325670496</v>
      </c>
      <c r="Q5" s="7">
        <f t="shared" si="1"/>
        <v>227.87414965986395</v>
      </c>
      <c r="R5" s="7">
        <f t="shared" si="1"/>
        <v>217.80612244897961</v>
      </c>
      <c r="S5" s="7"/>
      <c r="T5" s="7"/>
      <c r="U5" s="7"/>
      <c r="V5" s="7"/>
    </row>
    <row r="6" spans="1:38" x14ac:dyDescent="0.2">
      <c r="B6" t="s">
        <v>29</v>
      </c>
      <c r="C6" s="8">
        <v>8.98</v>
      </c>
      <c r="D6" s="8">
        <v>8.7799999999999994</v>
      </c>
      <c r="E6" s="8">
        <v>9</v>
      </c>
      <c r="F6" s="8">
        <v>12.37</v>
      </c>
      <c r="G6" s="8">
        <v>10.58</v>
      </c>
      <c r="H6" s="8">
        <v>14.81</v>
      </c>
      <c r="I6" s="8">
        <v>13.73</v>
      </c>
      <c r="J6" s="8">
        <v>17.3</v>
      </c>
      <c r="K6" s="8">
        <v>15.48</v>
      </c>
      <c r="L6" s="8">
        <v>15.41</v>
      </c>
      <c r="M6" s="8">
        <v>13.49</v>
      </c>
      <c r="N6" s="8">
        <v>15.57</v>
      </c>
      <c r="O6" s="8">
        <v>11.67</v>
      </c>
      <c r="P6" s="8">
        <v>12.25</v>
      </c>
      <c r="Q6" s="8">
        <v>11.94</v>
      </c>
      <c r="R6" s="8">
        <v>15.29</v>
      </c>
      <c r="S6" s="8"/>
      <c r="T6" s="8"/>
      <c r="U6" s="8"/>
    </row>
    <row r="7" spans="1:38" s="2" customFormat="1" x14ac:dyDescent="0.2">
      <c r="B7" s="2" t="s">
        <v>30</v>
      </c>
      <c r="C7" s="7"/>
      <c r="D7" s="7"/>
      <c r="E7" s="7"/>
      <c r="F7" s="7"/>
      <c r="G7" s="7"/>
      <c r="H7" s="7"/>
      <c r="I7" s="7"/>
      <c r="J7" s="7"/>
      <c r="K7" s="7"/>
      <c r="L7" s="7"/>
      <c r="M7" s="7">
        <v>637.83299999999997</v>
      </c>
      <c r="N7" s="7">
        <v>770.11599999999999</v>
      </c>
      <c r="O7" s="7"/>
      <c r="P7" s="7"/>
      <c r="Q7" s="7">
        <v>701.71600000000001</v>
      </c>
      <c r="R7" s="7">
        <v>899.4</v>
      </c>
      <c r="S7" s="7"/>
      <c r="T7" s="7"/>
      <c r="U7" s="7"/>
      <c r="AE7" s="2">
        <v>1882.5429999999999</v>
      </c>
      <c r="AF7" s="2">
        <v>2725.7060000000001</v>
      </c>
      <c r="AG7" s="2">
        <v>2872.2579999999998</v>
      </c>
    </row>
    <row r="8" spans="1:38" x14ac:dyDescent="0.2">
      <c r="B8" t="s">
        <v>49</v>
      </c>
      <c r="AE8" s="2"/>
      <c r="AF8" s="2">
        <v>678</v>
      </c>
      <c r="AG8" s="2">
        <v>725</v>
      </c>
    </row>
    <row r="9" spans="1:38" x14ac:dyDescent="0.2">
      <c r="AE9" s="2"/>
      <c r="AF9" s="2"/>
      <c r="AG9" s="10"/>
    </row>
    <row r="11" spans="1:38" s="9" customFormat="1" x14ac:dyDescent="0.2">
      <c r="B11" s="9" t="s">
        <v>31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>
        <v>509.33600000000001</v>
      </c>
      <c r="N11" s="11">
        <v>568.76900000000001</v>
      </c>
      <c r="O11" s="11"/>
      <c r="P11" s="11"/>
      <c r="Q11" s="11">
        <v>517.70699999999999</v>
      </c>
      <c r="R11" s="11">
        <v>579</v>
      </c>
      <c r="S11" s="11"/>
      <c r="T11" s="11"/>
      <c r="U11" s="11"/>
      <c r="AE11" s="9">
        <v>923.88499999999999</v>
      </c>
      <c r="AF11" s="9">
        <v>1919.181</v>
      </c>
      <c r="AG11" s="9">
        <v>2225.0520000000001</v>
      </c>
    </row>
    <row r="12" spans="1:38" x14ac:dyDescent="0.2">
      <c r="B12" t="s">
        <v>35</v>
      </c>
      <c r="M12" s="7">
        <v>130.01499999999999</v>
      </c>
      <c r="N12" s="7">
        <v>151.988</v>
      </c>
      <c r="Q12" s="7">
        <v>126.437</v>
      </c>
      <c r="R12" s="7">
        <v>142.43199999999999</v>
      </c>
      <c r="AE12" s="2"/>
      <c r="AF12" s="2">
        <v>496.87</v>
      </c>
      <c r="AG12" s="2">
        <v>547.65800000000002</v>
      </c>
    </row>
    <row r="13" spans="1:38" x14ac:dyDescent="0.2">
      <c r="B13" t="s">
        <v>36</v>
      </c>
      <c r="M13" s="7">
        <v>129.952</v>
      </c>
      <c r="N13" s="7">
        <v>159.71700000000001</v>
      </c>
      <c r="Q13" s="7">
        <v>151.47</v>
      </c>
      <c r="R13" s="7">
        <v>182.11500000000001</v>
      </c>
      <c r="AE13" s="2"/>
      <c r="AF13" s="2">
        <v>538.32100000000003</v>
      </c>
      <c r="AG13" s="2">
        <v>623.85500000000002</v>
      </c>
    </row>
    <row r="14" spans="1:38" x14ac:dyDescent="0.2">
      <c r="B14" t="s">
        <v>37</v>
      </c>
      <c r="M14" s="7">
        <v>117.387</v>
      </c>
      <c r="N14" s="7">
        <v>135.989</v>
      </c>
      <c r="Q14" s="7">
        <v>190.98599999999999</v>
      </c>
      <c r="R14" s="7">
        <v>198.505</v>
      </c>
      <c r="AE14" s="2"/>
      <c r="AF14" s="2">
        <v>533.20699999999999</v>
      </c>
      <c r="AG14" s="2">
        <v>689.08100000000002</v>
      </c>
    </row>
    <row r="15" spans="1:38" x14ac:dyDescent="0.2">
      <c r="B15" t="s">
        <v>34</v>
      </c>
      <c r="M15" s="7">
        <f>M14+M13+M12</f>
        <v>377.35399999999998</v>
      </c>
      <c r="N15" s="7">
        <f>N14+N13+N12</f>
        <v>447.69400000000002</v>
      </c>
      <c r="Q15" s="7">
        <f>Q14+Q13+Q12</f>
        <v>468.89300000000003</v>
      </c>
      <c r="R15" s="7">
        <f>R14+R13+R12</f>
        <v>523.05200000000002</v>
      </c>
      <c r="AE15" s="2"/>
      <c r="AF15" s="2">
        <f>+AF12+AF13+AF14</f>
        <v>1568.3980000000001</v>
      </c>
      <c r="AG15" s="2">
        <f>+AG12+AG13+AG14</f>
        <v>1860.5940000000001</v>
      </c>
    </row>
    <row r="16" spans="1:38" x14ac:dyDescent="0.2">
      <c r="B16" t="s">
        <v>33</v>
      </c>
      <c r="M16" s="7">
        <f>M11-M15</f>
        <v>131.98200000000003</v>
      </c>
      <c r="N16" s="7">
        <f>N11-N15</f>
        <v>121.07499999999999</v>
      </c>
      <c r="Q16" s="7">
        <f>Q11-Q15</f>
        <v>48.813999999999965</v>
      </c>
      <c r="R16" s="7">
        <f>R11-R15</f>
        <v>55.947999999999979</v>
      </c>
      <c r="AE16" s="2"/>
      <c r="AF16" s="2">
        <f>+AF11-AF15</f>
        <v>350.7829999999999</v>
      </c>
      <c r="AG16" s="2">
        <f>+AG11-AG15</f>
        <v>364.45800000000008</v>
      </c>
    </row>
    <row r="17" spans="2:33" x14ac:dyDescent="0.2">
      <c r="B17" t="s">
        <v>38</v>
      </c>
      <c r="M17" s="7">
        <v>138.245</v>
      </c>
      <c r="N17" s="7">
        <v>173.57</v>
      </c>
      <c r="Q17" s="7">
        <v>235.55099999999999</v>
      </c>
      <c r="R17" s="7">
        <v>248.40700000000001</v>
      </c>
      <c r="AE17" s="2"/>
      <c r="AF17" s="2">
        <v>533.20699999999999</v>
      </c>
      <c r="AG17" s="2">
        <v>873.47699999999998</v>
      </c>
    </row>
    <row r="18" spans="2:33" x14ac:dyDescent="0.2">
      <c r="B18" t="s">
        <v>39</v>
      </c>
      <c r="M18" s="7">
        <v>51.584000000000003</v>
      </c>
      <c r="N18" s="7">
        <v>59.383000000000003</v>
      </c>
      <c r="Q18" s="7">
        <v>81.165000000000006</v>
      </c>
      <c r="R18" s="7">
        <v>79.703999999999994</v>
      </c>
      <c r="AE18" s="2"/>
      <c r="AF18" s="2">
        <v>303.02</v>
      </c>
      <c r="AG18" s="2">
        <v>297.31700000000001</v>
      </c>
    </row>
    <row r="19" spans="2:33" x14ac:dyDescent="0.2">
      <c r="B19" t="s">
        <v>40</v>
      </c>
      <c r="M19" s="7">
        <v>19.599</v>
      </c>
      <c r="N19" s="7">
        <v>27.771999999999998</v>
      </c>
      <c r="Q19" s="7">
        <v>32.104999999999997</v>
      </c>
      <c r="R19" s="7">
        <v>29.74</v>
      </c>
      <c r="AE19" s="2"/>
      <c r="AF19" s="2">
        <v>86.363</v>
      </c>
      <c r="AG19" s="2">
        <v>117.44799999999999</v>
      </c>
    </row>
    <row r="20" spans="2:33" x14ac:dyDescent="0.2">
      <c r="B20" t="s">
        <v>41</v>
      </c>
      <c r="M20" s="7">
        <f>M19+M18+M17</f>
        <v>209.428</v>
      </c>
      <c r="N20" s="7">
        <f>N19+N18+N17</f>
        <v>260.72500000000002</v>
      </c>
      <c r="Q20" s="7">
        <f>Q19+Q18+Q17</f>
        <v>348.82100000000003</v>
      </c>
      <c r="R20" s="7">
        <f>R19+R18+R17</f>
        <v>357.851</v>
      </c>
      <c r="AE20" s="2"/>
      <c r="AF20" s="2">
        <f>SUM(AF17:AF19)</f>
        <v>922.58999999999992</v>
      </c>
      <c r="AG20" s="2">
        <f>SUM(AG17:AG19)</f>
        <v>1288.242</v>
      </c>
    </row>
    <row r="21" spans="2:33" x14ac:dyDescent="0.2">
      <c r="B21" t="s">
        <v>42</v>
      </c>
      <c r="M21" s="7">
        <f>M16-M20</f>
        <v>-77.44599999999997</v>
      </c>
      <c r="N21" s="7">
        <f>N16-N20</f>
        <v>-139.65000000000003</v>
      </c>
      <c r="Q21" s="7">
        <f>Q16-Q20</f>
        <v>-300.00700000000006</v>
      </c>
      <c r="R21" s="7">
        <f>R16-R20</f>
        <v>-301.90300000000002</v>
      </c>
      <c r="AE21" s="2"/>
      <c r="AF21" s="2">
        <f>AF16-AF20</f>
        <v>-571.80700000000002</v>
      </c>
      <c r="AG21" s="2">
        <f>AG16-AG20</f>
        <v>-923.78399999999988</v>
      </c>
    </row>
    <row r="22" spans="2:33" x14ac:dyDescent="0.2">
      <c r="B22" t="s">
        <v>32</v>
      </c>
      <c r="AE22" s="2">
        <v>600.17700000000002</v>
      </c>
      <c r="AF22" s="2">
        <v>673.92600000000004</v>
      </c>
      <c r="AG22" s="2">
        <v>356.45600000000002</v>
      </c>
    </row>
    <row r="23" spans="2:33" x14ac:dyDescent="0.2">
      <c r="B23" t="s">
        <v>43</v>
      </c>
      <c r="AF23">
        <f>-6.998-1.796</f>
        <v>-8.7940000000000005</v>
      </c>
      <c r="AG23" s="2">
        <f>38.842-39.903-5.744</f>
        <v>-6.8049999999999997</v>
      </c>
    </row>
    <row r="24" spans="2:33" x14ac:dyDescent="0.2">
      <c r="B24" t="s">
        <v>44</v>
      </c>
      <c r="M24" s="7">
        <f>M21+M23</f>
        <v>-77.44599999999997</v>
      </c>
      <c r="N24" s="7">
        <f>N21+N23</f>
        <v>-139.65000000000003</v>
      </c>
      <c r="R24" s="7">
        <f>R21+R23</f>
        <v>-301.90300000000002</v>
      </c>
      <c r="AF24" s="2">
        <f>+AF21+AF23</f>
        <v>-580.601</v>
      </c>
      <c r="AG24" s="2">
        <f>+AG21+AG23</f>
        <v>-930.58899999999983</v>
      </c>
    </row>
    <row r="25" spans="2:33" x14ac:dyDescent="0.2">
      <c r="B25" t="s">
        <v>45</v>
      </c>
      <c r="N25" s="7"/>
      <c r="R25" s="7">
        <f>3.202-1.559</f>
        <v>1.643</v>
      </c>
      <c r="AF25">
        <v>-11.829000000000001</v>
      </c>
      <c r="AG25" s="2">
        <f>3.552-9.775</f>
        <v>-6.2230000000000008</v>
      </c>
    </row>
    <row r="26" spans="2:33" x14ac:dyDescent="0.2">
      <c r="B26" t="s">
        <v>46</v>
      </c>
      <c r="M26" s="7">
        <f>M24-M25</f>
        <v>-77.44599999999997</v>
      </c>
      <c r="N26" s="7">
        <f>N24-N25</f>
        <v>-139.65000000000003</v>
      </c>
      <c r="R26" s="7">
        <f>R24-R25</f>
        <v>-303.54599999999999</v>
      </c>
      <c r="AF26" s="2">
        <f>+AF24-AF25</f>
        <v>-568.77200000000005</v>
      </c>
      <c r="AG26" s="2">
        <f>+AG24-AG25</f>
        <v>-924.36599999999987</v>
      </c>
    </row>
    <row r="27" spans="2:33" x14ac:dyDescent="0.2">
      <c r="B27" t="s">
        <v>47</v>
      </c>
      <c r="M27" s="8">
        <f>M26/M28</f>
        <v>-0.13447073612857069</v>
      </c>
      <c r="N27" s="8">
        <f>N26/N28</f>
        <v>-0.24014031829554547</v>
      </c>
      <c r="R27" s="8">
        <f>R26/R28</f>
        <v>-0.50434736375131051</v>
      </c>
      <c r="AF27" s="1">
        <f>+AF26/AF28</f>
        <v>-1.1243708708768074</v>
      </c>
      <c r="AG27" s="1">
        <f>+AG26/AG28</f>
        <v>-1.5520981128653919</v>
      </c>
    </row>
    <row r="28" spans="2:33" x14ac:dyDescent="0.2">
      <c r="B28" t="s">
        <v>1</v>
      </c>
      <c r="M28" s="7">
        <v>575.93200000000002</v>
      </c>
      <c r="N28" s="7">
        <v>581.53499999999997</v>
      </c>
      <c r="R28" s="7">
        <v>601.85900000000004</v>
      </c>
      <c r="AF28" s="2">
        <v>505.858</v>
      </c>
      <c r="AG28" s="2">
        <v>595.55899999999997</v>
      </c>
    </row>
    <row r="30" spans="2:33" x14ac:dyDescent="0.2">
      <c r="B30" t="s">
        <v>48</v>
      </c>
      <c r="Q30" s="5">
        <f t="shared" ref="Q30" si="2">Q11/M11-1</f>
        <v>1.6435123376317362E-2</v>
      </c>
      <c r="R30" s="5">
        <f>R11/N11-1</f>
        <v>1.798797051175427E-2</v>
      </c>
      <c r="AF30" s="10">
        <f>+AF11/AE11-1</f>
        <v>1.0772942519902369</v>
      </c>
      <c r="AG30" s="10">
        <f>+AG11/AF11-1</f>
        <v>0.15937579623808285</v>
      </c>
    </row>
    <row r="31" spans="2:33" x14ac:dyDescent="0.2">
      <c r="B31" t="s">
        <v>71</v>
      </c>
      <c r="Q31" s="5">
        <f t="shared" ref="Q31" si="3">Q7/M7-1</f>
        <v>0.10015631050760931</v>
      </c>
      <c r="R31" s="5">
        <f>R7/N7-1</f>
        <v>0.16787600828966021</v>
      </c>
      <c r="AF31" s="10"/>
      <c r="AG31" s="10"/>
    </row>
    <row r="32" spans="2:33" x14ac:dyDescent="0.2">
      <c r="B32" t="s">
        <v>26</v>
      </c>
      <c r="G32" s="5">
        <f t="shared" ref="G32:Q32" si="4">+G3/C3-1</f>
        <v>0.49367088607594933</v>
      </c>
      <c r="H32" s="5">
        <f t="shared" si="4"/>
        <v>0.95321637426900563</v>
      </c>
      <c r="I32" s="5">
        <f t="shared" si="4"/>
        <v>0.96739130434782639</v>
      </c>
      <c r="J32" s="5">
        <f t="shared" si="4"/>
        <v>0.94240837696335067</v>
      </c>
      <c r="K32" s="5">
        <f t="shared" si="4"/>
        <v>0.78389830508474567</v>
      </c>
      <c r="L32" s="5">
        <f t="shared" si="4"/>
        <v>0.29341317365269481</v>
      </c>
      <c r="M32" s="5">
        <f t="shared" si="4"/>
        <v>0.30662983425414336</v>
      </c>
      <c r="N32" s="5">
        <f t="shared" si="4"/>
        <v>0.33423180592991919</v>
      </c>
      <c r="O32" s="5">
        <f t="shared" si="4"/>
        <v>0.28503562945368177</v>
      </c>
      <c r="P32" s="5">
        <f t="shared" si="4"/>
        <v>0.20833333333333326</v>
      </c>
      <c r="Q32" s="5">
        <f t="shared" si="4"/>
        <v>0.24312896405919671</v>
      </c>
      <c r="R32" s="5">
        <f>+R3/N3-1</f>
        <v>0.18787878787878776</v>
      </c>
      <c r="S32" s="5"/>
      <c r="T32" s="5"/>
      <c r="U32" s="5"/>
      <c r="AF32" s="10">
        <f>AF3/AE3-1</f>
        <v>0.33423180592991919</v>
      </c>
      <c r="AG32" s="10">
        <f>AG3/AF3-1</f>
        <v>0.18787878787878776</v>
      </c>
    </row>
    <row r="34" spans="2:33" x14ac:dyDescent="0.2">
      <c r="B34" t="s">
        <v>65</v>
      </c>
      <c r="R34" s="2">
        <f>R35-R50</f>
        <v>1988.4900000000002</v>
      </c>
      <c r="AG34" s="2">
        <f>AG35-AG50</f>
        <v>1988.4900000000002</v>
      </c>
    </row>
    <row r="35" spans="2:33" x14ac:dyDescent="0.2">
      <c r="B35" t="s">
        <v>3</v>
      </c>
      <c r="R35" s="2">
        <v>2977.4740000000002</v>
      </c>
      <c r="AG35" s="2">
        <v>2977.4740000000002</v>
      </c>
    </row>
    <row r="36" spans="2:33" x14ac:dyDescent="0.2">
      <c r="B36" t="s">
        <v>51</v>
      </c>
      <c r="R36" s="2">
        <v>379.35300000000001</v>
      </c>
      <c r="AG36" s="2">
        <v>379.35300000000001</v>
      </c>
    </row>
    <row r="37" spans="2:33" x14ac:dyDescent="0.2">
      <c r="B37" t="s">
        <v>52</v>
      </c>
      <c r="R37" s="2">
        <v>61.640999999999998</v>
      </c>
      <c r="AG37" s="2">
        <v>61.640999999999998</v>
      </c>
    </row>
    <row r="38" spans="2:33" x14ac:dyDescent="0.2">
      <c r="B38" t="s">
        <v>53</v>
      </c>
      <c r="R38" s="2">
        <f>420.136+225.132</f>
        <v>645.26800000000003</v>
      </c>
      <c r="AG38" s="2">
        <f>420.136+225.132</f>
        <v>645.26800000000003</v>
      </c>
    </row>
    <row r="39" spans="2:33" x14ac:dyDescent="0.2">
      <c r="B39" t="s">
        <v>54</v>
      </c>
      <c r="R39" s="2">
        <v>592.346</v>
      </c>
      <c r="AG39" s="2">
        <v>592.346</v>
      </c>
    </row>
    <row r="40" spans="2:33" x14ac:dyDescent="0.2">
      <c r="B40" t="s">
        <v>56</v>
      </c>
      <c r="R40" s="2">
        <v>526.03</v>
      </c>
      <c r="AG40" s="2">
        <v>526.03</v>
      </c>
    </row>
    <row r="41" spans="2:33" x14ac:dyDescent="0.2">
      <c r="B41" t="s">
        <v>55</v>
      </c>
      <c r="R41" s="2">
        <f>54.717+134.335</f>
        <v>189.05200000000002</v>
      </c>
      <c r="AG41" s="2">
        <f>54.717+134.335</f>
        <v>189.05200000000002</v>
      </c>
    </row>
    <row r="42" spans="2:33" x14ac:dyDescent="0.2">
      <c r="B42" t="s">
        <v>57</v>
      </c>
      <c r="R42" s="2">
        <v>4.3230000000000004</v>
      </c>
      <c r="AG42" s="2">
        <v>4.3230000000000004</v>
      </c>
    </row>
    <row r="43" spans="2:33" x14ac:dyDescent="0.2">
      <c r="B43" t="s">
        <v>50</v>
      </c>
      <c r="R43" s="2">
        <f>SUM(R35:R42)</f>
        <v>5375.4870000000001</v>
      </c>
      <c r="AG43" s="2">
        <f>SUM(AG35:AG42)</f>
        <v>5375.4870000000001</v>
      </c>
    </row>
    <row r="44" spans="2:33" x14ac:dyDescent="0.2">
      <c r="R44"/>
    </row>
    <row r="45" spans="2:33" x14ac:dyDescent="0.2">
      <c r="B45" t="s">
        <v>58</v>
      </c>
      <c r="R45" s="2">
        <v>71.182000000000002</v>
      </c>
      <c r="AG45" s="2">
        <v>71.182000000000002</v>
      </c>
    </row>
    <row r="46" spans="2:33" x14ac:dyDescent="0.2">
      <c r="B46" t="s">
        <v>59</v>
      </c>
      <c r="R46" s="2">
        <v>236.006</v>
      </c>
      <c r="AG46" s="2">
        <v>236.006</v>
      </c>
    </row>
    <row r="47" spans="2:33" x14ac:dyDescent="0.2">
      <c r="B47" t="s">
        <v>36</v>
      </c>
      <c r="R47" s="2">
        <v>231.70400000000001</v>
      </c>
      <c r="AG47" s="2">
        <v>231.70400000000001</v>
      </c>
    </row>
    <row r="48" spans="2:33" x14ac:dyDescent="0.2">
      <c r="B48" t="s">
        <v>60</v>
      </c>
      <c r="R48" s="2">
        <f>1941.943+1095.291</f>
        <v>3037.2339999999999</v>
      </c>
      <c r="AG48" s="2">
        <f>1941.943+1095.291</f>
        <v>3037.2339999999999</v>
      </c>
    </row>
    <row r="49" spans="2:33" x14ac:dyDescent="0.2">
      <c r="B49" t="s">
        <v>61</v>
      </c>
      <c r="R49" s="2">
        <v>494.59</v>
      </c>
      <c r="AG49" s="2">
        <v>494.59</v>
      </c>
    </row>
    <row r="50" spans="2:33" x14ac:dyDescent="0.2">
      <c r="B50" t="s">
        <v>4</v>
      </c>
      <c r="R50" s="2">
        <v>988.98400000000004</v>
      </c>
      <c r="AG50" s="2">
        <v>988.98400000000004</v>
      </c>
    </row>
    <row r="51" spans="2:33" x14ac:dyDescent="0.2">
      <c r="B51" t="s">
        <v>62</v>
      </c>
      <c r="R51" s="2">
        <v>10.752000000000001</v>
      </c>
      <c r="AG51" s="2">
        <v>10.752000000000001</v>
      </c>
    </row>
    <row r="52" spans="2:33" x14ac:dyDescent="0.2">
      <c r="B52" t="s">
        <v>63</v>
      </c>
      <c r="R52" s="2">
        <v>305.03500000000003</v>
      </c>
      <c r="AG52" s="2">
        <v>305.03500000000003</v>
      </c>
    </row>
    <row r="53" spans="2:33" x14ac:dyDescent="0.2">
      <c r="B53" t="s">
        <v>64</v>
      </c>
      <c r="R53" s="2">
        <f>SUM(R45:R52)</f>
        <v>5375.487000000001</v>
      </c>
      <c r="AG53" s="2">
        <f>SUM(AG45:AG52)</f>
        <v>5375.487000000001</v>
      </c>
    </row>
    <row r="54" spans="2:33" x14ac:dyDescent="0.2">
      <c r="R54"/>
    </row>
    <row r="55" spans="2:33" x14ac:dyDescent="0.2">
      <c r="B55" t="s">
        <v>66</v>
      </c>
      <c r="R55" s="2">
        <v>369.29599999999999</v>
      </c>
      <c r="AE55" s="2">
        <v>524.34</v>
      </c>
      <c r="AF55" s="2">
        <v>659.10900000000004</v>
      </c>
      <c r="AG55" s="2">
        <v>369.29599999999999</v>
      </c>
    </row>
  </sheetData>
  <hyperlinks>
    <hyperlink ref="A1" location="Main!A1" display="Main" xr:uid="{DD6A30B0-9533-4FBD-B01E-5A5763B1296C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2023-03-02T17:06:21Z</dcterms:created>
  <dcterms:modified xsi:type="dcterms:W3CDTF">2023-03-02T18:42:43Z</dcterms:modified>
</cp:coreProperties>
</file>