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D368ABB-B778-4387-A413-DE1F5FDD7A8B}" xr6:coauthVersionLast="47" xr6:coauthVersionMax="47" xr10:uidLastSave="{00000000-0000-0000-0000-000000000000}"/>
  <bookViews>
    <workbookView xWindow="-27825" yWindow="1110" windowWidth="25905" windowHeight="18960" activeTab="1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7" i="2" l="1"/>
  <c r="AD101" i="2"/>
  <c r="AE37" i="2"/>
  <c r="AD37" i="2"/>
  <c r="AI37" i="2"/>
  <c r="AH37" i="2"/>
  <c r="AG37" i="2"/>
  <c r="AF37" i="2"/>
  <c r="AL37" i="2"/>
  <c r="AK37" i="2"/>
  <c r="AJ37" i="2"/>
  <c r="AQ37" i="2"/>
  <c r="AP37" i="2"/>
  <c r="AO37" i="2"/>
  <c r="AN37" i="2"/>
  <c r="AM37" i="2"/>
  <c r="V16" i="2"/>
  <c r="U16" i="2"/>
  <c r="T16" i="2"/>
  <c r="W15" i="2"/>
  <c r="V15" i="2"/>
  <c r="U15" i="2"/>
  <c r="T15" i="2"/>
  <c r="W14" i="2"/>
  <c r="V14" i="2"/>
  <c r="U14" i="2"/>
  <c r="T14" i="2"/>
  <c r="V12" i="2"/>
  <c r="U12" i="2"/>
  <c r="T12" i="2"/>
  <c r="U10" i="2"/>
  <c r="T10" i="2"/>
  <c r="S27" i="2"/>
  <c r="S26" i="2"/>
  <c r="S25" i="2"/>
  <c r="S17" i="2"/>
  <c r="BA17" i="2" s="1"/>
  <c r="S16" i="2"/>
  <c r="W16" i="2" s="1"/>
  <c r="S15" i="2"/>
  <c r="BA15" i="2" s="1"/>
  <c r="S14" i="2"/>
  <c r="BA14" i="2" s="1"/>
  <c r="S13" i="2"/>
  <c r="BA13" i="2" s="1"/>
  <c r="S12" i="2"/>
  <c r="W12" i="2" s="1"/>
  <c r="S10" i="2"/>
  <c r="W10" i="2" s="1"/>
  <c r="R83" i="2"/>
  <c r="R84" i="2" s="1"/>
  <c r="R79" i="2"/>
  <c r="R80" i="2" s="1"/>
  <c r="R73" i="2"/>
  <c r="R74" i="2" s="1"/>
  <c r="R94" i="2" s="1"/>
  <c r="R64" i="2"/>
  <c r="R48" i="2"/>
  <c r="R55" i="2" s="1"/>
  <c r="R32" i="2"/>
  <c r="R30" i="2"/>
  <c r="R28" i="2"/>
  <c r="R21" i="2"/>
  <c r="R24" i="2" s="1"/>
  <c r="R29" i="2" s="1"/>
  <c r="Q21" i="2"/>
  <c r="K39" i="2"/>
  <c r="J39" i="2"/>
  <c r="I39" i="2"/>
  <c r="H39" i="2"/>
  <c r="K38" i="2"/>
  <c r="J38" i="2"/>
  <c r="I38" i="2"/>
  <c r="H38" i="2"/>
  <c r="R39" i="2"/>
  <c r="Q39" i="2"/>
  <c r="P39" i="2"/>
  <c r="O39" i="2"/>
  <c r="N39" i="2"/>
  <c r="M39" i="2"/>
  <c r="L39" i="2"/>
  <c r="P38" i="2"/>
  <c r="O38" i="2"/>
  <c r="N38" i="2"/>
  <c r="M38" i="2"/>
  <c r="L38" i="2"/>
  <c r="R38" i="2"/>
  <c r="Q38" i="2"/>
  <c r="Q83" i="2"/>
  <c r="Q84" i="2" s="1"/>
  <c r="Q79" i="2"/>
  <c r="Q80" i="2" s="1"/>
  <c r="Q73" i="2"/>
  <c r="Q74" i="2" s="1"/>
  <c r="Q94" i="2" s="1"/>
  <c r="P83" i="2"/>
  <c r="P84" i="2" s="1"/>
  <c r="P79" i="2"/>
  <c r="P80" i="2" s="1"/>
  <c r="P73" i="2"/>
  <c r="P74" i="2" s="1"/>
  <c r="P94" i="2" s="1"/>
  <c r="Q64" i="2"/>
  <c r="Q48" i="2"/>
  <c r="Q55" i="2" s="1"/>
  <c r="R47" i="2" l="1"/>
  <c r="S22" i="2"/>
  <c r="BA12" i="2"/>
  <c r="Q47" i="2"/>
  <c r="S23" i="2"/>
  <c r="R86" i="2"/>
  <c r="BA16" i="2"/>
  <c r="P86" i="2"/>
  <c r="R45" i="2"/>
  <c r="Q86" i="2"/>
  <c r="Q44" i="2"/>
  <c r="BA35" i="2"/>
  <c r="Q30" i="2"/>
  <c r="BB30" i="2"/>
  <c r="P64" i="2"/>
  <c r="P48" i="2"/>
  <c r="P47" i="2" s="1"/>
  <c r="S35" i="2"/>
  <c r="T35" i="2" s="1"/>
  <c r="U35" i="2" s="1"/>
  <c r="V35" i="2" s="1"/>
  <c r="W35" i="2" s="1"/>
  <c r="Q28" i="2"/>
  <c r="T27" i="2"/>
  <c r="W27" i="2"/>
  <c r="U27" i="2"/>
  <c r="U26" i="2"/>
  <c r="T26" i="2"/>
  <c r="W26" i="2"/>
  <c r="V26" i="2"/>
  <c r="U25" i="2"/>
  <c r="T25" i="2"/>
  <c r="W25" i="2"/>
  <c r="Q43" i="2"/>
  <c r="Q42" i="2"/>
  <c r="U17" i="2"/>
  <c r="T17" i="2"/>
  <c r="W17" i="2"/>
  <c r="V17" i="2"/>
  <c r="T43" i="2"/>
  <c r="W43" i="2"/>
  <c r="V43" i="2"/>
  <c r="U43" i="2"/>
  <c r="U42" i="2"/>
  <c r="T42" i="2"/>
  <c r="W42" i="2"/>
  <c r="V42" i="2"/>
  <c r="O43" i="2"/>
  <c r="N43" i="2"/>
  <c r="M43" i="2"/>
  <c r="L43" i="2"/>
  <c r="K43" i="2"/>
  <c r="J43" i="2"/>
  <c r="I43" i="2"/>
  <c r="H43" i="2"/>
  <c r="G43" i="2"/>
  <c r="O42" i="2"/>
  <c r="N42" i="2"/>
  <c r="M42" i="2"/>
  <c r="L42" i="2"/>
  <c r="K42" i="2"/>
  <c r="J42" i="2"/>
  <c r="I42" i="2"/>
  <c r="H42" i="2"/>
  <c r="G42" i="2"/>
  <c r="P42" i="2"/>
  <c r="P43" i="2"/>
  <c r="U41" i="2"/>
  <c r="T41" i="2"/>
  <c r="W41" i="2"/>
  <c r="V41" i="2"/>
  <c r="Q41" i="2"/>
  <c r="Q40" i="2"/>
  <c r="O41" i="2"/>
  <c r="N41" i="2"/>
  <c r="M41" i="2"/>
  <c r="L41" i="2"/>
  <c r="K41" i="2"/>
  <c r="J41" i="2"/>
  <c r="I41" i="2"/>
  <c r="H41" i="2"/>
  <c r="G41" i="2"/>
  <c r="P41" i="2"/>
  <c r="U13" i="2"/>
  <c r="T13" i="2"/>
  <c r="W13" i="2"/>
  <c r="V13" i="2"/>
  <c r="T40" i="2"/>
  <c r="W40" i="2"/>
  <c r="V40" i="2"/>
  <c r="J40" i="2"/>
  <c r="I40" i="2"/>
  <c r="H40" i="2"/>
  <c r="G40" i="2"/>
  <c r="O40" i="2"/>
  <c r="N40" i="2"/>
  <c r="M40" i="2"/>
  <c r="L40" i="2"/>
  <c r="K40" i="2"/>
  <c r="P40" i="2"/>
  <c r="U44" i="2"/>
  <c r="W44" i="2"/>
  <c r="R10" i="2"/>
  <c r="AU32" i="2"/>
  <c r="AU30" i="2"/>
  <c r="AV44" i="2"/>
  <c r="AU44" i="2"/>
  <c r="AT44" i="2"/>
  <c r="AT32" i="2"/>
  <c r="AT30" i="2"/>
  <c r="AS32" i="2"/>
  <c r="AS30" i="2"/>
  <c r="AU28" i="2"/>
  <c r="AT28" i="2"/>
  <c r="AS28" i="2"/>
  <c r="AU21" i="2"/>
  <c r="AU24" i="2" s="1"/>
  <c r="AU45" i="2" s="1"/>
  <c r="AT21" i="2"/>
  <c r="AT24" i="2" s="1"/>
  <c r="AT45" i="2" s="1"/>
  <c r="AS21" i="2"/>
  <c r="AS24" i="2" s="1"/>
  <c r="AS45" i="2" s="1"/>
  <c r="AR37" i="2"/>
  <c r="AW16" i="2"/>
  <c r="AW15" i="2"/>
  <c r="AW14" i="2"/>
  <c r="AW13" i="2"/>
  <c r="AW12" i="2"/>
  <c r="AW44" i="2"/>
  <c r="AV32" i="2"/>
  <c r="AV30" i="2"/>
  <c r="AV28" i="2"/>
  <c r="AV21" i="2"/>
  <c r="AV24" i="2" s="1"/>
  <c r="AW32" i="2"/>
  <c r="AW30" i="2"/>
  <c r="AX35" i="2"/>
  <c r="AX27" i="2"/>
  <c r="AX26" i="2"/>
  <c r="AX25" i="2"/>
  <c r="AX23" i="2"/>
  <c r="AX22" i="2"/>
  <c r="AW28" i="2"/>
  <c r="AW21" i="2"/>
  <c r="AW24" i="2" s="1"/>
  <c r="AW45" i="2" s="1"/>
  <c r="AX20" i="2"/>
  <c r="AX19" i="2"/>
  <c r="AX17" i="2"/>
  <c r="AX16" i="2"/>
  <c r="AX15" i="2"/>
  <c r="AX14" i="2"/>
  <c r="AX13" i="2"/>
  <c r="AX12" i="2"/>
  <c r="AX10" i="2"/>
  <c r="AX44" i="2" s="1"/>
  <c r="AX7" i="2"/>
  <c r="AX4" i="2"/>
  <c r="AY35" i="2"/>
  <c r="AY27" i="2"/>
  <c r="AY26" i="2"/>
  <c r="AY25" i="2"/>
  <c r="AY23" i="2"/>
  <c r="AY22" i="2"/>
  <c r="AY7" i="2"/>
  <c r="AY4" i="2"/>
  <c r="AY10" i="2"/>
  <c r="AY17" i="2"/>
  <c r="AY16" i="2"/>
  <c r="AY15" i="2"/>
  <c r="AY14" i="2"/>
  <c r="AY13" i="2"/>
  <c r="AY12" i="2"/>
  <c r="AY20" i="2"/>
  <c r="AY19" i="2"/>
  <c r="AZ35" i="2"/>
  <c r="AZ27" i="2"/>
  <c r="AZ26" i="2"/>
  <c r="AZ25" i="2"/>
  <c r="AZ23" i="2"/>
  <c r="AZ22" i="2"/>
  <c r="AZ20" i="2"/>
  <c r="AZ19" i="2"/>
  <c r="AZ17" i="2"/>
  <c r="AZ16" i="2"/>
  <c r="AZ15" i="2"/>
  <c r="AZ14" i="2"/>
  <c r="AZ13" i="2"/>
  <c r="AZ12" i="2"/>
  <c r="AZ10" i="2"/>
  <c r="AZ7" i="2"/>
  <c r="AZ4" i="2"/>
  <c r="AF3" i="2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E32" i="2"/>
  <c r="E30" i="2"/>
  <c r="E28" i="2"/>
  <c r="E21" i="2"/>
  <c r="E24" i="2" s="1"/>
  <c r="G44" i="2"/>
  <c r="C32" i="2"/>
  <c r="C30" i="2"/>
  <c r="C28" i="2"/>
  <c r="C21" i="2"/>
  <c r="C24" i="2" s="1"/>
  <c r="C45" i="2" s="1"/>
  <c r="G32" i="2"/>
  <c r="G30" i="2"/>
  <c r="G28" i="2"/>
  <c r="G21" i="2"/>
  <c r="G24" i="2" s="1"/>
  <c r="J44" i="2"/>
  <c r="I44" i="2"/>
  <c r="H44" i="2"/>
  <c r="K44" i="2"/>
  <c r="D32" i="2"/>
  <c r="D30" i="2"/>
  <c r="D28" i="2"/>
  <c r="D21" i="2"/>
  <c r="D24" i="2" s="1"/>
  <c r="D45" i="2" s="1"/>
  <c r="L44" i="2"/>
  <c r="H32" i="2"/>
  <c r="H30" i="2"/>
  <c r="H28" i="2"/>
  <c r="H21" i="2"/>
  <c r="H24" i="2" s="1"/>
  <c r="F32" i="2"/>
  <c r="F30" i="2"/>
  <c r="F28" i="2"/>
  <c r="F21" i="2"/>
  <c r="F24" i="2" s="1"/>
  <c r="M44" i="2"/>
  <c r="N44" i="2"/>
  <c r="I32" i="2"/>
  <c r="I30" i="2"/>
  <c r="I28" i="2"/>
  <c r="I21" i="2"/>
  <c r="I24" i="2" s="1"/>
  <c r="M32" i="2"/>
  <c r="M30" i="2"/>
  <c r="O44" i="2"/>
  <c r="K32" i="2"/>
  <c r="K30" i="2"/>
  <c r="K28" i="2"/>
  <c r="O32" i="2"/>
  <c r="O30" i="2"/>
  <c r="J32" i="2"/>
  <c r="J30" i="2"/>
  <c r="J28" i="2"/>
  <c r="N32" i="2"/>
  <c r="N30" i="2"/>
  <c r="P44" i="2"/>
  <c r="P32" i="2"/>
  <c r="L32" i="2"/>
  <c r="P30" i="2"/>
  <c r="L30" i="2"/>
  <c r="P28" i="2"/>
  <c r="O28" i="2"/>
  <c r="N28" i="2"/>
  <c r="M28" i="2"/>
  <c r="L28" i="2"/>
  <c r="O21" i="2"/>
  <c r="O24" i="2" s="1"/>
  <c r="N21" i="2"/>
  <c r="M21" i="2"/>
  <c r="M24" i="2" s="1"/>
  <c r="L21" i="2"/>
  <c r="L24" i="2" s="1"/>
  <c r="K21" i="2"/>
  <c r="K24" i="2" s="1"/>
  <c r="K45" i="2" s="1"/>
  <c r="J21" i="2"/>
  <c r="J24" i="2" s="1"/>
  <c r="J45" i="2" s="1"/>
  <c r="P21" i="2"/>
  <c r="P24" i="2" s="1"/>
  <c r="K4" i="1"/>
  <c r="K7" i="1" s="1"/>
  <c r="N24" i="2" l="1"/>
  <c r="R37" i="2"/>
  <c r="BA10" i="2"/>
  <c r="BA21" i="2" s="1"/>
  <c r="V10" i="2"/>
  <c r="BB10" i="2" s="1"/>
  <c r="R44" i="2"/>
  <c r="BA30" i="2"/>
  <c r="V25" i="2"/>
  <c r="AS29" i="2"/>
  <c r="AS31" i="2" s="1"/>
  <c r="AS33" i="2" s="1"/>
  <c r="AS34" i="2" s="1"/>
  <c r="BB15" i="2"/>
  <c r="BC15" i="2" s="1"/>
  <c r="BB14" i="2"/>
  <c r="BC14" i="2" s="1"/>
  <c r="BD14" i="2" s="1"/>
  <c r="AT29" i="2"/>
  <c r="AT31" i="2" s="1"/>
  <c r="AT33" i="2" s="1"/>
  <c r="AT34" i="2" s="1"/>
  <c r="BC10" i="2"/>
  <c r="BC44" i="2" s="1"/>
  <c r="T22" i="2"/>
  <c r="S44" i="2"/>
  <c r="W28" i="2"/>
  <c r="T44" i="2"/>
  <c r="Q37" i="2"/>
  <c r="V22" i="2"/>
  <c r="T28" i="2"/>
  <c r="W22" i="2"/>
  <c r="U28" i="2"/>
  <c r="BB26" i="2"/>
  <c r="BC26" i="2" s="1"/>
  <c r="BD26" i="2" s="1"/>
  <c r="BE26" i="2" s="1"/>
  <c r="BF26" i="2" s="1"/>
  <c r="BG26" i="2" s="1"/>
  <c r="BH26" i="2" s="1"/>
  <c r="BI26" i="2" s="1"/>
  <c r="BA22" i="2"/>
  <c r="T23" i="2"/>
  <c r="W23" i="2"/>
  <c r="BB17" i="2"/>
  <c r="BC17" i="2" s="1"/>
  <c r="BD17" i="2" s="1"/>
  <c r="BE17" i="2" s="1"/>
  <c r="BF17" i="2" s="1"/>
  <c r="BG17" i="2" s="1"/>
  <c r="BH17" i="2" s="1"/>
  <c r="BI17" i="2" s="1"/>
  <c r="BA27" i="2"/>
  <c r="R42" i="2"/>
  <c r="U22" i="2"/>
  <c r="S42" i="2"/>
  <c r="V23" i="2"/>
  <c r="BA40" i="2"/>
  <c r="U23" i="2"/>
  <c r="BA41" i="2"/>
  <c r="BA23" i="2"/>
  <c r="R43" i="2"/>
  <c r="R41" i="2"/>
  <c r="S41" i="2"/>
  <c r="BA42" i="2"/>
  <c r="R40" i="2"/>
  <c r="V21" i="2"/>
  <c r="W21" i="2"/>
  <c r="BA43" i="2"/>
  <c r="BB13" i="2"/>
  <c r="BC13" i="2" s="1"/>
  <c r="BD13" i="2" s="1"/>
  <c r="BE13" i="2" s="1"/>
  <c r="BF13" i="2" s="1"/>
  <c r="BG13" i="2" s="1"/>
  <c r="BH13" i="2" s="1"/>
  <c r="BI13" i="2" s="1"/>
  <c r="P55" i="2"/>
  <c r="BA25" i="2"/>
  <c r="S28" i="2"/>
  <c r="S43" i="2"/>
  <c r="AU29" i="2"/>
  <c r="AU31" i="2" s="1"/>
  <c r="AU33" i="2" s="1"/>
  <c r="AU34" i="2" s="1"/>
  <c r="S21" i="2"/>
  <c r="S24" i="2" s="1"/>
  <c r="T21" i="2"/>
  <c r="BB16" i="2"/>
  <c r="BB43" i="2" s="1"/>
  <c r="S40" i="2"/>
  <c r="V27" i="2"/>
  <c r="BB27" i="2" s="1"/>
  <c r="BC27" i="2" s="1"/>
  <c r="BD27" i="2" s="1"/>
  <c r="BE27" i="2" s="1"/>
  <c r="BF27" i="2" s="1"/>
  <c r="BG27" i="2" s="1"/>
  <c r="BH27" i="2" s="1"/>
  <c r="BI27" i="2" s="1"/>
  <c r="BA26" i="2"/>
  <c r="BB25" i="2"/>
  <c r="BC25" i="2" s="1"/>
  <c r="BD25" i="2" s="1"/>
  <c r="BE25" i="2" s="1"/>
  <c r="BF25" i="2" s="1"/>
  <c r="V28" i="2"/>
  <c r="U21" i="2"/>
  <c r="U37" i="2" s="1"/>
  <c r="U40" i="2"/>
  <c r="BB12" i="2"/>
  <c r="BB35" i="2"/>
  <c r="BC35" i="2" s="1"/>
  <c r="BD35" i="2" s="1"/>
  <c r="BE35" i="2" s="1"/>
  <c r="BF35" i="2" s="1"/>
  <c r="BG35" i="2" s="1"/>
  <c r="BH35" i="2" s="1"/>
  <c r="BI35" i="2" s="1"/>
  <c r="Q24" i="2"/>
  <c r="Q45" i="2" s="1"/>
  <c r="AY43" i="2"/>
  <c r="AX40" i="2"/>
  <c r="AY41" i="2"/>
  <c r="AX42" i="2"/>
  <c r="AT37" i="2"/>
  <c r="AZ43" i="2"/>
  <c r="AZ42" i="2"/>
  <c r="AZ21" i="2"/>
  <c r="AZ24" i="2" s="1"/>
  <c r="AZ45" i="2" s="1"/>
  <c r="AU37" i="2"/>
  <c r="AY42" i="2"/>
  <c r="AX43" i="2"/>
  <c r="AY21" i="2"/>
  <c r="AY24" i="2" s="1"/>
  <c r="AY45" i="2" s="1"/>
  <c r="AX41" i="2"/>
  <c r="AZ40" i="2"/>
  <c r="AV37" i="2"/>
  <c r="AZ41" i="2"/>
  <c r="AS37" i="2"/>
  <c r="AX28" i="2"/>
  <c r="AY40" i="2"/>
  <c r="AY30" i="2"/>
  <c r="AZ44" i="2"/>
  <c r="AZ28" i="2"/>
  <c r="AY32" i="2"/>
  <c r="AY44" i="2"/>
  <c r="AX21" i="2"/>
  <c r="AX24" i="2" s="1"/>
  <c r="AX45" i="2" s="1"/>
  <c r="AX30" i="2"/>
  <c r="AX32" i="2"/>
  <c r="AZ30" i="2"/>
  <c r="AZ32" i="2"/>
  <c r="AY28" i="2"/>
  <c r="I37" i="2"/>
  <c r="H37" i="2"/>
  <c r="G37" i="2"/>
  <c r="AW37" i="2"/>
  <c r="AV29" i="2"/>
  <c r="AV31" i="2" s="1"/>
  <c r="AV33" i="2" s="1"/>
  <c r="AV34" i="2" s="1"/>
  <c r="AV45" i="2"/>
  <c r="AW29" i="2"/>
  <c r="AW31" i="2" s="1"/>
  <c r="AW33" i="2" s="1"/>
  <c r="AW34" i="2" s="1"/>
  <c r="E45" i="2"/>
  <c r="E29" i="2"/>
  <c r="E31" i="2" s="1"/>
  <c r="E33" i="2" s="1"/>
  <c r="E34" i="2" s="1"/>
  <c r="J37" i="2"/>
  <c r="C29" i="2"/>
  <c r="C31" i="2" s="1"/>
  <c r="C33" i="2" s="1"/>
  <c r="C34" i="2" s="1"/>
  <c r="G29" i="2"/>
  <c r="G31" i="2" s="1"/>
  <c r="G33" i="2" s="1"/>
  <c r="G34" i="2" s="1"/>
  <c r="G45" i="2"/>
  <c r="F29" i="2"/>
  <c r="F31" i="2" s="1"/>
  <c r="F33" i="2" s="1"/>
  <c r="F34" i="2" s="1"/>
  <c r="K37" i="2"/>
  <c r="D29" i="2"/>
  <c r="D31" i="2" s="1"/>
  <c r="D33" i="2" s="1"/>
  <c r="D34" i="2" s="1"/>
  <c r="F45" i="2"/>
  <c r="L37" i="2"/>
  <c r="H29" i="2"/>
  <c r="H31" i="2" s="1"/>
  <c r="H33" i="2" s="1"/>
  <c r="H34" i="2" s="1"/>
  <c r="H45" i="2"/>
  <c r="N37" i="2"/>
  <c r="M37" i="2"/>
  <c r="I29" i="2"/>
  <c r="I31" i="2" s="1"/>
  <c r="I33" i="2" s="1"/>
  <c r="I34" i="2" s="1"/>
  <c r="O37" i="2"/>
  <c r="I45" i="2"/>
  <c r="J29" i="2"/>
  <c r="J31" i="2" s="1"/>
  <c r="J33" i="2" s="1"/>
  <c r="J34" i="2" s="1"/>
  <c r="K29" i="2"/>
  <c r="K31" i="2" s="1"/>
  <c r="K33" i="2" s="1"/>
  <c r="K34" i="2" s="1"/>
  <c r="P37" i="2"/>
  <c r="P45" i="2"/>
  <c r="P29" i="2"/>
  <c r="P31" i="2" s="1"/>
  <c r="P33" i="2" s="1"/>
  <c r="L29" i="2"/>
  <c r="L31" i="2" s="1"/>
  <c r="L33" i="2" s="1"/>
  <c r="L34" i="2" s="1"/>
  <c r="L45" i="2"/>
  <c r="M45" i="2"/>
  <c r="M29" i="2"/>
  <c r="N29" i="2"/>
  <c r="N45" i="2"/>
  <c r="O29" i="2"/>
  <c r="O45" i="2"/>
  <c r="V44" i="2" l="1"/>
  <c r="BA44" i="2"/>
  <c r="BC41" i="2"/>
  <c r="BB42" i="2"/>
  <c r="P34" i="2"/>
  <c r="P66" i="2"/>
  <c r="BB22" i="2"/>
  <c r="BB44" i="2"/>
  <c r="BC28" i="2"/>
  <c r="BB28" i="2"/>
  <c r="BB23" i="2"/>
  <c r="BA37" i="2"/>
  <c r="BB41" i="2"/>
  <c r="T24" i="2"/>
  <c r="T37" i="2"/>
  <c r="V24" i="2"/>
  <c r="V45" i="2" s="1"/>
  <c r="V37" i="2"/>
  <c r="S37" i="2"/>
  <c r="BC16" i="2"/>
  <c r="BC43" i="2" s="1"/>
  <c r="AZ29" i="2"/>
  <c r="AZ31" i="2" s="1"/>
  <c r="AZ33" i="2" s="1"/>
  <c r="AZ34" i="2" s="1"/>
  <c r="BA28" i="2"/>
  <c r="BD10" i="2"/>
  <c r="BE10" i="2" s="1"/>
  <c r="W24" i="2"/>
  <c r="W37" i="2"/>
  <c r="Q29" i="2"/>
  <c r="Q31" i="2" s="1"/>
  <c r="BD15" i="2"/>
  <c r="BC42" i="2"/>
  <c r="BE14" i="2"/>
  <c r="BD41" i="2"/>
  <c r="BC12" i="2"/>
  <c r="BB40" i="2"/>
  <c r="BB21" i="2"/>
  <c r="BB37" i="2" s="1"/>
  <c r="U24" i="2"/>
  <c r="BD28" i="2"/>
  <c r="BF28" i="2"/>
  <c r="BG25" i="2"/>
  <c r="BE28" i="2"/>
  <c r="AZ37" i="2"/>
  <c r="AX37" i="2"/>
  <c r="AY37" i="2"/>
  <c r="AY29" i="2"/>
  <c r="AY31" i="2" s="1"/>
  <c r="AY33" i="2" s="1"/>
  <c r="AY34" i="2" s="1"/>
  <c r="AX29" i="2"/>
  <c r="AX31" i="2" s="1"/>
  <c r="AX33" i="2" s="1"/>
  <c r="AX34" i="2" s="1"/>
  <c r="O31" i="2"/>
  <c r="O33" i="2" s="1"/>
  <c r="O34" i="2" s="1"/>
  <c r="N31" i="2"/>
  <c r="N33" i="2" s="1"/>
  <c r="N34" i="2" s="1"/>
  <c r="M31" i="2"/>
  <c r="M33" i="2" s="1"/>
  <c r="M34" i="2" s="1"/>
  <c r="BA24" i="2" l="1"/>
  <c r="BA45" i="2" s="1"/>
  <c r="BD16" i="2"/>
  <c r="BE16" i="2" s="1"/>
  <c r="V29" i="2"/>
  <c r="V31" i="2" s="1"/>
  <c r="V32" i="2" s="1"/>
  <c r="R31" i="2"/>
  <c r="R33" i="2" s="1"/>
  <c r="W45" i="2"/>
  <c r="W29" i="2"/>
  <c r="W31" i="2" s="1"/>
  <c r="BD44" i="2"/>
  <c r="S45" i="2"/>
  <c r="S29" i="2"/>
  <c r="S31" i="2" s="1"/>
  <c r="S32" i="2" s="1"/>
  <c r="S33" i="2" s="1"/>
  <c r="S34" i="2" s="1"/>
  <c r="T45" i="2"/>
  <c r="T29" i="2"/>
  <c r="T31" i="2" s="1"/>
  <c r="T32" i="2" s="1"/>
  <c r="T33" i="2" s="1"/>
  <c r="T34" i="2" s="1"/>
  <c r="BB24" i="2"/>
  <c r="BB45" i="2" s="1"/>
  <c r="BE15" i="2"/>
  <c r="BD42" i="2"/>
  <c r="BF14" i="2"/>
  <c r="BE41" i="2"/>
  <c r="U45" i="2"/>
  <c r="U29" i="2"/>
  <c r="U31" i="2" s="1"/>
  <c r="U32" i="2" s="1"/>
  <c r="BD12" i="2"/>
  <c r="BC40" i="2"/>
  <c r="BC23" i="2"/>
  <c r="BC22" i="2"/>
  <c r="BC21" i="2"/>
  <c r="BF10" i="2"/>
  <c r="BE44" i="2"/>
  <c r="Q33" i="2"/>
  <c r="BH25" i="2"/>
  <c r="BG28" i="2"/>
  <c r="R34" i="2" l="1"/>
  <c r="R66" i="2"/>
  <c r="BA29" i="2"/>
  <c r="BA31" i="2" s="1"/>
  <c r="V33" i="2"/>
  <c r="V34" i="2" s="1"/>
  <c r="BD43" i="2"/>
  <c r="BA32" i="2"/>
  <c r="Q34" i="2"/>
  <c r="Q66" i="2"/>
  <c r="W32" i="2"/>
  <c r="BB32" i="2" s="1"/>
  <c r="BF16" i="2"/>
  <c r="BE43" i="2"/>
  <c r="U33" i="2"/>
  <c r="U34" i="2" s="1"/>
  <c r="BB29" i="2"/>
  <c r="BB31" i="2" s="1"/>
  <c r="BF15" i="2"/>
  <c r="BE42" i="2"/>
  <c r="BG14" i="2"/>
  <c r="BF41" i="2"/>
  <c r="BC37" i="2"/>
  <c r="BC24" i="2"/>
  <c r="BE12" i="2"/>
  <c r="BD40" i="2"/>
  <c r="BD23" i="2"/>
  <c r="BD21" i="2"/>
  <c r="BD22" i="2"/>
  <c r="BG10" i="2"/>
  <c r="BF44" i="2"/>
  <c r="S47" i="2"/>
  <c r="BA47" i="2" s="1"/>
  <c r="BI25" i="2"/>
  <c r="BI28" i="2" s="1"/>
  <c r="BH28" i="2"/>
  <c r="BA33" i="2" l="1"/>
  <c r="BA34" i="2" s="1"/>
  <c r="W33" i="2"/>
  <c r="W34" i="2" s="1"/>
  <c r="BB33" i="2"/>
  <c r="BB34" i="2" s="1"/>
  <c r="T47" i="2"/>
  <c r="U47" i="2" s="1"/>
  <c r="V47" i="2" s="1"/>
  <c r="BG16" i="2"/>
  <c r="BF43" i="2"/>
  <c r="BG15" i="2"/>
  <c r="BF42" i="2"/>
  <c r="BH14" i="2"/>
  <c r="BG41" i="2"/>
  <c r="BD24" i="2"/>
  <c r="BD37" i="2"/>
  <c r="BF12" i="2"/>
  <c r="BE40" i="2"/>
  <c r="BE23" i="2"/>
  <c r="BE21" i="2"/>
  <c r="BE22" i="2"/>
  <c r="BC45" i="2"/>
  <c r="BC29" i="2"/>
  <c r="BH10" i="2"/>
  <c r="BG44" i="2"/>
  <c r="W47" i="2" l="1"/>
  <c r="BB47" i="2" s="1"/>
  <c r="BC30" i="2" s="1"/>
  <c r="BC31" i="2" s="1"/>
  <c r="BC32" i="2" s="1"/>
  <c r="BC33" i="2" s="1"/>
  <c r="BC47" i="2" s="1"/>
  <c r="BD30" i="2" s="1"/>
  <c r="BH16" i="2"/>
  <c r="BG43" i="2"/>
  <c r="BH15" i="2"/>
  <c r="BG42" i="2"/>
  <c r="BI14" i="2"/>
  <c r="BI41" i="2" s="1"/>
  <c r="BH41" i="2"/>
  <c r="BE24" i="2"/>
  <c r="BE37" i="2"/>
  <c r="BG12" i="2"/>
  <c r="BF40" i="2"/>
  <c r="BF23" i="2"/>
  <c r="BF21" i="2"/>
  <c r="BF22" i="2"/>
  <c r="BD45" i="2"/>
  <c r="BD29" i="2"/>
  <c r="BI10" i="2"/>
  <c r="BH44" i="2"/>
  <c r="BC34" i="2" l="1"/>
  <c r="BD31" i="2"/>
  <c r="BD32" i="2" s="1"/>
  <c r="BD33" i="2" s="1"/>
  <c r="BD34" i="2" s="1"/>
  <c r="BI16" i="2"/>
  <c r="BI43" i="2" s="1"/>
  <c r="BH43" i="2"/>
  <c r="BI15" i="2"/>
  <c r="BI42" i="2" s="1"/>
  <c r="BH42" i="2"/>
  <c r="BF37" i="2"/>
  <c r="BF24" i="2"/>
  <c r="BH12" i="2"/>
  <c r="BG40" i="2"/>
  <c r="BG23" i="2"/>
  <c r="BG21" i="2"/>
  <c r="BG22" i="2"/>
  <c r="BE29" i="2"/>
  <c r="BE45" i="2"/>
  <c r="BI44" i="2"/>
  <c r="BD47" i="2" l="1"/>
  <c r="BE30" i="2" s="1"/>
  <c r="BE31" i="2" s="1"/>
  <c r="BE32" i="2" s="1"/>
  <c r="BE33" i="2" s="1"/>
  <c r="BE34" i="2" s="1"/>
  <c r="BG37" i="2"/>
  <c r="BG24" i="2"/>
  <c r="BI12" i="2"/>
  <c r="BH40" i="2"/>
  <c r="BH23" i="2"/>
  <c r="BH22" i="2"/>
  <c r="BH21" i="2"/>
  <c r="BF29" i="2"/>
  <c r="BF45" i="2"/>
  <c r="BH24" i="2" l="1"/>
  <c r="BH37" i="2"/>
  <c r="BI40" i="2"/>
  <c r="BI23" i="2"/>
  <c r="BI22" i="2"/>
  <c r="BI21" i="2"/>
  <c r="BG29" i="2"/>
  <c r="BG45" i="2"/>
  <c r="BE47" i="2"/>
  <c r="BI24" i="2" l="1"/>
  <c r="BI37" i="2"/>
  <c r="BH45" i="2"/>
  <c r="BH29" i="2"/>
  <c r="BF30" i="2"/>
  <c r="BF31" i="2" s="1"/>
  <c r="BF32" i="2" s="1"/>
  <c r="BF33" i="2" s="1"/>
  <c r="BF34" i="2" s="1"/>
  <c r="BI45" i="2" l="1"/>
  <c r="BI29" i="2"/>
  <c r="BF47" i="2"/>
  <c r="BG30" i="2" l="1"/>
  <c r="BG31" i="2" s="1"/>
  <c r="BG32" i="2" s="1"/>
  <c r="BG33" i="2" s="1"/>
  <c r="BG34" i="2" s="1"/>
  <c r="BG47" i="2" l="1"/>
  <c r="BH30" i="2" l="1"/>
  <c r="BH31" i="2" s="1"/>
  <c r="BH32" i="2" s="1"/>
  <c r="BH33" i="2" s="1"/>
  <c r="BH34" i="2" s="1"/>
  <c r="BH47" i="2" l="1"/>
  <c r="BI30" i="2" s="1"/>
  <c r="BI31" i="2" s="1"/>
  <c r="BI32" i="2" s="1"/>
  <c r="BI33" i="2" s="1"/>
  <c r="BI34" i="2" s="1"/>
  <c r="BI47" i="2" l="1"/>
  <c r="BJ33" i="2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X33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O33" i="2" s="1"/>
  <c r="DP33" i="2" s="1"/>
  <c r="DQ33" i="2" s="1"/>
  <c r="DR33" i="2" s="1"/>
  <c r="DS33" i="2" s="1"/>
  <c r="BL48" i="2" s="1"/>
  <c r="BL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tc={89E45B5F-0C20-4B81-874E-AD8DF93707A2}</author>
    <author>tc={9EC27BD9-44A2-48E9-9E13-C02A116B6B0B}</author>
    <author>tc={BC0611F9-311A-4928-9AD6-94F49AE6B822}</author>
    <author>tc={1123E429-DC3C-402F-A940-60A8A504E208}</author>
    <author>tc={7DD33F83-8D06-4AB5-AE42-CC8AE1143AEE}</author>
  </authors>
  <commentList>
    <comment ref="R21" authorId="0" shapeId="0" xr:uid="{89E45B5F-0C20-4B81-874E-AD8DF93707A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125-130B</t>
      </text>
    </comment>
    <comment ref="S21" authorId="1" shapeId="0" xr:uid="{9EC27BD9-44A2-48E9-9E13-C02A116B6B0B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140-148B</t>
      </text>
    </comment>
    <comment ref="R29" authorId="2" shapeId="0" xr:uid="{BC0611F9-311A-4928-9AD6-94F49AE6B82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0.0-3.5B</t>
      </text>
    </comment>
    <comment ref="S29" authorId="3" shapeId="0" xr:uid="{1123E429-DC3C-402F-A940-60A8A504E208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0-4B</t>
      </text>
    </comment>
    <comment ref="R37" authorId="4" shapeId="0" xr:uid="{7DD33F83-8D06-4AB5-AE42-CC8AE1143AEE}">
      <text>
        <t>[Threaded comment]
Your version of Excel allows you to read this threaded comment; however, any edits to it will get removed if the file is opened in a newer version of Excel. Learn more: https://go.microsoft.com/fwlink/?linkid=870924
Comment:
    +19% net of FX</t>
      </text>
    </comment>
  </commentList>
</comments>
</file>

<file path=xl/sharedStrings.xml><?xml version="1.0" encoding="utf-8"?>
<sst xmlns="http://schemas.openxmlformats.org/spreadsheetml/2006/main" count="120" uniqueCount="107">
  <si>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</si>
  <si>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</si>
  <si>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</si>
  <si>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</si>
  <si>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</si>
  <si>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</si>
  <si>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</si>
  <si>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</si>
  <si>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</si>
  <si>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</si>
  <si>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</si>
  <si>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</si>
  <si>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</si>
  <si>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</si>
  <si>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</si>
  <si>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</si>
  <si>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</si>
  <si>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</si>
  <si>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</si>
  <si>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</si>
  <si>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</si>
  <si>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</si>
  <si>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</si>
  <si>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</si>
  <si>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</si>
  <si>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</si>
  <si>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</si>
  <si>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</si>
  <si>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</si>
  <si>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</si>
  <si>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</si>
  <si>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</si>
  <si>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</si>
  <si>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</si>
  <si>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</si>
  <si>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</si>
  <si>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</si>
  <si>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</si>
  <si>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</si>
  <si>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</si>
  <si>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</si>
  <si>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</si>
  <si>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</si>
  <si>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</si>
  <si>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</si>
  <si>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</si>
  <si>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</si>
  <si>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</si>
  <si>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</si>
  <si>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</si>
  <si>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</si>
  <si>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</si>
  <si>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</si>
  <si>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</si>
  <si>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</si>
  <si>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</si>
  <si>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</si>
  <si>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</si>
  <si>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</si>
  <si>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</si>
  <si>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</si>
  <si>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</si>
  <si>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</si>
  <si>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</si>
  <si>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</si>
  <si>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</si>
  <si>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</si>
  <si>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</si>
  <si>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</si>
  <si>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</si>
  <si>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</si>
  <si>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</si>
  <si>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</si>
  <si>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</si>
  <si>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</si>
  <si>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</si>
  <si>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</si>
  <si>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</si>
  <si>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</si>
  <si>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</si>
  <si>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CEO: Andy Jassy</t>
  </si>
  <si>
    <t>North America OI</t>
  </si>
  <si>
    <t>International OI</t>
  </si>
  <si>
    <t>AWS OI</t>
  </si>
  <si>
    <t>Model NI</t>
  </si>
  <si>
    <t>Reported NI</t>
  </si>
  <si>
    <t>CFFO</t>
  </si>
  <si>
    <t>WC</t>
  </si>
  <si>
    <t>D&amp;A</t>
  </si>
  <si>
    <t>SBC</t>
  </si>
  <si>
    <t>DT</t>
  </si>
  <si>
    <t>CapEx</t>
  </si>
  <si>
    <t>CFFI</t>
  </si>
  <si>
    <t>Sale of CapEx</t>
  </si>
  <si>
    <t>Acquisitions</t>
  </si>
  <si>
    <t>Investments</t>
  </si>
  <si>
    <t>CFFF</t>
  </si>
  <si>
    <t>Buybacks</t>
  </si>
  <si>
    <t>FX</t>
  </si>
  <si>
    <t>CIC</t>
  </si>
  <si>
    <t xml:space="preserve">  Product y/y</t>
  </si>
  <si>
    <t xml:space="preserve">  Service y/y</t>
  </si>
  <si>
    <t>FCF</t>
  </si>
  <si>
    <t>Incorporated in Washington in 1994</t>
  </si>
  <si>
    <t>IPO 1997</t>
  </si>
  <si>
    <t>Stock Price</t>
  </si>
  <si>
    <t>July 1995 - store opened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</si>
</sst>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0" fontId="0" fillId="0" borderId="0" xfId="0" applyFont="1"/>
    <xf numFmtId="3" fontId="0" fillId="0" borderId="0" xfId="0" applyNumberFormat="1" applyFont="1"/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9" fontId="0" fillId="0" borderId="0" xfId="0" applyNumberFormat="1" applyFont="1"/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0</xdr:rowOff>
    </xdr:from>
    <xdr:to>
      <xdr:col>18</xdr:col>
      <xdr:colOff>19050</xdr:colOff>
      <xdr:row>107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11334750" y="0"/>
          <a:ext cx="0" cy="174810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66675</xdr:colOff>
      <xdr:row>0</xdr:row>
      <xdr:rowOff>0</xdr:rowOff>
    </xdr:from>
    <xdr:to>
      <xdr:col>52</xdr:col>
      <xdr:colOff>66675</xdr:colOff>
      <xdr:row>89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28832175" y="0"/>
          <a:ext cx="0" cy="9772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8D1A3E-D1D5-4929-A5A0-67791399E886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1" dT="2022-07-29T15:08:40.16" personId="{9B8D1A3E-D1D5-4929-A5A0-67791399E886}" id="{89E45B5F-0C20-4B81-874E-AD8DF93707A2}">
    <text>Q222 guidance: 125-130B</text>
  </threadedComment>
  <threadedComment ref="S21" dT="2022-12-19T01:59:36.72" personId="{9B8D1A3E-D1D5-4929-A5A0-67791399E886}" id="{9EC27BD9-44A2-48E9-9E13-C02A116B6B0B}">
    <text>Q3 guidance: 140-148B</text>
  </threadedComment>
  <threadedComment ref="R29" dT="2022-07-29T15:10:25.65" personId="{9B8D1A3E-D1D5-4929-A5A0-67791399E886}" id="{BC0611F9-311A-4928-9AD6-94F49AE6B822}">
    <text>Q222 guidance: 0.0-3.5B</text>
  </threadedComment>
  <threadedComment ref="S29" dT="2022-12-19T02:00:02.84" personId="{9B8D1A3E-D1D5-4929-A5A0-67791399E886}" id="{1123E429-DC3C-402F-A940-60A8A504E208}">
    <text>Q3 guidance: 0-4B</text>
  </threadedComment>
  <threadedComment ref="R37" dT="2022-12-19T01:32:23.85" personId="{9B8D1A3E-D1D5-4929-A5A0-67791399E886}" id="{7DD33F83-8D06-4AB5-AE42-CC8AE1143AEE}">
    <text>+19% net of FX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B2:L9"/>
  <sheetViews>
    <sheetView zoomScale="130" zoomScaleNormal="130" workbookViewId="0">
      <selection activeCell="B6" sqref="B6"/>
    </sheetView>
  </sheetViews>
  <sheetFormatPr defaultRowHeight="12.75" x14ac:dyDescent="0.2"/>
  <sheetData>
    <row r="2" spans="2:12" x14ac:dyDescent="0.2">
      <c r="J2" t="s">
        <v>1</v>
      </c>
      <c r="K2" s="1">
        <v>87.86</v>
      </c>
    </row>
    <row r="3" spans="2:12" x14ac:dyDescent="0.2">
      <c r="J3" t="s">
        <v>2</v>
      </c>
      <c r="K3" s="2">
        <v>10331</v>
      </c>
      <c r="L3" s="3" t="s">
        <v>18</v>
      </c>
    </row>
    <row r="4" spans="2:12" x14ac:dyDescent="0.2">
      <c r="B4" t="s">
        <v>103</v>
      </c>
      <c r="J4" t="s">
        <v>3</v>
      </c>
      <c r="K4" s="2">
        <f>K3*K2</f>
        <v>907681.66</v>
      </c>
    </row>
    <row r="5" spans="2:12" x14ac:dyDescent="0.2">
      <c r="B5" t="s">
        <v>106</v>
      </c>
      <c r="J5" t="s">
        <v>4</v>
      </c>
      <c r="K5" s="2">
        <v>58662</v>
      </c>
      <c r="L5" s="3" t="s">
        <v>18</v>
      </c>
    </row>
    <row r="6" spans="2:12" x14ac:dyDescent="0.2">
      <c r="B6" t="s">
        <v>104</v>
      </c>
      <c r="J6" t="s">
        <v>5</v>
      </c>
      <c r="K6" s="2">
        <v>58919</v>
      </c>
      <c r="L6" s="3" t="s">
        <v>18</v>
      </c>
    </row>
    <row r="7" spans="2:12" x14ac:dyDescent="0.2">
      <c r="J7" t="s">
        <v>6</v>
      </c>
      <c r="K7" s="2">
        <f>K4-K5+K6</f>
        <v>907938.66</v>
      </c>
      <c r="L7" s="3"/>
    </row>
    <row r="9" spans="2:12" x14ac:dyDescent="0.2">
      <c r="J9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DS101"/>
  <sheetViews>
    <sheetView tabSelected="1" zoomScale="220" zoomScaleNormal="220" workbookViewId="0">
      <pane xSplit="2" ySplit="3" topLeftCell="AU4" activePane="bottomRight" state="frozen"/>
      <selection pane="topRight" activeCell="C1" sqref="C1"/>
      <selection pane="bottomLeft" activeCell="A4" sqref="A4"/>
      <selection pane="bottomRight" activeCell="BC21" sqref="BC21"/>
    </sheetView>
  </sheetViews>
  <sheetFormatPr defaultRowHeight="12.75" x14ac:dyDescent="0.2"/>
  <cols>
    <col min="1" max="1" width="5" bestFit="1" customWidth="1"/>
    <col min="2" max="2" width="18.42578125" customWidth="1"/>
    <col min="3" max="19" width="9.140625" style="3"/>
  </cols>
  <sheetData>
    <row r="1" spans="1:71" x14ac:dyDescent="0.2">
      <c r="A1" s="12" t="s">
        <v>0</v>
      </c>
    </row>
    <row r="3" spans="1:71" x14ac:dyDescent="0.2">
      <c r="C3" s="3" t="s">
        <v>51</v>
      </c>
      <c r="D3" s="3" t="s">
        <v>50</v>
      </c>
      <c r="E3" s="3" t="s">
        <v>49</v>
      </c>
      <c r="F3" s="3" t="s">
        <v>48</v>
      </c>
      <c r="G3" s="3" t="s">
        <v>47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7</v>
      </c>
      <c r="Q3" s="3" t="s">
        <v>17</v>
      </c>
      <c r="R3" s="3" t="s">
        <v>18</v>
      </c>
      <c r="S3" s="3" t="s">
        <v>19</v>
      </c>
      <c r="T3" s="3" t="s">
        <v>52</v>
      </c>
      <c r="U3" s="3" t="s">
        <v>53</v>
      </c>
      <c r="V3" s="3" t="s">
        <v>54</v>
      </c>
      <c r="W3" s="3" t="s">
        <v>55</v>
      </c>
      <c r="Z3">
        <v>1995</v>
      </c>
      <c r="AA3">
        <v>1996</v>
      </c>
      <c r="AB3">
        <v>1997</v>
      </c>
      <c r="AC3">
        <v>1998</v>
      </c>
      <c r="AD3">
        <v>1999</v>
      </c>
      <c r="AE3">
        <v>2000</v>
      </c>
      <c r="AF3">
        <f>+AE3+1</f>
        <v>2001</v>
      </c>
      <c r="AG3">
        <f t="shared" ref="AG3:BS3" si="0">+AF3+1</f>
        <v>2002</v>
      </c>
      <c r="AH3">
        <f t="shared" si="0"/>
        <v>2003</v>
      </c>
      <c r="AI3">
        <f t="shared" si="0"/>
        <v>2004</v>
      </c>
      <c r="AJ3">
        <f t="shared" si="0"/>
        <v>2005</v>
      </c>
      <c r="AK3">
        <f t="shared" si="0"/>
        <v>2006</v>
      </c>
      <c r="AL3">
        <f t="shared" si="0"/>
        <v>2007</v>
      </c>
      <c r="AM3">
        <f t="shared" si="0"/>
        <v>2008</v>
      </c>
      <c r="AN3">
        <f t="shared" si="0"/>
        <v>2009</v>
      </c>
      <c r="AO3">
        <f t="shared" si="0"/>
        <v>2010</v>
      </c>
      <c r="AP3">
        <f t="shared" si="0"/>
        <v>2011</v>
      </c>
      <c r="AQ3">
        <f t="shared" si="0"/>
        <v>2012</v>
      </c>
      <c r="AR3">
        <f t="shared" si="0"/>
        <v>2013</v>
      </c>
      <c r="AS3">
        <f t="shared" si="0"/>
        <v>2014</v>
      </c>
      <c r="AT3">
        <f t="shared" si="0"/>
        <v>2015</v>
      </c>
      <c r="AU3">
        <f t="shared" si="0"/>
        <v>2016</v>
      </c>
      <c r="AV3">
        <f t="shared" si="0"/>
        <v>2017</v>
      </c>
      <c r="AW3">
        <f t="shared" si="0"/>
        <v>2018</v>
      </c>
      <c r="AX3">
        <f t="shared" si="0"/>
        <v>2019</v>
      </c>
      <c r="AY3">
        <f t="shared" si="0"/>
        <v>2020</v>
      </c>
      <c r="AZ3">
        <f t="shared" si="0"/>
        <v>2021</v>
      </c>
      <c r="BA3">
        <f t="shared" si="0"/>
        <v>2022</v>
      </c>
      <c r="BB3">
        <f t="shared" si="0"/>
        <v>2023</v>
      </c>
      <c r="BC3">
        <f t="shared" si="0"/>
        <v>2024</v>
      </c>
      <c r="BD3">
        <f t="shared" si="0"/>
        <v>2025</v>
      </c>
      <c r="BE3">
        <f t="shared" si="0"/>
        <v>2026</v>
      </c>
      <c r="BF3">
        <f t="shared" si="0"/>
        <v>2027</v>
      </c>
      <c r="BG3">
        <f t="shared" si="0"/>
        <v>2028</v>
      </c>
      <c r="BH3">
        <f t="shared" si="0"/>
        <v>2029</v>
      </c>
      <c r="BI3">
        <f t="shared" si="0"/>
        <v>2030</v>
      </c>
      <c r="BJ3">
        <f t="shared" si="0"/>
        <v>2031</v>
      </c>
      <c r="BK3">
        <f t="shared" si="0"/>
        <v>2032</v>
      </c>
      <c r="BL3">
        <f t="shared" si="0"/>
        <v>2033</v>
      </c>
      <c r="BM3">
        <f t="shared" si="0"/>
        <v>2034</v>
      </c>
      <c r="BN3">
        <f t="shared" si="0"/>
        <v>2035</v>
      </c>
      <c r="BO3">
        <f t="shared" si="0"/>
        <v>2036</v>
      </c>
      <c r="BP3">
        <f t="shared" si="0"/>
        <v>2037</v>
      </c>
      <c r="BQ3">
        <f t="shared" si="0"/>
        <v>2038</v>
      </c>
      <c r="BR3">
        <f t="shared" si="0"/>
        <v>2039</v>
      </c>
      <c r="BS3">
        <f t="shared" si="0"/>
        <v>2040</v>
      </c>
    </row>
    <row r="4" spans="1:71" s="2" customFormat="1" x14ac:dyDescent="0.2">
      <c r="B4" s="2" t="s">
        <v>35</v>
      </c>
      <c r="C4" s="4">
        <v>44124</v>
      </c>
      <c r="D4" s="4">
        <v>35812</v>
      </c>
      <c r="E4" s="4">
        <v>38653</v>
      </c>
      <c r="F4" s="4">
        <v>42638</v>
      </c>
      <c r="G4" s="4">
        <v>53670</v>
      </c>
      <c r="H4" s="4">
        <v>46127</v>
      </c>
      <c r="I4" s="4">
        <v>55436</v>
      </c>
      <c r="J4" s="4">
        <v>59373</v>
      </c>
      <c r="K4" s="4">
        <v>75346</v>
      </c>
      <c r="L4" s="4">
        <v>64366</v>
      </c>
      <c r="M4" s="4">
        <v>67550</v>
      </c>
      <c r="N4" s="4">
        <v>65557</v>
      </c>
      <c r="O4" s="4">
        <v>82360</v>
      </c>
      <c r="P4" s="4">
        <v>69244</v>
      </c>
      <c r="Q4" s="4">
        <v>74430</v>
      </c>
      <c r="R4" s="4">
        <v>78843</v>
      </c>
      <c r="S4" s="4"/>
      <c r="AS4" s="2">
        <v>50834</v>
      </c>
      <c r="AT4" s="2">
        <v>63708</v>
      </c>
      <c r="AU4" s="2">
        <v>79785</v>
      </c>
      <c r="AV4" s="2">
        <v>106110</v>
      </c>
      <c r="AW4" s="2">
        <v>141366</v>
      </c>
      <c r="AX4" s="2">
        <f>SUM(D4:G4)</f>
        <v>170773</v>
      </c>
      <c r="AY4" s="2">
        <f t="shared" ref="AY4:AY7" si="1">SUM(H4:K4)</f>
        <v>236282</v>
      </c>
      <c r="AZ4" s="2">
        <f>SUM(L4:O4)</f>
        <v>279833</v>
      </c>
    </row>
    <row r="5" spans="1:71" s="2" customFormat="1" x14ac:dyDescent="0.2">
      <c r="B5" s="2" t="s">
        <v>60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AS5" s="2">
        <v>11567</v>
      </c>
      <c r="AT5" s="2">
        <v>12483</v>
      </c>
      <c r="AU5" s="2">
        <v>13580</v>
      </c>
    </row>
    <row r="6" spans="1:71" s="2" customFormat="1" x14ac:dyDescent="0.2">
      <c r="B6" s="2" t="s">
        <v>61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AS6" s="2">
        <v>38517</v>
      </c>
      <c r="AT6" s="2">
        <v>50401</v>
      </c>
      <c r="AU6" s="2">
        <v>64887</v>
      </c>
    </row>
    <row r="7" spans="1:71" s="2" customFormat="1" x14ac:dyDescent="0.2">
      <c r="B7" s="2" t="s">
        <v>36</v>
      </c>
      <c r="C7" s="4">
        <v>41873</v>
      </c>
      <c r="D7" s="4">
        <v>16192</v>
      </c>
      <c r="E7" s="4">
        <v>16370</v>
      </c>
      <c r="F7" s="4">
        <v>18348</v>
      </c>
      <c r="G7" s="4">
        <v>23813</v>
      </c>
      <c r="H7" s="4">
        <v>19106</v>
      </c>
      <c r="I7" s="4">
        <v>22668</v>
      </c>
      <c r="J7" s="4">
        <v>25171</v>
      </c>
      <c r="K7" s="4">
        <v>37467</v>
      </c>
      <c r="L7" s="4">
        <v>30649</v>
      </c>
      <c r="M7" s="4">
        <v>30721</v>
      </c>
      <c r="N7" s="4">
        <v>29145</v>
      </c>
      <c r="O7" s="4">
        <v>37272</v>
      </c>
      <c r="P7" s="4">
        <v>28759</v>
      </c>
      <c r="Q7" s="4">
        <v>27065</v>
      </c>
      <c r="R7" s="4">
        <v>27720</v>
      </c>
      <c r="S7" s="4"/>
      <c r="AS7" s="2">
        <v>33510</v>
      </c>
      <c r="AT7" s="2">
        <v>35418</v>
      </c>
      <c r="AU7" s="2">
        <v>43983</v>
      </c>
      <c r="AV7" s="2">
        <v>103273</v>
      </c>
      <c r="AW7" s="2">
        <v>134099</v>
      </c>
      <c r="AX7" s="2">
        <f>SUM(D7:G7)</f>
        <v>74723</v>
      </c>
      <c r="AY7" s="2">
        <f t="shared" si="1"/>
        <v>104412</v>
      </c>
      <c r="AZ7" s="2">
        <f t="shared" ref="AZ7" si="2">SUM(L7:O7)</f>
        <v>127787</v>
      </c>
    </row>
    <row r="8" spans="1:71" s="2" customFormat="1" x14ac:dyDescent="0.2">
      <c r="B8" s="2" t="s">
        <v>60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AS8" s="2">
        <v>10938</v>
      </c>
      <c r="AT8" s="2">
        <v>10026</v>
      </c>
      <c r="AU8" s="2">
        <v>10631</v>
      </c>
    </row>
    <row r="9" spans="1:71" s="2" customFormat="1" x14ac:dyDescent="0.2">
      <c r="B9" s="2" t="s">
        <v>61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AS9" s="2">
        <v>22369</v>
      </c>
      <c r="AT9" s="2">
        <v>25196</v>
      </c>
      <c r="AU9" s="2">
        <v>33107</v>
      </c>
    </row>
    <row r="10" spans="1:71" s="2" customFormat="1" x14ac:dyDescent="0.2">
      <c r="B10" s="2" t="s">
        <v>37</v>
      </c>
      <c r="C10" s="4">
        <v>7430</v>
      </c>
      <c r="D10" s="4">
        <v>7696</v>
      </c>
      <c r="E10" s="4">
        <v>8381</v>
      </c>
      <c r="F10" s="4">
        <v>8995</v>
      </c>
      <c r="G10" s="4">
        <v>9954</v>
      </c>
      <c r="H10" s="4">
        <v>10219</v>
      </c>
      <c r="I10" s="4">
        <v>10808</v>
      </c>
      <c r="J10" s="4">
        <v>11601</v>
      </c>
      <c r="K10" s="4">
        <v>12742</v>
      </c>
      <c r="L10" s="4">
        <v>13503</v>
      </c>
      <c r="M10" s="4">
        <v>14809</v>
      </c>
      <c r="N10" s="4">
        <v>16110</v>
      </c>
      <c r="O10" s="4">
        <v>17780</v>
      </c>
      <c r="P10" s="4">
        <v>18441</v>
      </c>
      <c r="Q10" s="4">
        <v>19739</v>
      </c>
      <c r="R10" s="4">
        <f t="shared" ref="R10" si="3">+N10*1.4</f>
        <v>22554</v>
      </c>
      <c r="S10" s="4">
        <f>+O10*1.3</f>
        <v>23114</v>
      </c>
      <c r="T10" s="4">
        <f>+P10*1.3</f>
        <v>23973.3</v>
      </c>
      <c r="U10" s="4">
        <f>+Q10*1.3</f>
        <v>25660.7</v>
      </c>
      <c r="V10" s="4">
        <f>+R10*1.3</f>
        <v>29320.2</v>
      </c>
      <c r="W10" s="4">
        <f>+S10*1.3</f>
        <v>30048.2</v>
      </c>
      <c r="AS10" s="2">
        <v>4644</v>
      </c>
      <c r="AT10" s="2">
        <v>7880</v>
      </c>
      <c r="AU10" s="2">
        <v>12219</v>
      </c>
      <c r="AV10" s="2">
        <v>17459</v>
      </c>
      <c r="AW10" s="2">
        <v>25655</v>
      </c>
      <c r="AX10" s="2">
        <f>SUM(D10:G10)</f>
        <v>35026</v>
      </c>
      <c r="AY10" s="2">
        <f>SUM(H10:K10)</f>
        <v>45370</v>
      </c>
      <c r="AZ10" s="2">
        <f>SUM(L10:O10)</f>
        <v>62202</v>
      </c>
      <c r="BA10" s="2">
        <f>SUM(P10:S10)</f>
        <v>83848</v>
      </c>
      <c r="BB10" s="2">
        <f>SUM(T10:W10)</f>
        <v>109002.4</v>
      </c>
      <c r="BC10" s="2">
        <f>+BB10*1.3</f>
        <v>141703.12</v>
      </c>
      <c r="BD10" s="2">
        <f t="shared" ref="BD10:BF10" si="4">+BC10*1.3</f>
        <v>184214.05600000001</v>
      </c>
      <c r="BE10" s="2">
        <f t="shared" si="4"/>
        <v>239478.27280000004</v>
      </c>
      <c r="BF10" s="2">
        <f t="shared" si="4"/>
        <v>311321.75464000006</v>
      </c>
      <c r="BG10" s="2">
        <f>+BF10*1.2</f>
        <v>373586.10556800006</v>
      </c>
      <c r="BH10" s="2">
        <f t="shared" ref="BH10:BI10" si="5">+BG10*1.2</f>
        <v>448303.32668160007</v>
      </c>
      <c r="BI10" s="2">
        <f t="shared" si="5"/>
        <v>537963.99201792001</v>
      </c>
    </row>
    <row r="12" spans="1:71" s="2" customFormat="1" x14ac:dyDescent="0.2">
      <c r="B12" s="2" t="s">
        <v>40</v>
      </c>
      <c r="C12" s="4">
        <v>39822</v>
      </c>
      <c r="D12" s="4">
        <v>29498</v>
      </c>
      <c r="E12" s="4">
        <v>31053</v>
      </c>
      <c r="F12" s="4">
        <v>35039</v>
      </c>
      <c r="G12" s="4">
        <v>45657</v>
      </c>
      <c r="H12" s="4">
        <v>36652</v>
      </c>
      <c r="I12" s="4">
        <v>45896</v>
      </c>
      <c r="J12" s="4">
        <v>48350</v>
      </c>
      <c r="K12" s="4">
        <v>66451</v>
      </c>
      <c r="L12" s="4">
        <v>52901</v>
      </c>
      <c r="M12" s="4">
        <v>53157</v>
      </c>
      <c r="N12" s="4">
        <v>49942</v>
      </c>
      <c r="O12" s="4">
        <v>66075</v>
      </c>
      <c r="P12" s="4">
        <v>51129</v>
      </c>
      <c r="Q12" s="4">
        <v>50855</v>
      </c>
      <c r="R12" s="4">
        <v>53489</v>
      </c>
      <c r="S12" s="4">
        <f>+O12*1.03</f>
        <v>68057.25</v>
      </c>
      <c r="T12" s="4">
        <f>+P12*1.03</f>
        <v>52662.87</v>
      </c>
      <c r="U12" s="4">
        <f>+Q12*1.03</f>
        <v>52380.65</v>
      </c>
      <c r="V12" s="4">
        <f>+R12*1.03</f>
        <v>55093.67</v>
      </c>
      <c r="W12" s="4">
        <f>+S12*1.03</f>
        <v>70098.967499999999</v>
      </c>
      <c r="AW12" s="2">
        <f>26939+27165+29061+39822</f>
        <v>122987</v>
      </c>
      <c r="AX12" s="2">
        <f t="shared" ref="AX12:AX27" si="6">SUM(D12:G12)</f>
        <v>141247</v>
      </c>
      <c r="AY12" s="2">
        <f t="shared" ref="AY12:AY17" si="7">SUM(H12:K12)</f>
        <v>197349</v>
      </c>
      <c r="AZ12" s="2">
        <f t="shared" ref="AZ12:AZ17" si="8">SUM(L12:O12)</f>
        <v>222075</v>
      </c>
      <c r="BA12" s="2">
        <f>SUM(P12:S12)</f>
        <v>223530.25</v>
      </c>
      <c r="BB12" s="2">
        <f t="shared" ref="BB12:BB17" si="9">SUM(T12:W12)</f>
        <v>230236.1575</v>
      </c>
      <c r="BC12" s="2">
        <f>+BB12*1.05</f>
        <v>241747.965375</v>
      </c>
      <c r="BD12" s="2">
        <f t="shared" ref="BD12:BI12" si="10">+BC12*1.05</f>
        <v>253835.36364375002</v>
      </c>
      <c r="BE12" s="2">
        <f t="shared" si="10"/>
        <v>266527.13182593754</v>
      </c>
      <c r="BF12" s="2">
        <f t="shared" si="10"/>
        <v>279853.48841723445</v>
      </c>
      <c r="BG12" s="2">
        <f t="shared" si="10"/>
        <v>293846.16283809621</v>
      </c>
      <c r="BH12" s="2">
        <f t="shared" si="10"/>
        <v>308538.47098000103</v>
      </c>
      <c r="BI12" s="2">
        <f t="shared" si="10"/>
        <v>323965.39452900109</v>
      </c>
    </row>
    <row r="13" spans="1:71" s="2" customFormat="1" x14ac:dyDescent="0.2">
      <c r="B13" s="2" t="s">
        <v>41</v>
      </c>
      <c r="C13" s="4">
        <v>4401</v>
      </c>
      <c r="D13" s="4">
        <v>4307</v>
      </c>
      <c r="E13" s="4">
        <v>4330</v>
      </c>
      <c r="F13" s="4">
        <v>4192</v>
      </c>
      <c r="G13" s="4">
        <v>4363</v>
      </c>
      <c r="H13" s="4">
        <v>4640</v>
      </c>
      <c r="I13" s="4">
        <v>3774</v>
      </c>
      <c r="J13" s="4">
        <v>3788</v>
      </c>
      <c r="K13" s="4">
        <v>4022</v>
      </c>
      <c r="L13" s="4">
        <v>3920</v>
      </c>
      <c r="M13" s="4">
        <v>4198</v>
      </c>
      <c r="N13" s="4">
        <v>4269</v>
      </c>
      <c r="O13" s="4">
        <v>4688</v>
      </c>
      <c r="P13" s="4">
        <v>4591</v>
      </c>
      <c r="Q13" s="4">
        <v>4721</v>
      </c>
      <c r="R13" s="4">
        <v>4694</v>
      </c>
      <c r="S13" s="4">
        <f>+O13</f>
        <v>4688</v>
      </c>
      <c r="T13" s="4">
        <f t="shared" ref="T13:W13" si="11">+P13</f>
        <v>4591</v>
      </c>
      <c r="U13" s="4">
        <f t="shared" si="11"/>
        <v>4721</v>
      </c>
      <c r="V13" s="4">
        <f t="shared" si="11"/>
        <v>4694</v>
      </c>
      <c r="W13" s="4">
        <f t="shared" si="11"/>
        <v>4688</v>
      </c>
      <c r="AW13" s="2">
        <f>4263+4312+4248+4401</f>
        <v>17224</v>
      </c>
      <c r="AX13" s="2">
        <f t="shared" si="6"/>
        <v>17192</v>
      </c>
      <c r="AY13" s="2">
        <f t="shared" si="7"/>
        <v>16224</v>
      </c>
      <c r="AZ13" s="2">
        <f t="shared" si="8"/>
        <v>17075</v>
      </c>
      <c r="BA13" s="2">
        <f>SUM(P13:S13)</f>
        <v>18694</v>
      </c>
      <c r="BB13" s="2">
        <f t="shared" si="9"/>
        <v>18694</v>
      </c>
      <c r="BC13" s="2">
        <f t="shared" ref="BC13:BI13" si="12">+BB13*1.05</f>
        <v>19628.7</v>
      </c>
      <c r="BD13" s="2">
        <f t="shared" si="12"/>
        <v>20610.135000000002</v>
      </c>
      <c r="BE13" s="2">
        <f t="shared" si="12"/>
        <v>21640.641750000003</v>
      </c>
      <c r="BF13" s="2">
        <f t="shared" si="12"/>
        <v>22722.673837500002</v>
      </c>
      <c r="BG13" s="2">
        <f t="shared" si="12"/>
        <v>23858.807529375004</v>
      </c>
      <c r="BH13" s="2">
        <f t="shared" si="12"/>
        <v>25051.747905843757</v>
      </c>
      <c r="BI13" s="2">
        <f t="shared" si="12"/>
        <v>26304.335301135947</v>
      </c>
    </row>
    <row r="14" spans="1:71" s="2" customFormat="1" x14ac:dyDescent="0.2">
      <c r="B14" s="2" t="s">
        <v>42</v>
      </c>
      <c r="C14" s="4">
        <v>13383</v>
      </c>
      <c r="D14" s="4">
        <v>11141</v>
      </c>
      <c r="E14" s="4">
        <v>11962</v>
      </c>
      <c r="F14" s="4">
        <v>13212</v>
      </c>
      <c r="G14" s="4">
        <v>17446</v>
      </c>
      <c r="H14" s="4">
        <v>14479</v>
      </c>
      <c r="I14" s="4">
        <v>18195</v>
      </c>
      <c r="J14" s="4">
        <v>20436</v>
      </c>
      <c r="K14" s="4">
        <v>27327</v>
      </c>
      <c r="L14" s="4">
        <v>23709</v>
      </c>
      <c r="M14" s="4">
        <v>25085</v>
      </c>
      <c r="N14" s="4">
        <v>24252</v>
      </c>
      <c r="O14" s="4">
        <v>30320</v>
      </c>
      <c r="P14" s="4">
        <v>25335</v>
      </c>
      <c r="Q14" s="4">
        <v>27376</v>
      </c>
      <c r="R14" s="4">
        <v>28666</v>
      </c>
      <c r="S14" s="4">
        <f>+O14*1.03</f>
        <v>31229.600000000002</v>
      </c>
      <c r="T14" s="4">
        <f>+P14*1.03</f>
        <v>26095.05</v>
      </c>
      <c r="U14" s="4">
        <f>+Q14*1.03</f>
        <v>28197.280000000002</v>
      </c>
      <c r="V14" s="4">
        <f>+R14*1.03</f>
        <v>29525.98</v>
      </c>
      <c r="W14" s="4">
        <f>+S14*1.03</f>
        <v>32166.488000000005</v>
      </c>
      <c r="AW14" s="2">
        <f>9265+9702+10395+13383</f>
        <v>42745</v>
      </c>
      <c r="AX14" s="2">
        <f t="shared" si="6"/>
        <v>53761</v>
      </c>
      <c r="AY14" s="2">
        <f t="shared" si="7"/>
        <v>80437</v>
      </c>
      <c r="AZ14" s="2">
        <f t="shared" si="8"/>
        <v>103366</v>
      </c>
      <c r="BA14" s="2">
        <f>SUM(P14:S14)</f>
        <v>112606.6</v>
      </c>
      <c r="BB14" s="2">
        <f t="shared" si="9"/>
        <v>115984.79800000001</v>
      </c>
      <c r="BC14" s="2">
        <f t="shared" ref="BC14:BI14" si="13">+BB14*1.05</f>
        <v>121784.03790000001</v>
      </c>
      <c r="BD14" s="2">
        <f t="shared" si="13"/>
        <v>127873.23979500002</v>
      </c>
      <c r="BE14" s="2">
        <f t="shared" si="13"/>
        <v>134266.90178475002</v>
      </c>
      <c r="BF14" s="2">
        <f t="shared" si="13"/>
        <v>140980.24687398752</v>
      </c>
      <c r="BG14" s="2">
        <f t="shared" si="13"/>
        <v>148029.25921768689</v>
      </c>
      <c r="BH14" s="2">
        <f t="shared" si="13"/>
        <v>155430.72217857125</v>
      </c>
      <c r="BI14" s="2">
        <f t="shared" si="13"/>
        <v>163202.2582874998</v>
      </c>
    </row>
    <row r="15" spans="1:71" s="2" customFormat="1" x14ac:dyDescent="0.2">
      <c r="B15" s="2" t="s">
        <v>43</v>
      </c>
      <c r="C15" s="4">
        <v>3959</v>
      </c>
      <c r="D15" s="4">
        <v>4342</v>
      </c>
      <c r="E15" s="4">
        <v>4676</v>
      </c>
      <c r="F15" s="4">
        <v>4957</v>
      </c>
      <c r="G15" s="4">
        <v>5235</v>
      </c>
      <c r="H15" s="4">
        <v>5556</v>
      </c>
      <c r="I15" s="4">
        <v>6018</v>
      </c>
      <c r="J15" s="4">
        <v>6572</v>
      </c>
      <c r="K15" s="4">
        <v>7061</v>
      </c>
      <c r="L15" s="4">
        <v>7580</v>
      </c>
      <c r="M15" s="4">
        <v>7917</v>
      </c>
      <c r="N15" s="4">
        <v>8148</v>
      </c>
      <c r="O15" s="4">
        <v>8123</v>
      </c>
      <c r="P15" s="4">
        <v>8410</v>
      </c>
      <c r="Q15" s="4">
        <v>8716</v>
      </c>
      <c r="R15" s="4">
        <v>8903</v>
      </c>
      <c r="S15" s="4">
        <f>+O15*1.08</f>
        <v>8772.84</v>
      </c>
      <c r="T15" s="4">
        <f>+P15*1.08</f>
        <v>9082.8000000000011</v>
      </c>
      <c r="U15" s="4">
        <f>+Q15*1.08</f>
        <v>9413.2800000000007</v>
      </c>
      <c r="V15" s="4">
        <f>+R15*1.08</f>
        <v>9615.24</v>
      </c>
      <c r="W15" s="4">
        <f>+S15*1.08</f>
        <v>9474.6672000000017</v>
      </c>
      <c r="AW15" s="2">
        <f>3102+3408+3698+3959</f>
        <v>14167</v>
      </c>
      <c r="AX15" s="2">
        <f t="shared" si="6"/>
        <v>19210</v>
      </c>
      <c r="AY15" s="2">
        <f t="shared" si="7"/>
        <v>25207</v>
      </c>
      <c r="AZ15" s="2">
        <f t="shared" si="8"/>
        <v>31768</v>
      </c>
      <c r="BA15" s="2">
        <f>SUM(P15:S15)</f>
        <v>34801.839999999997</v>
      </c>
      <c r="BB15" s="2">
        <f t="shared" si="9"/>
        <v>37585.987200000003</v>
      </c>
      <c r="BC15" s="2">
        <f>+BB15*1.1</f>
        <v>41344.585920000005</v>
      </c>
      <c r="BD15" s="2">
        <f t="shared" ref="BD15:BF15" si="14">+BC15*1.1</f>
        <v>45479.044512000008</v>
      </c>
      <c r="BE15" s="2">
        <f t="shared" si="14"/>
        <v>50026.948963200011</v>
      </c>
      <c r="BF15" s="2">
        <f t="shared" si="14"/>
        <v>55029.643859520016</v>
      </c>
      <c r="BG15" s="2">
        <f t="shared" ref="BG15:BI15" si="15">+BF15*1.05</f>
        <v>57781.126052496016</v>
      </c>
      <c r="BH15" s="2">
        <f t="shared" si="15"/>
        <v>60670.182355120822</v>
      </c>
      <c r="BI15" s="2">
        <f t="shared" si="15"/>
        <v>63703.691472876868</v>
      </c>
    </row>
    <row r="16" spans="1:71" s="2" customFormat="1" x14ac:dyDescent="0.2">
      <c r="B16" s="2" t="s">
        <v>44</v>
      </c>
      <c r="C16" s="4">
        <v>3388</v>
      </c>
      <c r="D16" s="4">
        <v>2716</v>
      </c>
      <c r="E16" s="4">
        <v>3002</v>
      </c>
      <c r="F16" s="4">
        <v>3586</v>
      </c>
      <c r="G16" s="4">
        <v>4782</v>
      </c>
      <c r="H16" s="4">
        <v>3906</v>
      </c>
      <c r="I16" s="4">
        <v>4221</v>
      </c>
      <c r="J16" s="4">
        <v>5398</v>
      </c>
      <c r="K16" s="4">
        <v>7350</v>
      </c>
      <c r="L16" s="4">
        <v>6381</v>
      </c>
      <c r="M16" s="4">
        <v>7451</v>
      </c>
      <c r="N16" s="4">
        <v>7612</v>
      </c>
      <c r="O16" s="4">
        <v>9716</v>
      </c>
      <c r="P16" s="4">
        <v>7877</v>
      </c>
      <c r="Q16" s="4">
        <v>8757</v>
      </c>
      <c r="R16" s="4">
        <v>9548</v>
      </c>
      <c r="S16" s="4">
        <f>+O16*1.1</f>
        <v>10687.6</v>
      </c>
      <c r="T16" s="4">
        <f>+P16*1.1</f>
        <v>8664.7000000000007</v>
      </c>
      <c r="U16" s="4">
        <f>+Q16*1.1</f>
        <v>9632.7000000000007</v>
      </c>
      <c r="V16" s="4">
        <f>+R16*1.1</f>
        <v>10502.800000000001</v>
      </c>
      <c r="W16" s="4">
        <f>+S16*1.1</f>
        <v>11756.36</v>
      </c>
      <c r="AW16" s="2">
        <f>2031+2194+2495+3388</f>
        <v>10108</v>
      </c>
      <c r="AX16" s="2">
        <f t="shared" si="6"/>
        <v>14086</v>
      </c>
      <c r="AY16" s="2">
        <f t="shared" si="7"/>
        <v>20875</v>
      </c>
      <c r="AZ16" s="2">
        <f t="shared" si="8"/>
        <v>31160</v>
      </c>
      <c r="BA16" s="2">
        <f>SUM(P16:S16)</f>
        <v>36869.599999999999</v>
      </c>
      <c r="BB16" s="2">
        <f t="shared" si="9"/>
        <v>40556.560000000005</v>
      </c>
      <c r="BC16" s="2">
        <f t="shared" ref="BC16:BF16" si="16">+BB16*1.1</f>
        <v>44612.216000000008</v>
      </c>
      <c r="BD16" s="2">
        <f t="shared" si="16"/>
        <v>49073.437600000012</v>
      </c>
      <c r="BE16" s="2">
        <f t="shared" si="16"/>
        <v>53980.781360000015</v>
      </c>
      <c r="BF16" s="2">
        <f t="shared" si="16"/>
        <v>59378.859496000019</v>
      </c>
      <c r="BG16" s="2">
        <f t="shared" ref="BG16:BI16" si="17">+BF16*1.05</f>
        <v>62347.802470800023</v>
      </c>
      <c r="BH16" s="2">
        <f t="shared" si="17"/>
        <v>65465.192594340027</v>
      </c>
      <c r="BI16" s="2">
        <f t="shared" si="17"/>
        <v>68738.452224057037</v>
      </c>
    </row>
    <row r="17" spans="2:61" s="2" customFormat="1" x14ac:dyDescent="0.2">
      <c r="B17" s="2" t="s">
        <v>45</v>
      </c>
      <c r="C17" s="4"/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602</v>
      </c>
      <c r="L17" s="4">
        <v>524</v>
      </c>
      <c r="M17" s="4">
        <v>463</v>
      </c>
      <c r="N17" s="4">
        <v>479</v>
      </c>
      <c r="O17" s="4">
        <v>710</v>
      </c>
      <c r="P17" s="4">
        <v>661</v>
      </c>
      <c r="Q17" s="4">
        <v>1070</v>
      </c>
      <c r="R17" s="4">
        <v>1263</v>
      </c>
      <c r="S17" s="4">
        <f>+O17</f>
        <v>710</v>
      </c>
      <c r="T17" s="4">
        <f t="shared" ref="T17:W17" si="18">+P17</f>
        <v>661</v>
      </c>
      <c r="U17" s="4">
        <f t="shared" si="18"/>
        <v>1070</v>
      </c>
      <c r="V17" s="4">
        <f t="shared" si="18"/>
        <v>1263</v>
      </c>
      <c r="W17" s="4">
        <f t="shared" si="18"/>
        <v>710</v>
      </c>
      <c r="AX17" s="2">
        <f t="shared" si="6"/>
        <v>0</v>
      </c>
      <c r="AY17" s="2">
        <f t="shared" si="7"/>
        <v>602</v>
      </c>
      <c r="AZ17" s="2">
        <f t="shared" si="8"/>
        <v>2176</v>
      </c>
      <c r="BA17" s="2">
        <f>SUM(P17:S17)</f>
        <v>3704</v>
      </c>
      <c r="BB17" s="2">
        <f t="shared" si="9"/>
        <v>3704</v>
      </c>
      <c r="BC17" s="2">
        <f t="shared" ref="BC17:BI17" si="19">+BB17*1.05</f>
        <v>3889.2000000000003</v>
      </c>
      <c r="BD17" s="2">
        <f t="shared" si="19"/>
        <v>4083.6600000000003</v>
      </c>
      <c r="BE17" s="2">
        <f t="shared" si="19"/>
        <v>4287.8430000000008</v>
      </c>
      <c r="BF17" s="2">
        <f t="shared" si="19"/>
        <v>4502.2351500000013</v>
      </c>
      <c r="BG17" s="2">
        <f t="shared" si="19"/>
        <v>4727.3469075000012</v>
      </c>
      <c r="BH17" s="2">
        <f t="shared" si="19"/>
        <v>4963.7142528750019</v>
      </c>
      <c r="BI17" s="2">
        <f t="shared" si="19"/>
        <v>5211.8999655187517</v>
      </c>
    </row>
    <row r="18" spans="2:61" x14ac:dyDescent="0.2">
      <c r="BA18" s="2"/>
      <c r="BB18" s="2"/>
    </row>
    <row r="19" spans="2:61" s="2" customFormat="1" x14ac:dyDescent="0.2">
      <c r="B19" s="2" t="s">
        <v>20</v>
      </c>
      <c r="C19" s="4">
        <v>44700</v>
      </c>
      <c r="D19" s="4">
        <v>34283</v>
      </c>
      <c r="E19" s="4">
        <v>35856</v>
      </c>
      <c r="F19" s="4">
        <v>39726</v>
      </c>
      <c r="G19" s="4">
        <v>50542</v>
      </c>
      <c r="H19" s="4">
        <v>41841</v>
      </c>
      <c r="I19" s="4">
        <v>50244</v>
      </c>
      <c r="J19" s="4">
        <v>52774</v>
      </c>
      <c r="K19" s="4">
        <v>71056</v>
      </c>
      <c r="L19" s="4">
        <v>57491</v>
      </c>
      <c r="M19" s="4">
        <v>58004</v>
      </c>
      <c r="N19" s="4">
        <v>54876</v>
      </c>
      <c r="O19" s="4">
        <v>71416</v>
      </c>
      <c r="P19" s="4">
        <v>56455</v>
      </c>
      <c r="Q19" s="4">
        <v>56575</v>
      </c>
      <c r="R19" s="4">
        <v>59340</v>
      </c>
      <c r="S19" s="4"/>
      <c r="AV19" s="2">
        <v>118573</v>
      </c>
      <c r="AW19" s="2">
        <v>141915</v>
      </c>
      <c r="AX19" s="2">
        <f t="shared" si="6"/>
        <v>160407</v>
      </c>
      <c r="AY19" s="2">
        <f>SUM(H19:K19)</f>
        <v>215915</v>
      </c>
      <c r="AZ19" s="2">
        <f t="shared" ref="AZ19:AZ27" si="20">SUM(L19:O19)</f>
        <v>241787</v>
      </c>
    </row>
    <row r="20" spans="2:61" s="2" customFormat="1" x14ac:dyDescent="0.2">
      <c r="B20" s="2" t="s">
        <v>21</v>
      </c>
      <c r="C20" s="4">
        <v>27683</v>
      </c>
      <c r="D20" s="4">
        <v>25417</v>
      </c>
      <c r="E20" s="4">
        <v>27548</v>
      </c>
      <c r="F20" s="4">
        <v>30255</v>
      </c>
      <c r="G20" s="4">
        <v>36895</v>
      </c>
      <c r="H20" s="4">
        <v>33611</v>
      </c>
      <c r="I20" s="4">
        <v>38668</v>
      </c>
      <c r="J20" s="4">
        <v>43371</v>
      </c>
      <c r="K20" s="4">
        <v>54499</v>
      </c>
      <c r="L20" s="4">
        <v>51027</v>
      </c>
      <c r="M20" s="4">
        <v>55076</v>
      </c>
      <c r="N20" s="4">
        <v>55936</v>
      </c>
      <c r="O20" s="4">
        <v>65996</v>
      </c>
      <c r="P20" s="4">
        <v>59989</v>
      </c>
      <c r="Q20" s="4">
        <v>64659</v>
      </c>
      <c r="R20" s="4">
        <v>67761</v>
      </c>
      <c r="S20" s="4"/>
      <c r="AV20" s="2">
        <v>59293</v>
      </c>
      <c r="AW20" s="2">
        <v>90972</v>
      </c>
      <c r="AX20" s="2">
        <f t="shared" si="6"/>
        <v>120115</v>
      </c>
      <c r="AY20" s="2">
        <f t="shared" ref="AY20:AY27" si="21">SUM(H20:K20)</f>
        <v>170149</v>
      </c>
      <c r="AZ20" s="2">
        <f t="shared" si="20"/>
        <v>228035</v>
      </c>
    </row>
    <row r="21" spans="2:61" s="5" customFormat="1" x14ac:dyDescent="0.2">
      <c r="B21" s="5" t="s">
        <v>8</v>
      </c>
      <c r="C21" s="6">
        <f t="shared" ref="C21" si="22">C19+C20</f>
        <v>72383</v>
      </c>
      <c r="D21" s="6">
        <f t="shared" ref="D21:F21" si="23">D19+D20</f>
        <v>59700</v>
      </c>
      <c r="E21" s="6">
        <f t="shared" ref="E21" si="24">E19+E20</f>
        <v>63404</v>
      </c>
      <c r="F21" s="6">
        <f t="shared" si="23"/>
        <v>69981</v>
      </c>
      <c r="G21" s="6">
        <f t="shared" ref="G21" si="25">G19+G20</f>
        <v>87437</v>
      </c>
      <c r="H21" s="6">
        <f t="shared" ref="H21" si="26">H19+H20</f>
        <v>75452</v>
      </c>
      <c r="I21" s="6">
        <f t="shared" ref="I21" si="27">I19+I20</f>
        <v>88912</v>
      </c>
      <c r="J21" s="6">
        <f t="shared" ref="J21:O21" si="28">J19+J20</f>
        <v>96145</v>
      </c>
      <c r="K21" s="6">
        <f t="shared" si="28"/>
        <v>125555</v>
      </c>
      <c r="L21" s="6">
        <f t="shared" si="28"/>
        <v>108518</v>
      </c>
      <c r="M21" s="6">
        <f t="shared" si="28"/>
        <v>113080</v>
      </c>
      <c r="N21" s="6">
        <f t="shared" si="28"/>
        <v>110812</v>
      </c>
      <c r="O21" s="6">
        <f t="shared" si="28"/>
        <v>137412</v>
      </c>
      <c r="P21" s="6">
        <f>P19+P20</f>
        <v>116444</v>
      </c>
      <c r="Q21" s="6">
        <f>Q19+Q20</f>
        <v>121234</v>
      </c>
      <c r="R21" s="6">
        <f>+R19+R20</f>
        <v>127101</v>
      </c>
      <c r="S21" s="6">
        <f t="shared" ref="S21:W21" si="29">SUM(S10:S17)</f>
        <v>147259.29</v>
      </c>
      <c r="T21" s="6">
        <f t="shared" si="29"/>
        <v>125730.72</v>
      </c>
      <c r="U21" s="6">
        <f t="shared" si="29"/>
        <v>131075.60999999999</v>
      </c>
      <c r="V21" s="6">
        <f t="shared" si="29"/>
        <v>140014.88999999998</v>
      </c>
      <c r="W21" s="6">
        <f t="shared" si="29"/>
        <v>158942.6827</v>
      </c>
      <c r="Z21" s="5">
        <v>0.51100000000000001</v>
      </c>
      <c r="AA21" s="5">
        <v>15.746</v>
      </c>
      <c r="AB21" s="5">
        <v>147.78700000000001</v>
      </c>
      <c r="AC21" s="5">
        <v>609.81899999999996</v>
      </c>
      <c r="AD21" s="5">
        <v>1639.8389999999999</v>
      </c>
      <c r="AE21" s="5">
        <v>2761.9830000000002</v>
      </c>
      <c r="AF21" s="5">
        <v>3122.433</v>
      </c>
      <c r="AG21" s="5">
        <v>3932.9360000000001</v>
      </c>
      <c r="AH21" s="5">
        <v>5263.6989999999996</v>
      </c>
      <c r="AI21" s="5">
        <v>6921</v>
      </c>
      <c r="AJ21" s="5">
        <v>8490</v>
      </c>
      <c r="AK21" s="5">
        <v>10711</v>
      </c>
      <c r="AL21" s="5">
        <v>14835</v>
      </c>
      <c r="AM21" s="5">
        <v>19166</v>
      </c>
      <c r="AN21" s="5">
        <v>24509</v>
      </c>
      <c r="AO21" s="5">
        <v>34204</v>
      </c>
      <c r="AP21" s="5">
        <v>48077</v>
      </c>
      <c r="AQ21" s="5">
        <v>61093</v>
      </c>
      <c r="AR21" s="5">
        <v>74452</v>
      </c>
      <c r="AS21" s="5">
        <f>+AS4+AS7+AS10</f>
        <v>88988</v>
      </c>
      <c r="AT21" s="5">
        <f t="shared" ref="AT21:AU21" si="30">+AT4+AT7+AT10</f>
        <v>107006</v>
      </c>
      <c r="AU21" s="5">
        <f t="shared" si="30"/>
        <v>135987</v>
      </c>
      <c r="AV21" s="6">
        <f t="shared" ref="AV21" si="31">AV19+AV20</f>
        <v>177866</v>
      </c>
      <c r="AW21" s="6">
        <f t="shared" ref="AW21" si="32">AW19+AW20</f>
        <v>232887</v>
      </c>
      <c r="AX21" s="6">
        <f>AX19+AX20</f>
        <v>280522</v>
      </c>
      <c r="AY21" s="6">
        <f>AY19+AY20</f>
        <v>386064</v>
      </c>
      <c r="AZ21" s="6">
        <f>AZ19+AZ20</f>
        <v>469822</v>
      </c>
      <c r="BA21" s="5">
        <f>SUM(BA10:BA17)</f>
        <v>514054.28999999992</v>
      </c>
      <c r="BB21" s="5">
        <f>SUM(BB10:BB17)</f>
        <v>555763.90270000009</v>
      </c>
      <c r="BC21" s="5">
        <f t="shared" ref="BC21:BI21" si="33">SUM(BC10:BC17)</f>
        <v>614709.82519500004</v>
      </c>
      <c r="BD21" s="5">
        <f t="shared" si="33"/>
        <v>685168.93655075028</v>
      </c>
      <c r="BE21" s="5">
        <f t="shared" si="33"/>
        <v>770208.52148388757</v>
      </c>
      <c r="BF21" s="5">
        <f t="shared" si="33"/>
        <v>873788.9022742419</v>
      </c>
      <c r="BG21" s="5">
        <f t="shared" si="33"/>
        <v>964176.61058395403</v>
      </c>
      <c r="BH21" s="5">
        <f t="shared" si="33"/>
        <v>1068423.356948352</v>
      </c>
      <c r="BI21" s="5">
        <f t="shared" si="33"/>
        <v>1189090.0237980094</v>
      </c>
    </row>
    <row r="22" spans="2:61" s="2" customFormat="1" x14ac:dyDescent="0.2">
      <c r="B22" s="2" t="s">
        <v>22</v>
      </c>
      <c r="C22" s="4">
        <v>44786</v>
      </c>
      <c r="D22" s="4">
        <v>33920</v>
      </c>
      <c r="E22" s="4">
        <v>36337</v>
      </c>
      <c r="F22" s="4">
        <v>41302</v>
      </c>
      <c r="G22" s="4">
        <v>53977</v>
      </c>
      <c r="H22" s="4">
        <v>44257</v>
      </c>
      <c r="I22" s="4">
        <v>52660</v>
      </c>
      <c r="J22" s="4">
        <v>57106</v>
      </c>
      <c r="K22" s="4">
        <v>79284</v>
      </c>
      <c r="L22" s="4">
        <v>62403</v>
      </c>
      <c r="M22" s="4">
        <v>64176</v>
      </c>
      <c r="N22" s="4">
        <v>62930</v>
      </c>
      <c r="O22" s="4">
        <v>82835</v>
      </c>
      <c r="P22" s="4">
        <v>66499</v>
      </c>
      <c r="Q22" s="4">
        <v>66424</v>
      </c>
      <c r="R22" s="4">
        <v>70268</v>
      </c>
      <c r="S22" s="4">
        <f>SUM(S12:S14)*0.69+S10*0.51</f>
        <v>83530.786500000002</v>
      </c>
      <c r="T22" s="4">
        <f t="shared" ref="T22:W22" si="34">SUM(T12:T14)*0.68+T10*0.5</f>
        <v>68663.915600000008</v>
      </c>
      <c r="U22" s="4">
        <f t="shared" si="34"/>
        <v>70833.622400000007</v>
      </c>
      <c r="V22" s="4">
        <f t="shared" si="34"/>
        <v>75393.381999999998</v>
      </c>
      <c r="W22" s="4">
        <f t="shared" si="34"/>
        <v>87752.449740000025</v>
      </c>
      <c r="AS22" s="2">
        <v>62752</v>
      </c>
      <c r="AT22" s="2">
        <v>71651</v>
      </c>
      <c r="AU22" s="2">
        <v>88265</v>
      </c>
      <c r="AV22" s="2">
        <v>111934</v>
      </c>
      <c r="AW22" s="2">
        <v>139156</v>
      </c>
      <c r="AX22" s="2">
        <f t="shared" si="6"/>
        <v>165536</v>
      </c>
      <c r="AY22" s="2">
        <f t="shared" si="21"/>
        <v>233307</v>
      </c>
      <c r="AZ22" s="2">
        <f t="shared" si="20"/>
        <v>272344</v>
      </c>
      <c r="BA22" s="2">
        <f>SUM(P22:S22)</f>
        <v>286721.78649999999</v>
      </c>
      <c r="BB22" s="2">
        <f>SUM(T22:W22)</f>
        <v>302643.36973999999</v>
      </c>
      <c r="BC22" s="4">
        <f t="shared" ref="BC22:BI22" si="35">SUM(BC12:BC14)*0.8+BC10*0.7</f>
        <v>405720.74662000005</v>
      </c>
      <c r="BD22" s="4">
        <f t="shared" si="35"/>
        <v>450804.82995100005</v>
      </c>
      <c r="BE22" s="4">
        <f t="shared" si="35"/>
        <v>505582.53124855005</v>
      </c>
      <c r="BF22" s="4">
        <f t="shared" si="35"/>
        <v>572770.35555097763</v>
      </c>
      <c r="BG22" s="4">
        <f t="shared" si="35"/>
        <v>634097.65756572655</v>
      </c>
      <c r="BH22" s="4">
        <f t="shared" si="35"/>
        <v>705029.08152865293</v>
      </c>
      <c r="BI22" s="4">
        <f t="shared" si="35"/>
        <v>787352.38490665355</v>
      </c>
    </row>
    <row r="23" spans="2:61" s="2" customFormat="1" x14ac:dyDescent="0.2">
      <c r="B23" s="2" t="s">
        <v>23</v>
      </c>
      <c r="C23" s="4">
        <v>10028</v>
      </c>
      <c r="D23" s="4">
        <v>8601</v>
      </c>
      <c r="E23" s="4">
        <v>9271</v>
      </c>
      <c r="F23" s="4">
        <v>10167</v>
      </c>
      <c r="G23" s="4">
        <v>12192</v>
      </c>
      <c r="H23" s="4">
        <v>11531</v>
      </c>
      <c r="I23" s="4">
        <v>13806</v>
      </c>
      <c r="J23" s="4">
        <v>14705</v>
      </c>
      <c r="K23" s="4">
        <v>18474</v>
      </c>
      <c r="L23" s="4">
        <v>16530</v>
      </c>
      <c r="M23" s="4">
        <v>17638</v>
      </c>
      <c r="N23" s="4">
        <v>18498</v>
      </c>
      <c r="O23" s="4">
        <v>22445</v>
      </c>
      <c r="P23" s="4">
        <v>20271</v>
      </c>
      <c r="Q23" s="4">
        <v>20342</v>
      </c>
      <c r="R23" s="4">
        <v>20583</v>
      </c>
      <c r="S23" s="4">
        <f>(S14+S12)*0.26</f>
        <v>25814.581000000002</v>
      </c>
      <c r="T23" s="4">
        <f t="shared" ref="T23:W23" si="36">(T14+T12)*0.25</f>
        <v>19689.48</v>
      </c>
      <c r="U23" s="4">
        <f t="shared" si="36"/>
        <v>20144.482500000002</v>
      </c>
      <c r="V23" s="4">
        <f t="shared" si="36"/>
        <v>21154.912499999999</v>
      </c>
      <c r="W23" s="4">
        <f t="shared" si="36"/>
        <v>25566.363875000003</v>
      </c>
      <c r="AS23" s="2">
        <v>10766</v>
      </c>
      <c r="AT23" s="2">
        <v>13410</v>
      </c>
      <c r="AU23" s="2">
        <v>17619</v>
      </c>
      <c r="AV23" s="2">
        <v>25249</v>
      </c>
      <c r="AW23" s="2">
        <v>34027</v>
      </c>
      <c r="AX23" s="2">
        <f t="shared" si="6"/>
        <v>40231</v>
      </c>
      <c r="AY23" s="2">
        <f t="shared" si="21"/>
        <v>58516</v>
      </c>
      <c r="AZ23" s="2">
        <f t="shared" si="20"/>
        <v>75111</v>
      </c>
      <c r="BA23" s="2">
        <f>SUM(P23:S23)</f>
        <v>87010.581000000006</v>
      </c>
      <c r="BB23" s="2">
        <f>SUM(T23:W23)</f>
        <v>86555.23887500001</v>
      </c>
      <c r="BC23" s="4">
        <f t="shared" ref="BC23:BI23" si="37">(BC14+BC12)*0.1</f>
        <v>36353.200327500002</v>
      </c>
      <c r="BD23" s="4">
        <f t="shared" si="37"/>
        <v>38170.860343875007</v>
      </c>
      <c r="BE23" s="4">
        <f t="shared" si="37"/>
        <v>40079.403361068762</v>
      </c>
      <c r="BF23" s="4">
        <f t="shared" si="37"/>
        <v>42083.373529122204</v>
      </c>
      <c r="BG23" s="4">
        <f t="shared" si="37"/>
        <v>44187.542205578313</v>
      </c>
      <c r="BH23" s="4">
        <f t="shared" si="37"/>
        <v>46396.919315857231</v>
      </c>
      <c r="BI23" s="4">
        <f t="shared" si="37"/>
        <v>48716.765281650092</v>
      </c>
    </row>
    <row r="24" spans="2:61" s="2" customFormat="1" x14ac:dyDescent="0.2">
      <c r="B24" s="2" t="s">
        <v>29</v>
      </c>
      <c r="C24" s="4">
        <f t="shared" ref="C24" si="38">C21-C22-C23</f>
        <v>17569</v>
      </c>
      <c r="D24" s="4">
        <f>D21-D22-D23</f>
        <v>17179</v>
      </c>
      <c r="E24" s="4">
        <f t="shared" ref="E24" si="39">E21-E22-E23</f>
        <v>17796</v>
      </c>
      <c r="F24" s="4">
        <f>F21-F22-F23</f>
        <v>18512</v>
      </c>
      <c r="G24" s="4">
        <f t="shared" ref="G24" si="40">G21-G22-G23</f>
        <v>21268</v>
      </c>
      <c r="H24" s="4">
        <f t="shared" ref="H24" si="41">H21-H22-H23</f>
        <v>19664</v>
      </c>
      <c r="I24" s="4">
        <f t="shared" ref="I24" si="42">I21-I22-I23</f>
        <v>22446</v>
      </c>
      <c r="J24" s="4">
        <f>J21-J22-J23</f>
        <v>24334</v>
      </c>
      <c r="K24" s="4">
        <f t="shared" ref="K24" si="43">K21-K22-K23</f>
        <v>27797</v>
      </c>
      <c r="L24" s="4">
        <f>L21-L22-L23</f>
        <v>29585</v>
      </c>
      <c r="M24" s="4">
        <f t="shared" ref="M24:W24" si="44">M21-M22-M23</f>
        <v>31266</v>
      </c>
      <c r="N24" s="4">
        <f t="shared" si="44"/>
        <v>29384</v>
      </c>
      <c r="O24" s="4">
        <f t="shared" si="44"/>
        <v>32132</v>
      </c>
      <c r="P24" s="4">
        <f t="shared" si="44"/>
        <v>29674</v>
      </c>
      <c r="Q24" s="4">
        <f t="shared" si="44"/>
        <v>34468</v>
      </c>
      <c r="R24" s="4">
        <f>R21-R22-R23</f>
        <v>36250</v>
      </c>
      <c r="S24" s="4">
        <f>S21-S22-S23</f>
        <v>37913.922500000001</v>
      </c>
      <c r="T24" s="4">
        <f t="shared" si="44"/>
        <v>37377.324399999998</v>
      </c>
      <c r="U24" s="4">
        <f t="shared" si="44"/>
        <v>40097.50509999998</v>
      </c>
      <c r="V24" s="4">
        <f t="shared" si="44"/>
        <v>43466.595499999989</v>
      </c>
      <c r="W24" s="4">
        <f t="shared" si="44"/>
        <v>45623.869084999977</v>
      </c>
      <c r="AS24" s="4">
        <f t="shared" ref="AS24:AV24" si="45">AS21-AS22-AS23</f>
        <v>15470</v>
      </c>
      <c r="AT24" s="4">
        <f t="shared" si="45"/>
        <v>21945</v>
      </c>
      <c r="AU24" s="4">
        <f t="shared" si="45"/>
        <v>30103</v>
      </c>
      <c r="AV24" s="4">
        <f t="shared" si="45"/>
        <v>40683</v>
      </c>
      <c r="AW24" s="4">
        <f t="shared" ref="AW24:AX24" si="46">AW21-AW22-AW23</f>
        <v>59704</v>
      </c>
      <c r="AX24" s="4">
        <f t="shared" si="46"/>
        <v>74755</v>
      </c>
      <c r="AY24" s="4">
        <f t="shared" ref="AY24:BI24" si="47">AY21-AY22-AY23</f>
        <v>94241</v>
      </c>
      <c r="AZ24" s="4">
        <f t="shared" si="47"/>
        <v>122367</v>
      </c>
      <c r="BA24" s="4">
        <f t="shared" si="47"/>
        <v>140321.92249999993</v>
      </c>
      <c r="BB24" s="4">
        <f t="shared" si="47"/>
        <v>166565.29408500009</v>
      </c>
      <c r="BC24" s="4">
        <f t="shared" si="47"/>
        <v>172635.87824749999</v>
      </c>
      <c r="BD24" s="4">
        <f t="shared" si="47"/>
        <v>196193.24625587522</v>
      </c>
      <c r="BE24" s="4">
        <f t="shared" si="47"/>
        <v>224546.58687426877</v>
      </c>
      <c r="BF24" s="4">
        <f t="shared" si="47"/>
        <v>258935.17319414206</v>
      </c>
      <c r="BG24" s="4">
        <f t="shared" si="47"/>
        <v>285891.41081264918</v>
      </c>
      <c r="BH24" s="4">
        <f t="shared" si="47"/>
        <v>316997.3561038418</v>
      </c>
      <c r="BI24" s="4">
        <f t="shared" si="47"/>
        <v>353020.87360970571</v>
      </c>
    </row>
    <row r="25" spans="2:61" s="2" customFormat="1" x14ac:dyDescent="0.2">
      <c r="B25" s="2" t="s">
        <v>24</v>
      </c>
      <c r="C25" s="4">
        <v>7669</v>
      </c>
      <c r="D25" s="4">
        <v>7927</v>
      </c>
      <c r="E25" s="4">
        <v>9065</v>
      </c>
      <c r="F25" s="4">
        <v>9200</v>
      </c>
      <c r="G25" s="4">
        <v>9740</v>
      </c>
      <c r="H25" s="4">
        <v>9325</v>
      </c>
      <c r="I25" s="4">
        <v>10388</v>
      </c>
      <c r="J25" s="4">
        <v>10976</v>
      </c>
      <c r="K25" s="4">
        <v>12049</v>
      </c>
      <c r="L25" s="4">
        <v>12488</v>
      </c>
      <c r="M25" s="4">
        <v>13871</v>
      </c>
      <c r="N25" s="4">
        <v>14380</v>
      </c>
      <c r="O25" s="4">
        <v>15313</v>
      </c>
      <c r="P25" s="4">
        <v>14842</v>
      </c>
      <c r="Q25" s="4">
        <v>18072</v>
      </c>
      <c r="R25" s="4">
        <v>19485</v>
      </c>
      <c r="S25" s="4">
        <f>+O25*1.15</f>
        <v>17609.949999999997</v>
      </c>
      <c r="T25" s="4">
        <f t="shared" ref="T25:W25" si="48">+P25*1.1</f>
        <v>16326.2</v>
      </c>
      <c r="U25" s="4">
        <f t="shared" si="48"/>
        <v>19879.2</v>
      </c>
      <c r="V25" s="4">
        <f t="shared" si="48"/>
        <v>21433.5</v>
      </c>
      <c r="W25" s="4">
        <f t="shared" si="48"/>
        <v>19370.945</v>
      </c>
      <c r="AS25" s="2">
        <v>9275</v>
      </c>
      <c r="AT25" s="2">
        <v>12540</v>
      </c>
      <c r="AU25" s="2">
        <v>16085</v>
      </c>
      <c r="AV25" s="2">
        <v>22620</v>
      </c>
      <c r="AW25" s="2">
        <v>28837</v>
      </c>
      <c r="AX25" s="2">
        <f t="shared" si="6"/>
        <v>35932</v>
      </c>
      <c r="AY25" s="2">
        <f t="shared" si="21"/>
        <v>42738</v>
      </c>
      <c r="AZ25" s="2">
        <f t="shared" si="20"/>
        <v>56052</v>
      </c>
      <c r="BA25" s="2">
        <f>SUM(P25:S25)</f>
        <v>70008.95</v>
      </c>
      <c r="BB25" s="2">
        <f>SUM(T25:W25)</f>
        <v>77009.845000000001</v>
      </c>
      <c r="BC25" s="2">
        <f>+BB25*1.03</f>
        <v>79320.140350000001</v>
      </c>
      <c r="BD25" s="2">
        <f t="shared" ref="BD25:BI25" si="49">+BC25*1.03</f>
        <v>81699.74456050001</v>
      </c>
      <c r="BE25" s="2">
        <f t="shared" si="49"/>
        <v>84150.736897315015</v>
      </c>
      <c r="BF25" s="2">
        <f t="shared" si="49"/>
        <v>86675.259004234467</v>
      </c>
      <c r="BG25" s="2">
        <f t="shared" si="49"/>
        <v>89275.516774361502</v>
      </c>
      <c r="BH25" s="2">
        <f t="shared" si="49"/>
        <v>91953.782277592356</v>
      </c>
      <c r="BI25" s="2">
        <f t="shared" si="49"/>
        <v>94712.395745920134</v>
      </c>
    </row>
    <row r="26" spans="2:61" s="2" customFormat="1" x14ac:dyDescent="0.2">
      <c r="B26" s="2" t="s">
        <v>25</v>
      </c>
      <c r="C26" s="4">
        <v>4911</v>
      </c>
      <c r="D26" s="4">
        <v>3664</v>
      </c>
      <c r="E26" s="4">
        <v>4291</v>
      </c>
      <c r="F26" s="4">
        <v>4752</v>
      </c>
      <c r="G26" s="4">
        <v>6172</v>
      </c>
      <c r="H26" s="4">
        <v>4828</v>
      </c>
      <c r="I26" s="4">
        <v>4345</v>
      </c>
      <c r="J26" s="4">
        <v>5434</v>
      </c>
      <c r="K26" s="4">
        <v>7403</v>
      </c>
      <c r="L26" s="4">
        <v>6207</v>
      </c>
      <c r="M26" s="4">
        <v>7524</v>
      </c>
      <c r="N26" s="4">
        <v>8010</v>
      </c>
      <c r="O26" s="4">
        <v>10810</v>
      </c>
      <c r="P26" s="4">
        <v>8320</v>
      </c>
      <c r="Q26" s="4">
        <v>10086</v>
      </c>
      <c r="R26" s="4">
        <v>11014</v>
      </c>
      <c r="S26" s="4">
        <f>+O26*1.1</f>
        <v>11891.000000000002</v>
      </c>
      <c r="T26" s="4">
        <f t="shared" ref="T26:T27" si="50">+P26*1.05</f>
        <v>8736</v>
      </c>
      <c r="U26" s="4">
        <f t="shared" ref="U26:U27" si="51">+Q26*1.05</f>
        <v>10590.300000000001</v>
      </c>
      <c r="V26" s="4">
        <f t="shared" ref="V26:V27" si="52">+R26*1.05</f>
        <v>11564.7</v>
      </c>
      <c r="W26" s="4">
        <f t="shared" ref="W26:W27" si="53">+S26*1.05</f>
        <v>12485.550000000003</v>
      </c>
      <c r="AS26" s="2">
        <v>4332</v>
      </c>
      <c r="AT26" s="2">
        <v>5254</v>
      </c>
      <c r="AU26" s="2">
        <v>7233</v>
      </c>
      <c r="AV26" s="2">
        <v>10069</v>
      </c>
      <c r="AW26" s="2">
        <v>13814</v>
      </c>
      <c r="AX26" s="2">
        <f t="shared" si="6"/>
        <v>18879</v>
      </c>
      <c r="AY26" s="2">
        <f t="shared" si="21"/>
        <v>22010</v>
      </c>
      <c r="AZ26" s="2">
        <f t="shared" si="20"/>
        <v>32551</v>
      </c>
      <c r="BA26" s="2">
        <f>SUM(P26:S26)</f>
        <v>41311</v>
      </c>
      <c r="BB26" s="2">
        <f>SUM(T26:W26)</f>
        <v>43376.55</v>
      </c>
      <c r="BC26" s="2">
        <f t="shared" ref="BC26:BI26" si="54">+BB26*1.03</f>
        <v>44677.846500000007</v>
      </c>
      <c r="BD26" s="2">
        <f t="shared" si="54"/>
        <v>46018.181895000009</v>
      </c>
      <c r="BE26" s="2">
        <f t="shared" si="54"/>
        <v>47398.727351850008</v>
      </c>
      <c r="BF26" s="2">
        <f t="shared" si="54"/>
        <v>48820.689172405509</v>
      </c>
      <c r="BG26" s="2">
        <f t="shared" si="54"/>
        <v>50285.309847577679</v>
      </c>
      <c r="BH26" s="2">
        <f t="shared" si="54"/>
        <v>51793.869143005009</v>
      </c>
      <c r="BI26" s="2">
        <f t="shared" si="54"/>
        <v>53347.685217295162</v>
      </c>
    </row>
    <row r="27" spans="2:61" x14ac:dyDescent="0.2">
      <c r="B27" s="2" t="s">
        <v>26</v>
      </c>
      <c r="C27" s="4">
        <v>1117</v>
      </c>
      <c r="D27" s="4">
        <v>1173</v>
      </c>
      <c r="E27" s="4">
        <v>1270</v>
      </c>
      <c r="F27" s="4">
        <v>1348</v>
      </c>
      <c r="G27" s="4">
        <v>1412</v>
      </c>
      <c r="H27" s="4">
        <v>1452</v>
      </c>
      <c r="I27" s="4">
        <v>1580</v>
      </c>
      <c r="J27" s="4">
        <v>1668</v>
      </c>
      <c r="K27" s="4">
        <v>1968</v>
      </c>
      <c r="L27" s="4">
        <v>1987</v>
      </c>
      <c r="M27" s="4">
        <v>2158</v>
      </c>
      <c r="N27" s="4">
        <v>2153</v>
      </c>
      <c r="O27" s="4">
        <v>2525</v>
      </c>
      <c r="P27" s="4">
        <v>2594</v>
      </c>
      <c r="Q27" s="4">
        <v>2903</v>
      </c>
      <c r="R27" s="4">
        <v>3061</v>
      </c>
      <c r="S27" s="4">
        <f>+O27*1.1</f>
        <v>2777.5</v>
      </c>
      <c r="T27" s="4">
        <f t="shared" si="50"/>
        <v>2723.7000000000003</v>
      </c>
      <c r="U27" s="4">
        <f t="shared" si="51"/>
        <v>3048.15</v>
      </c>
      <c r="V27" s="4">
        <f t="shared" si="52"/>
        <v>3214.05</v>
      </c>
      <c r="W27" s="4">
        <f t="shared" si="53"/>
        <v>2916.375</v>
      </c>
      <c r="AS27" s="2">
        <v>1552</v>
      </c>
      <c r="AT27" s="2">
        <v>1747</v>
      </c>
      <c r="AU27" s="2">
        <v>2432</v>
      </c>
      <c r="AV27" s="2">
        <v>3674</v>
      </c>
      <c r="AW27" s="2">
        <v>4336</v>
      </c>
      <c r="AX27" s="2">
        <f t="shared" si="6"/>
        <v>5203</v>
      </c>
      <c r="AY27" s="2">
        <f t="shared" si="21"/>
        <v>6668</v>
      </c>
      <c r="AZ27" s="2">
        <f t="shared" si="20"/>
        <v>8823</v>
      </c>
      <c r="BA27" s="2">
        <f>SUM(P27:S27)</f>
        <v>11335.5</v>
      </c>
      <c r="BB27" s="2">
        <f>SUM(T27:W27)</f>
        <v>11902.275000000001</v>
      </c>
      <c r="BC27" s="2">
        <f t="shared" ref="BC27:BI27" si="55">+BB27*1.03</f>
        <v>12259.343250000002</v>
      </c>
      <c r="BD27" s="2">
        <f t="shared" si="55"/>
        <v>12627.123547500001</v>
      </c>
      <c r="BE27" s="2">
        <f t="shared" si="55"/>
        <v>13005.937253925002</v>
      </c>
      <c r="BF27" s="2">
        <f t="shared" si="55"/>
        <v>13396.115371542752</v>
      </c>
      <c r="BG27" s="2">
        <f t="shared" si="55"/>
        <v>13797.998832689034</v>
      </c>
      <c r="BH27" s="2">
        <f t="shared" si="55"/>
        <v>14211.938797669705</v>
      </c>
      <c r="BI27" s="2">
        <f t="shared" si="55"/>
        <v>14638.296961599797</v>
      </c>
    </row>
    <row r="28" spans="2:61" x14ac:dyDescent="0.2">
      <c r="B28" s="2" t="s">
        <v>27</v>
      </c>
      <c r="C28" s="4">
        <f t="shared" ref="C28" si="56">SUM(C25:C27)</f>
        <v>13697</v>
      </c>
      <c r="D28" s="4">
        <f>SUM(D25:D27)</f>
        <v>12764</v>
      </c>
      <c r="E28" s="4">
        <f t="shared" ref="E28" si="57">SUM(E25:E27)</f>
        <v>14626</v>
      </c>
      <c r="F28" s="4">
        <f>SUM(F25:F27)</f>
        <v>15300</v>
      </c>
      <c r="G28" s="4">
        <f t="shared" ref="G28" si="58">SUM(G25:G27)</f>
        <v>17324</v>
      </c>
      <c r="H28" s="4">
        <f t="shared" ref="H28" si="59">SUM(H25:H27)</f>
        <v>15605</v>
      </c>
      <c r="I28" s="4">
        <f t="shared" ref="I28" si="60">SUM(I25:I27)</f>
        <v>16313</v>
      </c>
      <c r="J28" s="4">
        <f>SUM(J25:J27)</f>
        <v>18078</v>
      </c>
      <c r="K28" s="4">
        <f t="shared" ref="K28" si="61">SUM(K25:K27)</f>
        <v>21420</v>
      </c>
      <c r="L28" s="4">
        <f>SUM(L25:L27)</f>
        <v>20682</v>
      </c>
      <c r="M28" s="4">
        <f t="shared" ref="M28:P28" si="62">SUM(M25:M27)</f>
        <v>23553</v>
      </c>
      <c r="N28" s="4">
        <f t="shared" si="62"/>
        <v>24543</v>
      </c>
      <c r="O28" s="4">
        <f t="shared" si="62"/>
        <v>28648</v>
      </c>
      <c r="P28" s="4">
        <f t="shared" si="62"/>
        <v>25756</v>
      </c>
      <c r="Q28" s="4">
        <f t="shared" ref="Q28:W28" si="63">SUM(Q25:Q27)</f>
        <v>31061</v>
      </c>
      <c r="R28" s="4">
        <f>SUM(R25:R27)</f>
        <v>33560</v>
      </c>
      <c r="S28" s="4">
        <f t="shared" si="63"/>
        <v>32278.449999999997</v>
      </c>
      <c r="T28" s="4">
        <f t="shared" si="63"/>
        <v>27785.9</v>
      </c>
      <c r="U28" s="4">
        <f t="shared" si="63"/>
        <v>33517.65</v>
      </c>
      <c r="V28" s="4">
        <f t="shared" si="63"/>
        <v>36212.25</v>
      </c>
      <c r="W28" s="4">
        <f t="shared" si="63"/>
        <v>34772.870000000003</v>
      </c>
      <c r="AS28" s="4">
        <f t="shared" ref="AS28:AU28" si="64">SUM(AS25:AS27)</f>
        <v>15159</v>
      </c>
      <c r="AT28" s="4">
        <f t="shared" si="64"/>
        <v>19541</v>
      </c>
      <c r="AU28" s="4">
        <f t="shared" si="64"/>
        <v>25750</v>
      </c>
      <c r="AV28" s="4">
        <f t="shared" ref="AV28" si="65">SUM(AV25:AV27)</f>
        <v>36363</v>
      </c>
      <c r="AW28" s="4">
        <f t="shared" ref="AW28:AX28" si="66">SUM(AW25:AW27)</f>
        <v>46987</v>
      </c>
      <c r="AX28" s="4">
        <f t="shared" si="66"/>
        <v>60014</v>
      </c>
      <c r="AY28" s="4">
        <f t="shared" ref="AY28:AZ28" si="67">SUM(AY25:AY27)</f>
        <v>71416</v>
      </c>
      <c r="AZ28" s="4">
        <f t="shared" si="67"/>
        <v>97426</v>
      </c>
      <c r="BA28" s="4">
        <f t="shared" ref="BA28:BB28" si="68">SUM(BA25:BA27)</f>
        <v>122655.45</v>
      </c>
      <c r="BB28" s="4">
        <f t="shared" si="68"/>
        <v>132288.67000000001</v>
      </c>
      <c r="BC28" s="4">
        <f t="shared" ref="BC28:BI28" si="69">SUM(BC25:BC27)</f>
        <v>136257.33010000002</v>
      </c>
      <c r="BD28" s="4">
        <f t="shared" si="69"/>
        <v>140345.05000300001</v>
      </c>
      <c r="BE28" s="4">
        <f t="shared" si="69"/>
        <v>144555.40150309002</v>
      </c>
      <c r="BF28" s="4">
        <f t="shared" si="69"/>
        <v>148892.06354818272</v>
      </c>
      <c r="BG28" s="4">
        <f t="shared" si="69"/>
        <v>153358.82545462824</v>
      </c>
      <c r="BH28" s="4">
        <f t="shared" si="69"/>
        <v>157959.59021826708</v>
      </c>
      <c r="BI28" s="4">
        <f t="shared" si="69"/>
        <v>162698.37792481508</v>
      </c>
    </row>
    <row r="29" spans="2:61" x14ac:dyDescent="0.2">
      <c r="B29" s="2" t="s">
        <v>28</v>
      </c>
      <c r="C29" s="4">
        <f t="shared" ref="C29" si="70">C24-C28</f>
        <v>3872</v>
      </c>
      <c r="D29" s="4">
        <f>D24-D28</f>
        <v>4415</v>
      </c>
      <c r="E29" s="4">
        <f t="shared" ref="E29" si="71">E24-E28</f>
        <v>3170</v>
      </c>
      <c r="F29" s="4">
        <f>F24-F28</f>
        <v>3212</v>
      </c>
      <c r="G29" s="4">
        <f t="shared" ref="G29" si="72">G24-G28</f>
        <v>3944</v>
      </c>
      <c r="H29" s="4">
        <f t="shared" ref="H29" si="73">H24-H28</f>
        <v>4059</v>
      </c>
      <c r="I29" s="4">
        <f t="shared" ref="I29" si="74">I24-I28</f>
        <v>6133</v>
      </c>
      <c r="J29" s="4">
        <f>J24-J28</f>
        <v>6256</v>
      </c>
      <c r="K29" s="4">
        <f t="shared" ref="K29" si="75">K24-K28</f>
        <v>6377</v>
      </c>
      <c r="L29" s="4">
        <f>L24-L28</f>
        <v>8903</v>
      </c>
      <c r="M29" s="4">
        <f t="shared" ref="M29:P29" si="76">M24-M28</f>
        <v>7713</v>
      </c>
      <c r="N29" s="4">
        <f t="shared" si="76"/>
        <v>4841</v>
      </c>
      <c r="O29" s="4">
        <f t="shared" si="76"/>
        <v>3484</v>
      </c>
      <c r="P29" s="4">
        <f t="shared" si="76"/>
        <v>3918</v>
      </c>
      <c r="Q29" s="4">
        <f t="shared" ref="Q29:W29" si="77">Q24-Q28</f>
        <v>3407</v>
      </c>
      <c r="R29" s="4">
        <f>R24-R28</f>
        <v>2690</v>
      </c>
      <c r="S29" s="4">
        <f t="shared" si="77"/>
        <v>5635.4725000000035</v>
      </c>
      <c r="T29" s="4">
        <f t="shared" si="77"/>
        <v>9591.4243999999962</v>
      </c>
      <c r="U29" s="4">
        <f t="shared" si="77"/>
        <v>6579.8550999999788</v>
      </c>
      <c r="V29" s="4">
        <f t="shared" si="77"/>
        <v>7254.3454999999885</v>
      </c>
      <c r="W29" s="4">
        <f t="shared" si="77"/>
        <v>10850.999084999974</v>
      </c>
      <c r="AS29" s="4">
        <f t="shared" ref="AS29:AU29" si="78">AS24-AS28</f>
        <v>311</v>
      </c>
      <c r="AT29" s="4">
        <f t="shared" si="78"/>
        <v>2404</v>
      </c>
      <c r="AU29" s="4">
        <f t="shared" si="78"/>
        <v>4353</v>
      </c>
      <c r="AV29" s="4">
        <f t="shared" ref="AV29" si="79">AV24-AV28</f>
        <v>4320</v>
      </c>
      <c r="AW29" s="4">
        <f t="shared" ref="AW29:AX29" si="80">AW24-AW28</f>
        <v>12717</v>
      </c>
      <c r="AX29" s="4">
        <f t="shared" si="80"/>
        <v>14741</v>
      </c>
      <c r="AY29" s="4">
        <f t="shared" ref="AY29:AZ29" si="81">AY24-AY28</f>
        <v>22825</v>
      </c>
      <c r="AZ29" s="4">
        <f t="shared" si="81"/>
        <v>24941</v>
      </c>
      <c r="BA29" s="4">
        <f t="shared" ref="BA29:BB29" si="82">BA24-BA28</f>
        <v>17666.472499999931</v>
      </c>
      <c r="BB29" s="4">
        <f t="shared" si="82"/>
        <v>34276.624085000076</v>
      </c>
      <c r="BC29" s="4">
        <f t="shared" ref="BC29:BI29" si="83">BC24-BC28</f>
        <v>36378.548147499969</v>
      </c>
      <c r="BD29" s="4">
        <f t="shared" si="83"/>
        <v>55848.196252875205</v>
      </c>
      <c r="BE29" s="4">
        <f t="shared" si="83"/>
        <v>79991.185371178755</v>
      </c>
      <c r="BF29" s="4">
        <f t="shared" si="83"/>
        <v>110043.10964595934</v>
      </c>
      <c r="BG29" s="4">
        <f t="shared" si="83"/>
        <v>132532.58535802094</v>
      </c>
      <c r="BH29" s="4">
        <f t="shared" si="83"/>
        <v>159037.76588557471</v>
      </c>
      <c r="BI29" s="4">
        <f t="shared" si="83"/>
        <v>190322.49568489063</v>
      </c>
    </row>
    <row r="30" spans="2:61" s="2" customFormat="1" x14ac:dyDescent="0.2">
      <c r="B30" s="2" t="s">
        <v>31</v>
      </c>
      <c r="C30" s="4">
        <f>-86+150-387-199</f>
        <v>-522</v>
      </c>
      <c r="D30" s="4">
        <f>5+183-366+164</f>
        <v>-14</v>
      </c>
      <c r="E30" s="4">
        <f>-86+215-383-27</f>
        <v>-281</v>
      </c>
      <c r="F30" s="4">
        <f>-55+224-396-353</f>
        <v>-580</v>
      </c>
      <c r="G30" s="4">
        <f>-65+211-455+418</f>
        <v>109</v>
      </c>
      <c r="H30" s="4">
        <f>-70+202-402-406</f>
        <v>-676</v>
      </c>
      <c r="I30" s="4">
        <f>-290+135-403+646</f>
        <v>88</v>
      </c>
      <c r="J30" s="4">
        <f>-62+118-428+925</f>
        <v>553</v>
      </c>
      <c r="K30" s="4">
        <f>496+100-414+1206</f>
        <v>1388</v>
      </c>
      <c r="L30" s="4">
        <f>-38+105-399+1697</f>
        <v>1365</v>
      </c>
      <c r="M30" s="4">
        <f>-11+106-435+1261</f>
        <v>921</v>
      </c>
      <c r="N30" s="4">
        <f>11+119-493-163</f>
        <v>-526</v>
      </c>
      <c r="O30" s="4">
        <f>-24+118-482+11838</f>
        <v>11450</v>
      </c>
      <c r="P30" s="4">
        <f>-249+108-472-8570</f>
        <v>-9183</v>
      </c>
      <c r="Q30" s="4">
        <f>159-584</f>
        <v>-425</v>
      </c>
      <c r="R30" s="4">
        <f>-165+277-617+759</f>
        <v>254</v>
      </c>
      <c r="S30" s="4"/>
      <c r="AS30" s="2">
        <f>-133+39-210-118</f>
        <v>-422</v>
      </c>
      <c r="AT30" s="2">
        <f>-171+50-459-256</f>
        <v>-836</v>
      </c>
      <c r="AU30" s="2">
        <f>-167+100-484+90</f>
        <v>-461</v>
      </c>
      <c r="AV30" s="2">
        <f>-214+202-848+346</f>
        <v>-514</v>
      </c>
      <c r="AW30" s="2">
        <f>-296+440-1417-183</f>
        <v>-1456</v>
      </c>
      <c r="AX30" s="2">
        <f t="shared" ref="AX30" si="84">SUM(D30:G30)</f>
        <v>-766</v>
      </c>
      <c r="AY30" s="2">
        <f t="shared" ref="AY30" si="85">SUM(H30:K30)</f>
        <v>1353</v>
      </c>
      <c r="AZ30" s="2">
        <f t="shared" ref="AZ30" si="86">SUM(L30:O30)</f>
        <v>13210</v>
      </c>
      <c r="BA30" s="2">
        <f>SUM(P30:S30)</f>
        <v>-9354</v>
      </c>
      <c r="BB30" s="2">
        <f>SUM(T30:W30)</f>
        <v>0</v>
      </c>
      <c r="BC30" s="2">
        <f>+BB47*$BL$46</f>
        <v>336.68282097249948</v>
      </c>
      <c r="BD30" s="2">
        <f t="shared" ref="BD30:BI30" si="87">+BC47*$BL$46</f>
        <v>648.76228420451548</v>
      </c>
      <c r="BE30" s="2">
        <f t="shared" si="87"/>
        <v>1128.9864317696931</v>
      </c>
      <c r="BF30" s="2">
        <f t="shared" si="87"/>
        <v>1818.5078920947551</v>
      </c>
      <c r="BG30" s="2">
        <f t="shared" si="87"/>
        <v>2769.3316411682149</v>
      </c>
      <c r="BH30" s="2">
        <f t="shared" si="87"/>
        <v>3919.3979356613227</v>
      </c>
      <c r="BI30" s="2">
        <f t="shared" si="87"/>
        <v>5304.533828141829</v>
      </c>
    </row>
    <row r="31" spans="2:61" s="2" customFormat="1" x14ac:dyDescent="0.2">
      <c r="B31" s="2" t="s">
        <v>30</v>
      </c>
      <c r="C31" s="4">
        <f t="shared" ref="C31" si="88">C29+C30</f>
        <v>3350</v>
      </c>
      <c r="D31" s="4">
        <f>D29+D30</f>
        <v>4401</v>
      </c>
      <c r="E31" s="4">
        <f t="shared" ref="E31" si="89">E29+E30</f>
        <v>2889</v>
      </c>
      <c r="F31" s="4">
        <f>F29+F30</f>
        <v>2632</v>
      </c>
      <c r="G31" s="4">
        <f t="shared" ref="G31" si="90">G29+G30</f>
        <v>4053</v>
      </c>
      <c r="H31" s="4">
        <f t="shared" ref="H31" si="91">H29+H30</f>
        <v>3383</v>
      </c>
      <c r="I31" s="4">
        <f t="shared" ref="I31" si="92">I29+I30</f>
        <v>6221</v>
      </c>
      <c r="J31" s="4">
        <f>J29+J30</f>
        <v>6809</v>
      </c>
      <c r="K31" s="4">
        <f t="shared" ref="K31" si="93">K29+K30</f>
        <v>7765</v>
      </c>
      <c r="L31" s="4">
        <f>L29+L30</f>
        <v>10268</v>
      </c>
      <c r="M31" s="4">
        <f t="shared" ref="M31:W31" si="94">M29+M30</f>
        <v>8634</v>
      </c>
      <c r="N31" s="4">
        <f t="shared" si="94"/>
        <v>4315</v>
      </c>
      <c r="O31" s="4">
        <f t="shared" si="94"/>
        <v>14934</v>
      </c>
      <c r="P31" s="4">
        <f t="shared" si="94"/>
        <v>-5265</v>
      </c>
      <c r="Q31" s="4">
        <f t="shared" si="94"/>
        <v>2982</v>
      </c>
      <c r="R31" s="4">
        <f t="shared" si="94"/>
        <v>2944</v>
      </c>
      <c r="S31" s="4">
        <f t="shared" si="94"/>
        <v>5635.4725000000035</v>
      </c>
      <c r="T31" s="4">
        <f t="shared" si="94"/>
        <v>9591.4243999999962</v>
      </c>
      <c r="U31" s="4">
        <f t="shared" si="94"/>
        <v>6579.8550999999788</v>
      </c>
      <c r="V31" s="4">
        <f t="shared" si="94"/>
        <v>7254.3454999999885</v>
      </c>
      <c r="W31" s="4">
        <f t="shared" si="94"/>
        <v>10850.999084999974</v>
      </c>
      <c r="AS31" s="4">
        <f t="shared" ref="AS31:AU31" si="95">AS29+AS30</f>
        <v>-111</v>
      </c>
      <c r="AT31" s="4">
        <f t="shared" si="95"/>
        <v>1568</v>
      </c>
      <c r="AU31" s="4">
        <f t="shared" si="95"/>
        <v>3892</v>
      </c>
      <c r="AV31" s="4">
        <f t="shared" ref="AV31" si="96">AV29+AV30</f>
        <v>3806</v>
      </c>
      <c r="AW31" s="4">
        <f t="shared" ref="AW31:AX31" si="97">AW29+AW30</f>
        <v>11261</v>
      </c>
      <c r="AX31" s="4">
        <f t="shared" si="97"/>
        <v>13975</v>
      </c>
      <c r="AY31" s="4">
        <f t="shared" ref="AY31:BI31" si="98">AY29+AY30</f>
        <v>24178</v>
      </c>
      <c r="AZ31" s="4">
        <f t="shared" si="98"/>
        <v>38151</v>
      </c>
      <c r="BA31" s="4">
        <f t="shared" si="98"/>
        <v>8312.4724999999307</v>
      </c>
      <c r="BB31" s="4">
        <f t="shared" si="98"/>
        <v>34276.624085000076</v>
      </c>
      <c r="BC31" s="4">
        <f t="shared" si="98"/>
        <v>36715.230968472468</v>
      </c>
      <c r="BD31" s="4">
        <f t="shared" si="98"/>
        <v>56496.958537079721</v>
      </c>
      <c r="BE31" s="4">
        <f t="shared" si="98"/>
        <v>81120.171802948447</v>
      </c>
      <c r="BF31" s="4">
        <f t="shared" si="98"/>
        <v>111861.6175380541</v>
      </c>
      <c r="BG31" s="4">
        <f t="shared" si="98"/>
        <v>135301.91699918915</v>
      </c>
      <c r="BH31" s="4">
        <f t="shared" si="98"/>
        <v>162957.16382123603</v>
      </c>
      <c r="BI31" s="4">
        <f t="shared" si="98"/>
        <v>195627.02951303247</v>
      </c>
    </row>
    <row r="32" spans="2:61" s="2" customFormat="1" x14ac:dyDescent="0.2">
      <c r="B32" s="2" t="s">
        <v>32</v>
      </c>
      <c r="C32" s="4">
        <f>327-4</f>
        <v>323</v>
      </c>
      <c r="D32" s="4">
        <f>836+4</f>
        <v>840</v>
      </c>
      <c r="E32" s="4">
        <f>257+7</f>
        <v>264</v>
      </c>
      <c r="F32" s="4">
        <f>494+4</f>
        <v>498</v>
      </c>
      <c r="G32" s="4">
        <f>786-1</f>
        <v>785</v>
      </c>
      <c r="H32" s="4">
        <f>744+104</f>
        <v>848</v>
      </c>
      <c r="I32" s="4">
        <f>984-6</f>
        <v>978</v>
      </c>
      <c r="J32" s="4">
        <f>569-91</f>
        <v>478</v>
      </c>
      <c r="K32" s="4">
        <f>566-23</f>
        <v>543</v>
      </c>
      <c r="L32" s="4">
        <f>2156+5</f>
        <v>2161</v>
      </c>
      <c r="M32" s="4">
        <f>868-12</f>
        <v>856</v>
      </c>
      <c r="N32" s="4">
        <f>1155+4</f>
        <v>1159</v>
      </c>
      <c r="O32" s="4">
        <f>612-1</f>
        <v>611</v>
      </c>
      <c r="P32" s="4">
        <f>-1422+1</f>
        <v>-1421</v>
      </c>
      <c r="Q32" s="4">
        <v>0</v>
      </c>
      <c r="R32" s="4">
        <f>69+3</f>
        <v>72</v>
      </c>
      <c r="S32" s="4">
        <f t="shared" ref="S32:W32" si="99">+S31*0.15</f>
        <v>845.32087500000046</v>
      </c>
      <c r="T32" s="4">
        <f t="shared" si="99"/>
        <v>1438.7136599999994</v>
      </c>
      <c r="U32" s="4">
        <f t="shared" si="99"/>
        <v>986.97826499999678</v>
      </c>
      <c r="V32" s="4">
        <f t="shared" si="99"/>
        <v>1088.1518249999983</v>
      </c>
      <c r="W32" s="4">
        <f t="shared" si="99"/>
        <v>1627.6498627499961</v>
      </c>
      <c r="AS32" s="2">
        <f>167-37</f>
        <v>130</v>
      </c>
      <c r="AT32" s="2">
        <f>950+22</f>
        <v>972</v>
      </c>
      <c r="AU32" s="2">
        <f>1425+96</f>
        <v>1521</v>
      </c>
      <c r="AV32" s="2">
        <f>769+4</f>
        <v>773</v>
      </c>
      <c r="AW32" s="2">
        <f>1197-9</f>
        <v>1188</v>
      </c>
      <c r="AX32" s="2">
        <f t="shared" ref="AX32" si="100">SUM(D32:G32)</f>
        <v>2387</v>
      </c>
      <c r="AY32" s="2">
        <f t="shared" ref="AY32" si="101">SUM(H32:K32)</f>
        <v>2847</v>
      </c>
      <c r="AZ32" s="2">
        <f t="shared" ref="AZ32" si="102">SUM(L32:O32)</f>
        <v>4787</v>
      </c>
      <c r="BA32" s="2">
        <f>SUM(P32:S32)</f>
        <v>-503.67912499999954</v>
      </c>
      <c r="BB32" s="2">
        <f>SUM(T32:W32)</f>
        <v>5141.4936127499905</v>
      </c>
      <c r="BC32" s="2">
        <f>+BC31*0.15</f>
        <v>5507.28464527087</v>
      </c>
      <c r="BD32" s="2">
        <f t="shared" ref="BD32:BI32" si="103">+BD31*0.15</f>
        <v>8474.5437805619586</v>
      </c>
      <c r="BE32" s="2">
        <f t="shared" si="103"/>
        <v>12168.025770442267</v>
      </c>
      <c r="BF32" s="2">
        <f t="shared" si="103"/>
        <v>16779.242630708115</v>
      </c>
      <c r="BG32" s="2">
        <f t="shared" si="103"/>
        <v>20295.287549878372</v>
      </c>
      <c r="BH32" s="2">
        <f t="shared" si="103"/>
        <v>24443.574573185404</v>
      </c>
      <c r="BI32" s="2">
        <f t="shared" si="103"/>
        <v>29344.05442695487</v>
      </c>
    </row>
    <row r="33" spans="2:123" s="2" customFormat="1" x14ac:dyDescent="0.2">
      <c r="B33" s="2" t="s">
        <v>33</v>
      </c>
      <c r="C33" s="4">
        <f t="shared" ref="C33" si="104">C31-C32</f>
        <v>3027</v>
      </c>
      <c r="D33" s="4">
        <f>D31-D32</f>
        <v>3561</v>
      </c>
      <c r="E33" s="4">
        <f t="shared" ref="E33" si="105">E31-E32</f>
        <v>2625</v>
      </c>
      <c r="F33" s="4">
        <f>F31-F32</f>
        <v>2134</v>
      </c>
      <c r="G33" s="4">
        <f t="shared" ref="G33" si="106">G31-G32</f>
        <v>3268</v>
      </c>
      <c r="H33" s="4">
        <f t="shared" ref="H33" si="107">H31-H32</f>
        <v>2535</v>
      </c>
      <c r="I33" s="4">
        <f t="shared" ref="I33" si="108">I31-I32</f>
        <v>5243</v>
      </c>
      <c r="J33" s="4">
        <f>J31-J32</f>
        <v>6331</v>
      </c>
      <c r="K33" s="4">
        <f t="shared" ref="K33" si="109">K31-K32</f>
        <v>7222</v>
      </c>
      <c r="L33" s="4">
        <f>L31-L32</f>
        <v>8107</v>
      </c>
      <c r="M33" s="4">
        <f t="shared" ref="M33:W33" si="110">M31-M32</f>
        <v>7778</v>
      </c>
      <c r="N33" s="4">
        <f t="shared" si="110"/>
        <v>3156</v>
      </c>
      <c r="O33" s="4">
        <f t="shared" si="110"/>
        <v>14323</v>
      </c>
      <c r="P33" s="4">
        <f t="shared" si="110"/>
        <v>-3844</v>
      </c>
      <c r="Q33" s="4">
        <f t="shared" si="110"/>
        <v>2982</v>
      </c>
      <c r="R33" s="4">
        <f t="shared" si="110"/>
        <v>2872</v>
      </c>
      <c r="S33" s="4">
        <f t="shared" si="110"/>
        <v>4790.1516250000032</v>
      </c>
      <c r="T33" s="4">
        <f t="shared" si="110"/>
        <v>8152.7107399999968</v>
      </c>
      <c r="U33" s="4">
        <f t="shared" si="110"/>
        <v>5592.8768349999818</v>
      </c>
      <c r="V33" s="4">
        <f t="shared" si="110"/>
        <v>6166.1936749999904</v>
      </c>
      <c r="W33" s="4">
        <f t="shared" si="110"/>
        <v>9223.3492222499772</v>
      </c>
      <c r="AS33" s="4">
        <f t="shared" ref="AS33:AU33" si="111">AS31-AS32</f>
        <v>-241</v>
      </c>
      <c r="AT33" s="4">
        <f t="shared" si="111"/>
        <v>596</v>
      </c>
      <c r="AU33" s="4">
        <f t="shared" si="111"/>
        <v>2371</v>
      </c>
      <c r="AV33" s="4">
        <f t="shared" ref="AV33" si="112">AV31-AV32</f>
        <v>3033</v>
      </c>
      <c r="AW33" s="4">
        <f t="shared" ref="AW33:AX33" si="113">AW31-AW32</f>
        <v>10073</v>
      </c>
      <c r="AX33" s="4">
        <f t="shared" si="113"/>
        <v>11588</v>
      </c>
      <c r="AY33" s="4">
        <f t="shared" ref="AY33:BB33" si="114">AY31-AY32</f>
        <v>21331</v>
      </c>
      <c r="AZ33" s="4">
        <f t="shared" si="114"/>
        <v>33364</v>
      </c>
      <c r="BA33" s="4">
        <f t="shared" si="114"/>
        <v>8816.1516249999295</v>
      </c>
      <c r="BB33" s="4">
        <f t="shared" si="114"/>
        <v>29135.130472250086</v>
      </c>
      <c r="BC33" s="4">
        <f t="shared" ref="BC33:BI33" si="115">BC31-BC32</f>
        <v>31207.946323201599</v>
      </c>
      <c r="BD33" s="4">
        <f t="shared" si="115"/>
        <v>48022.414756517763</v>
      </c>
      <c r="BE33" s="4">
        <f t="shared" si="115"/>
        <v>68952.146032506178</v>
      </c>
      <c r="BF33" s="4">
        <f t="shared" si="115"/>
        <v>95082.374907345977</v>
      </c>
      <c r="BG33" s="4">
        <f t="shared" si="115"/>
        <v>115006.62944931079</v>
      </c>
      <c r="BH33" s="4">
        <f t="shared" si="115"/>
        <v>138513.58924805062</v>
      </c>
      <c r="BI33" s="4">
        <f t="shared" si="115"/>
        <v>166282.97508607758</v>
      </c>
      <c r="BJ33" s="2">
        <f>+BI33*(1+$BL$47)</f>
        <v>166282.97508607758</v>
      </c>
      <c r="BK33" s="2">
        <f t="shared" ref="BK33:DS33" si="116">+BJ33*(1+$BL$47)</f>
        <v>166282.97508607758</v>
      </c>
      <c r="BL33" s="2">
        <f t="shared" si="116"/>
        <v>166282.97508607758</v>
      </c>
      <c r="BM33" s="2">
        <f t="shared" si="116"/>
        <v>166282.97508607758</v>
      </c>
      <c r="BN33" s="2">
        <f t="shared" si="116"/>
        <v>166282.97508607758</v>
      </c>
      <c r="BO33" s="2">
        <f t="shared" si="116"/>
        <v>166282.97508607758</v>
      </c>
      <c r="BP33" s="2">
        <f t="shared" si="116"/>
        <v>166282.97508607758</v>
      </c>
      <c r="BQ33" s="2">
        <f t="shared" si="116"/>
        <v>166282.97508607758</v>
      </c>
      <c r="BR33" s="2">
        <f t="shared" si="116"/>
        <v>166282.97508607758</v>
      </c>
      <c r="BS33" s="2">
        <f t="shared" si="116"/>
        <v>166282.97508607758</v>
      </c>
      <c r="BT33" s="2">
        <f t="shared" si="116"/>
        <v>166282.97508607758</v>
      </c>
      <c r="BU33" s="2">
        <f t="shared" si="116"/>
        <v>166282.97508607758</v>
      </c>
      <c r="BV33" s="2">
        <f t="shared" si="116"/>
        <v>166282.97508607758</v>
      </c>
      <c r="BW33" s="2">
        <f t="shared" si="116"/>
        <v>166282.97508607758</v>
      </c>
      <c r="BX33" s="2">
        <f t="shared" si="116"/>
        <v>166282.97508607758</v>
      </c>
      <c r="BY33" s="2">
        <f t="shared" si="116"/>
        <v>166282.97508607758</v>
      </c>
      <c r="BZ33" s="2">
        <f t="shared" si="116"/>
        <v>166282.97508607758</v>
      </c>
      <c r="CA33" s="2">
        <f t="shared" si="116"/>
        <v>166282.97508607758</v>
      </c>
      <c r="CB33" s="2">
        <f t="shared" si="116"/>
        <v>166282.97508607758</v>
      </c>
      <c r="CC33" s="2">
        <f t="shared" si="116"/>
        <v>166282.97508607758</v>
      </c>
      <c r="CD33" s="2">
        <f t="shared" si="116"/>
        <v>166282.97508607758</v>
      </c>
      <c r="CE33" s="2">
        <f t="shared" si="116"/>
        <v>166282.97508607758</v>
      </c>
      <c r="CF33" s="2">
        <f t="shared" si="116"/>
        <v>166282.97508607758</v>
      </c>
      <c r="CG33" s="2">
        <f t="shared" si="116"/>
        <v>166282.97508607758</v>
      </c>
      <c r="CH33" s="2">
        <f t="shared" si="116"/>
        <v>166282.97508607758</v>
      </c>
      <c r="CI33" s="2">
        <f t="shared" si="116"/>
        <v>166282.97508607758</v>
      </c>
      <c r="CJ33" s="2">
        <f t="shared" si="116"/>
        <v>166282.97508607758</v>
      </c>
      <c r="CK33" s="2">
        <f t="shared" si="116"/>
        <v>166282.97508607758</v>
      </c>
      <c r="CL33" s="2">
        <f t="shared" si="116"/>
        <v>166282.97508607758</v>
      </c>
      <c r="CM33" s="2">
        <f t="shared" si="116"/>
        <v>166282.97508607758</v>
      </c>
      <c r="CN33" s="2">
        <f t="shared" si="116"/>
        <v>166282.97508607758</v>
      </c>
      <c r="CO33" s="2">
        <f t="shared" si="116"/>
        <v>166282.97508607758</v>
      </c>
      <c r="CP33" s="2">
        <f t="shared" si="116"/>
        <v>166282.97508607758</v>
      </c>
      <c r="CQ33" s="2">
        <f t="shared" si="116"/>
        <v>166282.97508607758</v>
      </c>
      <c r="CR33" s="2">
        <f t="shared" si="116"/>
        <v>166282.97508607758</v>
      </c>
      <c r="CS33" s="2">
        <f t="shared" si="116"/>
        <v>166282.97508607758</v>
      </c>
      <c r="CT33" s="2">
        <f t="shared" si="116"/>
        <v>166282.97508607758</v>
      </c>
      <c r="CU33" s="2">
        <f t="shared" si="116"/>
        <v>166282.97508607758</v>
      </c>
      <c r="CV33" s="2">
        <f t="shared" si="116"/>
        <v>166282.97508607758</v>
      </c>
      <c r="CW33" s="2">
        <f t="shared" si="116"/>
        <v>166282.97508607758</v>
      </c>
      <c r="CX33" s="2">
        <f t="shared" si="116"/>
        <v>166282.97508607758</v>
      </c>
      <c r="CY33" s="2">
        <f t="shared" si="116"/>
        <v>166282.97508607758</v>
      </c>
      <c r="CZ33" s="2">
        <f t="shared" si="116"/>
        <v>166282.97508607758</v>
      </c>
      <c r="DA33" s="2">
        <f t="shared" si="116"/>
        <v>166282.97508607758</v>
      </c>
      <c r="DB33" s="2">
        <f t="shared" si="116"/>
        <v>166282.97508607758</v>
      </c>
      <c r="DC33" s="2">
        <f t="shared" si="116"/>
        <v>166282.97508607758</v>
      </c>
      <c r="DD33" s="2">
        <f t="shared" si="116"/>
        <v>166282.97508607758</v>
      </c>
      <c r="DE33" s="2">
        <f t="shared" si="116"/>
        <v>166282.97508607758</v>
      </c>
      <c r="DF33" s="2">
        <f t="shared" si="116"/>
        <v>166282.97508607758</v>
      </c>
      <c r="DG33" s="2">
        <f t="shared" si="116"/>
        <v>166282.97508607758</v>
      </c>
      <c r="DH33" s="2">
        <f t="shared" si="116"/>
        <v>166282.97508607758</v>
      </c>
      <c r="DI33" s="2">
        <f t="shared" si="116"/>
        <v>166282.97508607758</v>
      </c>
      <c r="DJ33" s="2">
        <f t="shared" si="116"/>
        <v>166282.97508607758</v>
      </c>
      <c r="DK33" s="2">
        <f t="shared" si="116"/>
        <v>166282.97508607758</v>
      </c>
      <c r="DL33" s="2">
        <f t="shared" si="116"/>
        <v>166282.97508607758</v>
      </c>
      <c r="DM33" s="2">
        <f t="shared" si="116"/>
        <v>166282.97508607758</v>
      </c>
      <c r="DN33" s="2">
        <f t="shared" si="116"/>
        <v>166282.97508607758</v>
      </c>
      <c r="DO33" s="2">
        <f t="shared" si="116"/>
        <v>166282.97508607758</v>
      </c>
      <c r="DP33" s="2">
        <f t="shared" si="116"/>
        <v>166282.97508607758</v>
      </c>
      <c r="DQ33" s="2">
        <f t="shared" si="116"/>
        <v>166282.97508607758</v>
      </c>
      <c r="DR33" s="2">
        <f t="shared" si="116"/>
        <v>166282.97508607758</v>
      </c>
      <c r="DS33" s="2">
        <f t="shared" si="116"/>
        <v>166282.97508607758</v>
      </c>
    </row>
    <row r="34" spans="2:123" x14ac:dyDescent="0.2">
      <c r="B34" s="2" t="s">
        <v>34</v>
      </c>
      <c r="C34" s="7">
        <f t="shared" ref="C34" si="117">C33/C35</f>
        <v>6.0419161676646711</v>
      </c>
      <c r="D34" s="7">
        <f>D33/D35</f>
        <v>7.0936254980079685</v>
      </c>
      <c r="E34" s="7">
        <f t="shared" ref="E34" si="118">E33/E35</f>
        <v>5.2186878727634198</v>
      </c>
      <c r="F34" s="7">
        <f>F33/F35</f>
        <v>4.2341269841269842</v>
      </c>
      <c r="G34" s="7">
        <f t="shared" ref="G34" si="119">G33/G35</f>
        <v>6.4712871287128717</v>
      </c>
      <c r="H34" s="7">
        <f t="shared" ref="H34" si="120">H33/H35</f>
        <v>5.0098814229249014</v>
      </c>
      <c r="I34" s="7">
        <f t="shared" ref="I34" si="121">I33/I35</f>
        <v>10.300589390962672</v>
      </c>
      <c r="J34" s="7">
        <f>J33/J35</f>
        <v>12.365234375</v>
      </c>
      <c r="K34" s="7">
        <f t="shared" ref="K34" si="122">K33/K35</f>
        <v>14.077972709551657</v>
      </c>
      <c r="L34" s="7">
        <f>L33/L35</f>
        <v>15.803118908382066</v>
      </c>
      <c r="M34" s="7">
        <f>M33/M35</f>
        <v>0.75617343962667705</v>
      </c>
      <c r="N34" s="7">
        <f>N33/N35</f>
        <v>6.1281553398058248</v>
      </c>
      <c r="O34" s="7">
        <f>O33/O35</f>
        <v>27.757751937984494</v>
      </c>
      <c r="P34" s="7">
        <f>P33/P35</f>
        <v>-7.5520628683693518</v>
      </c>
      <c r="Q34" s="7">
        <f t="shared" ref="Q34:W34" si="123">Q33/Q35</f>
        <v>0.29307125307125309</v>
      </c>
      <c r="R34" s="7">
        <f t="shared" si="123"/>
        <v>0.27799825767108705</v>
      </c>
      <c r="S34" s="7">
        <f t="shared" si="123"/>
        <v>0.46366775965540635</v>
      </c>
      <c r="T34" s="7">
        <f t="shared" si="123"/>
        <v>0.78915020230374566</v>
      </c>
      <c r="U34" s="7">
        <f t="shared" si="123"/>
        <v>0.54136838979769453</v>
      </c>
      <c r="V34" s="7">
        <f t="shared" si="123"/>
        <v>0.59686319572161362</v>
      </c>
      <c r="W34" s="7">
        <f t="shared" si="123"/>
        <v>0.89278377913560902</v>
      </c>
      <c r="AS34" s="7">
        <f t="shared" ref="AS34" si="124">AS33/AS35</f>
        <v>-0.52164502164502169</v>
      </c>
      <c r="AT34" s="7">
        <f t="shared" ref="AT34" si="125">AT33/AT35</f>
        <v>1.249475890985325</v>
      </c>
      <c r="AU34" s="7">
        <f t="shared" ref="AU34" si="126">AU33/AU35</f>
        <v>4.8987603305785123</v>
      </c>
      <c r="AV34" s="7">
        <f t="shared" ref="AV34" si="127">AV33/AV35</f>
        <v>6.1521298174442194</v>
      </c>
      <c r="AW34" s="7">
        <f t="shared" ref="AW34:AX34" si="128">AW33/AW35</f>
        <v>20.146000000000001</v>
      </c>
      <c r="AX34" s="7">
        <f t="shared" si="128"/>
        <v>23.014895729890764</v>
      </c>
      <c r="AY34" s="7">
        <f>AY33/AY35</f>
        <v>41.825490196078434</v>
      </c>
      <c r="AZ34" s="7">
        <f>AZ33/AZ35</f>
        <v>11.281149619611158</v>
      </c>
      <c r="BA34" s="7">
        <f t="shared" ref="BA34:BB34" si="129">BA33/BA35</f>
        <v>0.8664522481572412</v>
      </c>
      <c r="BB34" s="7">
        <f t="shared" si="129"/>
        <v>2.8201655669586763</v>
      </c>
      <c r="BC34" s="7">
        <f t="shared" ref="BC34" si="130">BC33/BC35</f>
        <v>3.0208059552029423</v>
      </c>
      <c r="BD34" s="7">
        <f t="shared" ref="BD34" si="131">BD33/BD35</f>
        <v>4.6483800945230627</v>
      </c>
      <c r="BE34" s="7">
        <f t="shared" ref="BE34" si="132">BE33/BE35</f>
        <v>6.6742954246932706</v>
      </c>
      <c r="BF34" s="7">
        <f t="shared" ref="BF34" si="133">BF33/BF35</f>
        <v>9.203598384217015</v>
      </c>
      <c r="BG34" s="7">
        <f t="shared" ref="BG34" si="134">BG33/BG35</f>
        <v>11.132187537441757</v>
      </c>
      <c r="BH34" s="7">
        <f t="shared" ref="BH34" si="135">BH33/BH35</f>
        <v>13.407568410420154</v>
      </c>
      <c r="BI34" s="7">
        <f t="shared" ref="BI34" si="136">BI33/BI35</f>
        <v>16.095535290492457</v>
      </c>
    </row>
    <row r="35" spans="2:123" x14ac:dyDescent="0.2">
      <c r="B35" s="2" t="s">
        <v>2</v>
      </c>
      <c r="C35" s="3">
        <v>501</v>
      </c>
      <c r="D35" s="3">
        <v>502</v>
      </c>
      <c r="E35" s="3">
        <v>503</v>
      </c>
      <c r="F35" s="3">
        <v>504</v>
      </c>
      <c r="G35" s="3">
        <v>505</v>
      </c>
      <c r="H35" s="3">
        <v>506</v>
      </c>
      <c r="I35" s="3">
        <v>509</v>
      </c>
      <c r="J35" s="3">
        <v>512</v>
      </c>
      <c r="K35" s="3">
        <v>513</v>
      </c>
      <c r="L35" s="3">
        <v>513</v>
      </c>
      <c r="M35" s="4">
        <v>10286</v>
      </c>
      <c r="N35" s="3">
        <v>515</v>
      </c>
      <c r="O35" s="3">
        <v>516</v>
      </c>
      <c r="P35" s="3">
        <v>509</v>
      </c>
      <c r="Q35" s="4">
        <v>10175</v>
      </c>
      <c r="R35" s="4">
        <v>10331</v>
      </c>
      <c r="S35" s="4">
        <f t="shared" ref="S35:W35" si="137">+R35</f>
        <v>10331</v>
      </c>
      <c r="T35" s="4">
        <f t="shared" si="137"/>
        <v>10331</v>
      </c>
      <c r="U35" s="4">
        <f t="shared" si="137"/>
        <v>10331</v>
      </c>
      <c r="V35" s="4">
        <f t="shared" si="137"/>
        <v>10331</v>
      </c>
      <c r="W35" s="4">
        <f t="shared" si="137"/>
        <v>10331</v>
      </c>
      <c r="AD35" s="2">
        <v>161.096869</v>
      </c>
      <c r="AS35" s="2">
        <v>462</v>
      </c>
      <c r="AT35" s="2">
        <v>477</v>
      </c>
      <c r="AU35" s="2">
        <v>484</v>
      </c>
      <c r="AV35" s="4">
        <v>493</v>
      </c>
      <c r="AW35" s="4">
        <v>500</v>
      </c>
      <c r="AX35" s="4">
        <f>AVERAGE(D35:G35)</f>
        <v>503.5</v>
      </c>
      <c r="AY35" s="4">
        <f>AVERAGE(H35:K35)</f>
        <v>510</v>
      </c>
      <c r="AZ35" s="4">
        <f>AVERAGE(L35:O35)</f>
        <v>2957.5</v>
      </c>
      <c r="BA35" s="2">
        <f>Q35</f>
        <v>10175</v>
      </c>
      <c r="BB35" s="2">
        <f>AVERAGE(T35:W35)</f>
        <v>10331</v>
      </c>
      <c r="BC35" s="2">
        <f>+BB35</f>
        <v>10331</v>
      </c>
      <c r="BD35" s="2">
        <f t="shared" ref="BD35:BI35" si="138">+BC35</f>
        <v>10331</v>
      </c>
      <c r="BE35" s="2">
        <f t="shared" si="138"/>
        <v>10331</v>
      </c>
      <c r="BF35" s="2">
        <f t="shared" si="138"/>
        <v>10331</v>
      </c>
      <c r="BG35" s="2">
        <f t="shared" si="138"/>
        <v>10331</v>
      </c>
      <c r="BH35" s="2">
        <f t="shared" si="138"/>
        <v>10331</v>
      </c>
      <c r="BI35" s="2">
        <f t="shared" si="138"/>
        <v>10331</v>
      </c>
    </row>
    <row r="37" spans="2:123" s="11" customFormat="1" x14ac:dyDescent="0.2">
      <c r="B37" s="5" t="s">
        <v>38</v>
      </c>
      <c r="C37" s="9"/>
      <c r="D37" s="9"/>
      <c r="E37" s="9"/>
      <c r="F37" s="9"/>
      <c r="G37" s="10">
        <f>G21/C21-1</f>
        <v>0.20797701117665746</v>
      </c>
      <c r="H37" s="10">
        <f>H21/D21-1</f>
        <v>0.26385259631490787</v>
      </c>
      <c r="I37" s="10">
        <f t="shared" ref="I37:K37" si="139">I21/E21-1</f>
        <v>0.40230900258658764</v>
      </c>
      <c r="J37" s="10">
        <f t="shared" si="139"/>
        <v>0.37387290836084075</v>
      </c>
      <c r="K37" s="10">
        <f t="shared" si="139"/>
        <v>0.43594816839553041</v>
      </c>
      <c r="L37" s="10">
        <f t="shared" ref="L37" si="140">L21/H21-1</f>
        <v>0.43823888034777081</v>
      </c>
      <c r="M37" s="10">
        <f t="shared" ref="M37" si="141">M21/I21-1</f>
        <v>0.27181932697498645</v>
      </c>
      <c r="N37" s="10">
        <f t="shared" ref="N37" si="142">N21/J21-1</f>
        <v>0.15255083467679031</v>
      </c>
      <c r="O37" s="10">
        <f t="shared" ref="O37" si="143">O21/K21-1</f>
        <v>9.4436701047349692E-2</v>
      </c>
      <c r="P37" s="10">
        <f>P21/L21-1</f>
        <v>7.3038574245747334E-2</v>
      </c>
      <c r="Q37" s="10">
        <f t="shared" ref="Q37:W37" si="144">Q21/M21-1</f>
        <v>7.2108241952600016E-2</v>
      </c>
      <c r="R37" s="10">
        <f>R21/N21-1</f>
        <v>0.14699671515720314</v>
      </c>
      <c r="S37" s="10">
        <f t="shared" si="144"/>
        <v>7.166251855733119E-2</v>
      </c>
      <c r="T37" s="10">
        <f t="shared" si="144"/>
        <v>7.9752670811720661E-2</v>
      </c>
      <c r="U37" s="10">
        <f t="shared" si="144"/>
        <v>8.1178629757328702E-2</v>
      </c>
      <c r="V37" s="10">
        <f t="shared" si="144"/>
        <v>0.10160337054783186</v>
      </c>
      <c r="W37" s="10">
        <f t="shared" si="144"/>
        <v>7.933891776878732E-2</v>
      </c>
      <c r="AC37" s="15">
        <f t="shared" ref="AC37:AD37" si="145">AC21/AB21-1</f>
        <v>3.1263372285789677</v>
      </c>
      <c r="AD37" s="15">
        <f t="shared" si="145"/>
        <v>1.6890585567192891</v>
      </c>
      <c r="AE37" s="15">
        <f t="shared" ref="AE37" si="146">AE21/AD21-1</f>
        <v>0.68430132470321792</v>
      </c>
      <c r="AF37" s="15">
        <f t="shared" ref="AF37" si="147">AF21/AE21-1</f>
        <v>0.1305040617556299</v>
      </c>
      <c r="AG37" s="15">
        <f t="shared" ref="AG37" si="148">AG21/AF21-1</f>
        <v>0.25957418461821291</v>
      </c>
      <c r="AH37" s="15">
        <f t="shared" ref="AH37" si="149">AH21/AG21-1</f>
        <v>0.3383637567455966</v>
      </c>
      <c r="AI37" s="15">
        <f t="shared" ref="AI37" si="150">AI21/AH21-1</f>
        <v>0.31485481977597884</v>
      </c>
      <c r="AJ37" s="15">
        <f t="shared" ref="AJ37" si="151">AJ21/AI21-1</f>
        <v>0.22670134373645423</v>
      </c>
      <c r="AK37" s="15">
        <f t="shared" ref="AK37" si="152">AK21/AJ21-1</f>
        <v>0.26160188457008249</v>
      </c>
      <c r="AL37" s="15">
        <f t="shared" ref="AL37" si="153">AL21/AK21-1</f>
        <v>0.38502474092054895</v>
      </c>
      <c r="AM37" s="15">
        <f t="shared" ref="AM37" si="154">AM21/AL21-1</f>
        <v>0.29194472531176263</v>
      </c>
      <c r="AN37" s="15">
        <f t="shared" ref="AN37" si="155">AN21/AM21-1</f>
        <v>0.27877491391004905</v>
      </c>
      <c r="AO37" s="15">
        <f t="shared" ref="AO37" si="156">AO21/AN21-1</f>
        <v>0.39556897466236896</v>
      </c>
      <c r="AP37" s="15">
        <f t="shared" ref="AP37" si="157">AP21/AO21-1</f>
        <v>0.40559583674424049</v>
      </c>
      <c r="AQ37" s="15">
        <f t="shared" ref="AQ37" si="158">AQ21/AP21-1</f>
        <v>0.27073236682821311</v>
      </c>
      <c r="AR37" s="15">
        <f t="shared" ref="AR37:AV37" si="159">AR21/AQ21-1</f>
        <v>0.21866662301736706</v>
      </c>
      <c r="AS37" s="15">
        <f t="shared" si="159"/>
        <v>0.1952398861011122</v>
      </c>
      <c r="AT37" s="15">
        <f t="shared" si="159"/>
        <v>0.20247673843664304</v>
      </c>
      <c r="AU37" s="15">
        <f t="shared" si="159"/>
        <v>0.27083528026465808</v>
      </c>
      <c r="AV37" s="15">
        <f t="shared" si="159"/>
        <v>0.30796326119408479</v>
      </c>
      <c r="AW37" s="15">
        <f t="shared" ref="AW37" si="160">AW21/AV21-1</f>
        <v>0.3093396152159491</v>
      </c>
      <c r="AX37" s="15">
        <f t="shared" ref="AX37" si="161">AX21/AW21-1</f>
        <v>0.20454125820676983</v>
      </c>
      <c r="AY37" s="15">
        <f t="shared" ref="AY37" si="162">AY21/AX21-1</f>
        <v>0.37623430604373276</v>
      </c>
      <c r="AZ37" s="15">
        <f>AZ21/AY21-1</f>
        <v>0.21695366571345676</v>
      </c>
      <c r="BA37" s="15">
        <f t="shared" ref="BA37:BI37" si="163">BA21/AZ21-1</f>
        <v>9.4146910957766838E-2</v>
      </c>
      <c r="BB37" s="15">
        <f>BB21/BA21-1</f>
        <v>8.113853635965218E-2</v>
      </c>
      <c r="BC37" s="15">
        <f t="shared" si="163"/>
        <v>0.1060628842726743</v>
      </c>
      <c r="BD37" s="15">
        <f t="shared" si="163"/>
        <v>0.11462174259765412</v>
      </c>
      <c r="BE37" s="15">
        <f t="shared" si="163"/>
        <v>0.12411476994453396</v>
      </c>
      <c r="BF37" s="15">
        <f t="shared" si="163"/>
        <v>0.13448355594767492</v>
      </c>
      <c r="BG37" s="15">
        <f t="shared" si="163"/>
        <v>0.10344341530827039</v>
      </c>
      <c r="BH37" s="15">
        <f t="shared" si="163"/>
        <v>0.10811997015905717</v>
      </c>
      <c r="BI37" s="15">
        <f t="shared" si="163"/>
        <v>0.11293900125349898</v>
      </c>
    </row>
    <row r="38" spans="2:123" s="16" customFormat="1" x14ac:dyDescent="0.2">
      <c r="B38" s="17" t="s">
        <v>100</v>
      </c>
      <c r="C38" s="18"/>
      <c r="D38" s="19"/>
      <c r="E38" s="19"/>
      <c r="F38" s="19"/>
      <c r="G38" s="19"/>
      <c r="H38" s="19">
        <f t="shared" ref="H38:H39" si="164">+H19/D19-1</f>
        <v>0.22045911968030807</v>
      </c>
      <c r="I38" s="19">
        <f t="shared" ref="I38:I39" si="165">+I19/E19-1</f>
        <v>0.40127175368139234</v>
      </c>
      <c r="J38" s="19">
        <f t="shared" ref="J38:J39" si="166">+J19/F19-1</f>
        <v>0.32844988168957356</v>
      </c>
      <c r="K38" s="19">
        <f t="shared" ref="K38:K39" si="167">+K19/G19-1</f>
        <v>0.40588025800324479</v>
      </c>
      <c r="L38" s="19">
        <f t="shared" ref="L38:P38" si="168">+L19/H19-1</f>
        <v>0.37403503740350375</v>
      </c>
      <c r="M38" s="19">
        <f t="shared" si="168"/>
        <v>0.15444630204601539</v>
      </c>
      <c r="N38" s="19">
        <f t="shared" si="168"/>
        <v>3.9830219426232549E-2</v>
      </c>
      <c r="O38" s="19">
        <f t="shared" si="168"/>
        <v>5.0664264805224679E-3</v>
      </c>
      <c r="P38" s="19">
        <f t="shared" si="168"/>
        <v>-1.8020211859247515E-2</v>
      </c>
      <c r="Q38" s="19">
        <f>+Q19/M19-1</f>
        <v>-2.4636231984001111E-2</v>
      </c>
      <c r="R38" s="19">
        <f>+R19/N19-1</f>
        <v>8.1347036956046281E-2</v>
      </c>
      <c r="S38" s="19"/>
      <c r="T38" s="19"/>
      <c r="U38" s="19"/>
      <c r="V38" s="19"/>
      <c r="W38" s="19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</row>
    <row r="39" spans="2:123" s="16" customFormat="1" x14ac:dyDescent="0.2">
      <c r="B39" s="17" t="s">
        <v>101</v>
      </c>
      <c r="C39" s="18"/>
      <c r="D39" s="19"/>
      <c r="E39" s="19"/>
      <c r="F39" s="19"/>
      <c r="G39" s="19"/>
      <c r="H39" s="19">
        <f t="shared" si="164"/>
        <v>0.32238265727662596</v>
      </c>
      <c r="I39" s="19">
        <f t="shared" si="165"/>
        <v>0.40365906780891536</v>
      </c>
      <c r="J39" s="19">
        <f t="shared" si="166"/>
        <v>0.43351512146752613</v>
      </c>
      <c r="K39" s="19">
        <f t="shared" si="167"/>
        <v>0.47713782355332701</v>
      </c>
      <c r="L39" s="19">
        <f t="shared" ref="L39" si="169">+L20/H20-1</f>
        <v>0.5181636964089138</v>
      </c>
      <c r="M39" s="19">
        <f t="shared" ref="M39" si="170">+M20/I20-1</f>
        <v>0.42433019551049966</v>
      </c>
      <c r="N39" s="19">
        <f t="shared" ref="N39" si="171">+N20/J20-1</f>
        <v>0.28970971386410271</v>
      </c>
      <c r="O39" s="19">
        <f t="shared" ref="O39" si="172">+O20/K20-1</f>
        <v>0.21095799922934355</v>
      </c>
      <c r="P39" s="19">
        <f t="shared" ref="P39:R39" si="173">+P20/L20-1</f>
        <v>0.17563250827993016</v>
      </c>
      <c r="Q39" s="19">
        <f t="shared" si="173"/>
        <v>0.17399593289273008</v>
      </c>
      <c r="R39" s="19">
        <f t="shared" si="173"/>
        <v>0.21140231693363853</v>
      </c>
      <c r="S39" s="19"/>
      <c r="T39" s="19"/>
      <c r="U39" s="19"/>
      <c r="V39" s="19"/>
      <c r="W39" s="19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</row>
    <row r="40" spans="2:123" x14ac:dyDescent="0.2">
      <c r="B40" s="2" t="s">
        <v>56</v>
      </c>
      <c r="G40" s="8">
        <f t="shared" ref="G40" si="174">+G12/C12-1</f>
        <v>0.14652704535181549</v>
      </c>
      <c r="H40" s="8">
        <f t="shared" ref="H40" si="175">+H12/D12-1</f>
        <v>0.24252491694352152</v>
      </c>
      <c r="I40" s="8">
        <f t="shared" ref="I40" si="176">+I12/E12-1</f>
        <v>0.47798924419540789</v>
      </c>
      <c r="J40" s="8">
        <f t="shared" ref="J40" si="177">+J12/F12-1</f>
        <v>0.37989097862381915</v>
      </c>
      <c r="K40" s="8">
        <f t="shared" ref="K40:O40" si="178">+K12/G12-1</f>
        <v>0.45543947258908823</v>
      </c>
      <c r="L40" s="8">
        <f t="shared" si="178"/>
        <v>0.44333187820582776</v>
      </c>
      <c r="M40" s="8">
        <f t="shared" si="178"/>
        <v>0.15820550810528156</v>
      </c>
      <c r="N40" s="8">
        <f t="shared" si="178"/>
        <v>3.2926577042399208E-2</v>
      </c>
      <c r="O40" s="8">
        <f t="shared" si="178"/>
        <v>-5.6583046154309313E-3</v>
      </c>
      <c r="P40" s="8">
        <f>+P12/L12-1</f>
        <v>-3.3496531256497986E-2</v>
      </c>
      <c r="Q40" s="8">
        <f t="shared" ref="Q40:W40" si="179">+Q12/M12-1</f>
        <v>-4.3305679402524611E-2</v>
      </c>
      <c r="R40" s="8">
        <f t="shared" si="179"/>
        <v>7.102238596772259E-2</v>
      </c>
      <c r="S40" s="8">
        <f t="shared" si="179"/>
        <v>3.0000000000000027E-2</v>
      </c>
      <c r="T40" s="8">
        <f t="shared" si="179"/>
        <v>3.0000000000000027E-2</v>
      </c>
      <c r="U40" s="8">
        <f t="shared" si="179"/>
        <v>3.0000000000000027E-2</v>
      </c>
      <c r="V40" s="8">
        <f t="shared" si="179"/>
        <v>3.0000000000000027E-2</v>
      </c>
      <c r="W40" s="8">
        <f t="shared" si="179"/>
        <v>3.0000000000000027E-2</v>
      </c>
      <c r="AW40" s="13"/>
      <c r="AX40" s="13">
        <f t="shared" ref="AX40" si="180">AX12/AW12-1</f>
        <v>0.14847097660728359</v>
      </c>
      <c r="AY40" s="13">
        <f t="shared" ref="AY40" si="181">AY12/AX12-1</f>
        <v>0.39719073679440986</v>
      </c>
      <c r="AZ40" s="13">
        <f>AZ12/AY12-1</f>
        <v>0.12529072860769497</v>
      </c>
      <c r="BA40" s="13">
        <f t="shared" ref="BA40:BI40" si="182">BA12/AZ12-1</f>
        <v>6.5529663402004168E-3</v>
      </c>
      <c r="BB40" s="13">
        <f t="shared" si="182"/>
        <v>3.0000000000000027E-2</v>
      </c>
      <c r="BC40" s="13">
        <f t="shared" si="182"/>
        <v>5.0000000000000044E-2</v>
      </c>
      <c r="BD40" s="13">
        <f t="shared" si="182"/>
        <v>5.0000000000000044E-2</v>
      </c>
      <c r="BE40" s="13">
        <f t="shared" si="182"/>
        <v>5.0000000000000044E-2</v>
      </c>
      <c r="BF40" s="13">
        <f t="shared" si="182"/>
        <v>5.0000000000000044E-2</v>
      </c>
      <c r="BG40" s="13">
        <f t="shared" si="182"/>
        <v>5.0000000000000044E-2</v>
      </c>
      <c r="BH40" s="13">
        <f t="shared" si="182"/>
        <v>5.0000000000000044E-2</v>
      </c>
      <c r="BI40" s="13">
        <f t="shared" si="182"/>
        <v>5.0000000000000044E-2</v>
      </c>
    </row>
    <row r="41" spans="2:123" x14ac:dyDescent="0.2">
      <c r="B41" s="2" t="s">
        <v>57</v>
      </c>
      <c r="G41" s="8">
        <f t="shared" ref="G41:O41" si="183">+G14/C14-1</f>
        <v>0.30359411193304942</v>
      </c>
      <c r="H41" s="8">
        <f t="shared" si="183"/>
        <v>0.29961403823714217</v>
      </c>
      <c r="I41" s="8">
        <f t="shared" si="183"/>
        <v>0.52106671125229886</v>
      </c>
      <c r="J41" s="8">
        <f t="shared" si="183"/>
        <v>0.54677565849227983</v>
      </c>
      <c r="K41" s="8">
        <f t="shared" si="183"/>
        <v>0.56637624670411557</v>
      </c>
      <c r="L41" s="8">
        <f t="shared" si="183"/>
        <v>0.63747496374058987</v>
      </c>
      <c r="M41" s="8">
        <f t="shared" si="183"/>
        <v>0.37867546029128873</v>
      </c>
      <c r="N41" s="8">
        <f t="shared" si="183"/>
        <v>0.18672930123311793</v>
      </c>
      <c r="O41" s="8">
        <f t="shared" si="183"/>
        <v>0.10952537783144867</v>
      </c>
      <c r="P41" s="8">
        <f>+P14/L14-1</f>
        <v>6.8581551309629285E-2</v>
      </c>
      <c r="Q41" s="8">
        <f t="shared" ref="Q41:W41" si="184">+Q14/M14-1</f>
        <v>9.1329479768786026E-2</v>
      </c>
      <c r="R41" s="8">
        <f t="shared" si="184"/>
        <v>0.18200560778492503</v>
      </c>
      <c r="S41" s="8">
        <f t="shared" si="184"/>
        <v>3.0000000000000027E-2</v>
      </c>
      <c r="T41" s="8">
        <f t="shared" si="184"/>
        <v>3.0000000000000027E-2</v>
      </c>
      <c r="U41" s="8">
        <f t="shared" si="184"/>
        <v>3.0000000000000027E-2</v>
      </c>
      <c r="V41" s="8">
        <f t="shared" si="184"/>
        <v>3.0000000000000027E-2</v>
      </c>
      <c r="W41" s="8">
        <f t="shared" si="184"/>
        <v>3.0000000000000027E-2</v>
      </c>
      <c r="AW41" s="13"/>
      <c r="AX41" s="13">
        <f t="shared" ref="AX41" si="185">AX14/AW14-1</f>
        <v>0.25771435255585451</v>
      </c>
      <c r="AY41" s="13">
        <f t="shared" ref="AY41" si="186">AY14/AX14-1</f>
        <v>0.4961961273041795</v>
      </c>
      <c r="AZ41" s="13">
        <f>AZ14/AY14-1</f>
        <v>0.28505538495965776</v>
      </c>
      <c r="BA41" s="13">
        <f t="shared" ref="BA41:BI41" si="187">BA14/AZ14-1</f>
        <v>8.939690033473302E-2</v>
      </c>
      <c r="BB41" s="13">
        <f t="shared" si="187"/>
        <v>3.0000000000000027E-2</v>
      </c>
      <c r="BC41" s="13">
        <f t="shared" si="187"/>
        <v>5.0000000000000044E-2</v>
      </c>
      <c r="BD41" s="13">
        <f t="shared" si="187"/>
        <v>5.0000000000000044E-2</v>
      </c>
      <c r="BE41" s="13">
        <f t="shared" si="187"/>
        <v>5.0000000000000044E-2</v>
      </c>
      <c r="BF41" s="13">
        <f t="shared" si="187"/>
        <v>5.0000000000000044E-2</v>
      </c>
      <c r="BG41" s="13">
        <f t="shared" si="187"/>
        <v>5.0000000000000044E-2</v>
      </c>
      <c r="BH41" s="13">
        <f t="shared" si="187"/>
        <v>5.0000000000000044E-2</v>
      </c>
      <c r="BI41" s="13">
        <f t="shared" si="187"/>
        <v>5.0000000000000044E-2</v>
      </c>
    </row>
    <row r="42" spans="2:123" x14ac:dyDescent="0.2">
      <c r="B42" s="2" t="s">
        <v>58</v>
      </c>
      <c r="G42" s="8">
        <f>+G15/C15-1</f>
        <v>0.3223036120232381</v>
      </c>
      <c r="H42" s="8">
        <f>+H15/D15-1</f>
        <v>0.27959465684016571</v>
      </c>
      <c r="I42" s="8">
        <f>+I15/E15-1</f>
        <v>0.28699743370402042</v>
      </c>
      <c r="J42" s="8">
        <f>+J15/F15-1</f>
        <v>0.32580189630825096</v>
      </c>
      <c r="K42" s="8">
        <f>+K15/G15-1</f>
        <v>0.34880611270296091</v>
      </c>
      <c r="L42" s="8">
        <f>+L15/H15-1</f>
        <v>0.36429085673146155</v>
      </c>
      <c r="M42" s="8">
        <f>+M15/I15-1</f>
        <v>0.31555333998005985</v>
      </c>
      <c r="N42" s="8">
        <f>+N15/J15-1</f>
        <v>0.23980523432744971</v>
      </c>
      <c r="O42" s="8">
        <f>+O15/K15-1</f>
        <v>0.15040362554878905</v>
      </c>
      <c r="P42" s="8">
        <f>+P15/L15-1</f>
        <v>0.10949868073878632</v>
      </c>
      <c r="Q42" s="8">
        <f>+Q15/M15-1</f>
        <v>0.10092206643930779</v>
      </c>
      <c r="R42" s="8">
        <f>+R15/N15-1</f>
        <v>9.2660775650466265E-2</v>
      </c>
      <c r="S42" s="8">
        <f>+S15/O15-1</f>
        <v>8.0000000000000071E-2</v>
      </c>
      <c r="T42" s="8">
        <f>+T15/P15-1</f>
        <v>8.0000000000000071E-2</v>
      </c>
      <c r="U42" s="8">
        <f>+U15/Q15-1</f>
        <v>8.0000000000000071E-2</v>
      </c>
      <c r="V42" s="8">
        <f>+V15/R15-1</f>
        <v>8.0000000000000071E-2</v>
      </c>
      <c r="W42" s="8">
        <f>+W15/S15-1</f>
        <v>8.0000000000000071E-2</v>
      </c>
      <c r="AW42" s="13"/>
      <c r="AX42" s="13">
        <f t="shared" ref="AX42" si="188">AX15/AW15-1</f>
        <v>0.35596809486835612</v>
      </c>
      <c r="AY42" s="13">
        <f t="shared" ref="AY42" si="189">AY15/AX15-1</f>
        <v>0.31218115564810001</v>
      </c>
      <c r="AZ42" s="13">
        <f>AZ15/AY15-1</f>
        <v>0.26028484151227826</v>
      </c>
      <c r="BA42" s="13">
        <f>BA15/AZ15-1</f>
        <v>9.5499874087131564E-2</v>
      </c>
      <c r="BB42" s="13">
        <f>BB15/BA15-1</f>
        <v>8.0000000000000293E-2</v>
      </c>
      <c r="BC42" s="13">
        <f>BC15/BB15-1</f>
        <v>0.10000000000000009</v>
      </c>
      <c r="BD42" s="13">
        <f>BD15/BC15-1</f>
        <v>0.10000000000000009</v>
      </c>
      <c r="BE42" s="13">
        <f>BE15/BD15-1</f>
        <v>0.10000000000000009</v>
      </c>
      <c r="BF42" s="13">
        <f>BF15/BE15-1</f>
        <v>0.10000000000000009</v>
      </c>
      <c r="BG42" s="13">
        <f>BG15/BF15-1</f>
        <v>5.0000000000000044E-2</v>
      </c>
      <c r="BH42" s="13">
        <f>BH15/BG15-1</f>
        <v>5.0000000000000044E-2</v>
      </c>
      <c r="BI42" s="13">
        <f>BI15/BH15-1</f>
        <v>5.0000000000000044E-2</v>
      </c>
    </row>
    <row r="43" spans="2:123" x14ac:dyDescent="0.2">
      <c r="B43" s="2" t="s">
        <v>59</v>
      </c>
      <c r="G43" s="8">
        <f>+G16/C16-1</f>
        <v>0.41145218417945695</v>
      </c>
      <c r="H43" s="8">
        <f>+H16/D16-1</f>
        <v>0.43814432989690721</v>
      </c>
      <c r="I43" s="8">
        <f>+I16/E16-1</f>
        <v>0.40606262491672229</v>
      </c>
      <c r="J43" s="8">
        <f>+J16/F16-1</f>
        <v>0.50529838259899607</v>
      </c>
      <c r="K43" s="8">
        <f>+K16/G16-1</f>
        <v>0.53701380175658731</v>
      </c>
      <c r="L43" s="8">
        <f>+L16/H16-1</f>
        <v>0.63364055299539168</v>
      </c>
      <c r="M43" s="8">
        <f>+M16/I16-1</f>
        <v>0.76522151149016815</v>
      </c>
      <c r="N43" s="8">
        <f>+N16/J16-1</f>
        <v>0.41015190811411628</v>
      </c>
      <c r="O43" s="8">
        <f>+O16/K16-1</f>
        <v>0.32190476190476192</v>
      </c>
      <c r="P43" s="8">
        <f t="shared" ref="P43" si="190">+P16/L16-1</f>
        <v>0.23444601159692846</v>
      </c>
      <c r="Q43" s="8">
        <f>+Q16/M16-1</f>
        <v>0.17527848610924712</v>
      </c>
      <c r="R43" s="8">
        <f>+R16/N16-1</f>
        <v>0.25433526011560703</v>
      </c>
      <c r="S43" s="8">
        <f>+S16/O16-1</f>
        <v>0.10000000000000009</v>
      </c>
      <c r="T43" s="8">
        <f>+T16/P16-1</f>
        <v>0.10000000000000009</v>
      </c>
      <c r="U43" s="8">
        <f>+U16/Q16-1</f>
        <v>0.10000000000000009</v>
      </c>
      <c r="V43" s="8">
        <f>+V16/R16-1</f>
        <v>0.10000000000000009</v>
      </c>
      <c r="W43" s="8">
        <f>+W16/S16-1</f>
        <v>0.10000000000000009</v>
      </c>
      <c r="AW43" s="13"/>
      <c r="AX43" s="13">
        <f t="shared" ref="AX43" si="191">AX16/AW16-1</f>
        <v>0.39354966363276622</v>
      </c>
      <c r="AY43" s="13">
        <f t="shared" ref="AY43:AZ43" si="192">AY16/AX16-1</f>
        <v>0.4819679114013915</v>
      </c>
      <c r="AZ43" s="13">
        <f t="shared" si="192"/>
        <v>0.49269461077844312</v>
      </c>
      <c r="BA43" s="13">
        <f>BA16/AZ16-1</f>
        <v>0.18323491655969182</v>
      </c>
      <c r="BB43" s="13">
        <f>BB16/BA16-1</f>
        <v>0.10000000000000009</v>
      </c>
      <c r="BC43" s="13">
        <f>BC16/BB16-1</f>
        <v>0.10000000000000009</v>
      </c>
      <c r="BD43" s="13">
        <f>BD16/BC16-1</f>
        <v>0.10000000000000009</v>
      </c>
      <c r="BE43" s="13">
        <f>BE16/BD16-1</f>
        <v>0.10000000000000009</v>
      </c>
      <c r="BF43" s="13">
        <f>BF16/BE16-1</f>
        <v>0.10000000000000009</v>
      </c>
      <c r="BG43" s="13">
        <f>BG16/BF16-1</f>
        <v>5.0000000000000044E-2</v>
      </c>
      <c r="BH43" s="13">
        <f>BH16/BG16-1</f>
        <v>5.0000000000000044E-2</v>
      </c>
      <c r="BI43" s="13">
        <f>BI16/BH16-1</f>
        <v>5.0000000000000044E-2</v>
      </c>
    </row>
    <row r="44" spans="2:123" x14ac:dyDescent="0.2">
      <c r="B44" s="2" t="s">
        <v>39</v>
      </c>
      <c r="G44" s="8">
        <f t="shared" ref="G44:H44" si="193">G10/C10-1</f>
        <v>0.33970390309555865</v>
      </c>
      <c r="H44" s="8">
        <f t="shared" si="193"/>
        <v>0.32783264033264037</v>
      </c>
      <c r="I44" s="8">
        <f t="shared" ref="I44" si="194">I10/E10-1</f>
        <v>0.28958358191146649</v>
      </c>
      <c r="J44" s="8">
        <f t="shared" ref="J44" si="195">J10/F10-1</f>
        <v>0.28971650917176217</v>
      </c>
      <c r="K44" s="8">
        <f t="shared" ref="K44" si="196">K10/G10-1</f>
        <v>0.28008840667068524</v>
      </c>
      <c r="L44" s="8">
        <f t="shared" ref="L44" si="197">L10/H10-1</f>
        <v>0.32136216850963883</v>
      </c>
      <c r="M44" s="8">
        <f t="shared" ref="M44" si="198">M10/I10-1</f>
        <v>0.37018874907475952</v>
      </c>
      <c r="N44" s="8">
        <f t="shared" ref="N44" si="199">N10/J10-1</f>
        <v>0.3886733902249806</v>
      </c>
      <c r="O44" s="8">
        <f t="shared" ref="O44" si="200">O10/K10-1</f>
        <v>0.39538533982106427</v>
      </c>
      <c r="P44" s="8">
        <f>P10/L10-1</f>
        <v>0.36569651188624741</v>
      </c>
      <c r="Q44" s="8">
        <f>Q10/M10-1</f>
        <v>0.33290566547369838</v>
      </c>
      <c r="R44" s="8">
        <f>R10/N10-1</f>
        <v>0.39999999999999991</v>
      </c>
      <c r="S44" s="8">
        <f t="shared" ref="S44:W44" si="201">S10/O10-1</f>
        <v>0.30000000000000004</v>
      </c>
      <c r="T44" s="8">
        <f t="shared" si="201"/>
        <v>0.30000000000000004</v>
      </c>
      <c r="U44" s="8">
        <f t="shared" si="201"/>
        <v>0.30000000000000004</v>
      </c>
      <c r="V44" s="8">
        <f t="shared" si="201"/>
        <v>0.30000000000000004</v>
      </c>
      <c r="W44" s="8">
        <f t="shared" si="201"/>
        <v>0.30000000000000004</v>
      </c>
      <c r="AT44" s="13">
        <f t="shared" ref="AT44:AV44" si="202">AT10/AS10-1</f>
        <v>0.69681309216192933</v>
      </c>
      <c r="AU44" s="13">
        <f t="shared" si="202"/>
        <v>0.55063451776649752</v>
      </c>
      <c r="AV44" s="13">
        <f t="shared" si="202"/>
        <v>0.42884033063262139</v>
      </c>
      <c r="AW44" s="13">
        <f t="shared" ref="AW44" si="203">AW10/AV10-1</f>
        <v>0.46944269431238905</v>
      </c>
      <c r="AX44" s="13">
        <f t="shared" ref="AX44" si="204">AX10/AW10-1</f>
        <v>0.36526992788930035</v>
      </c>
      <c r="AY44" s="13">
        <f t="shared" ref="AY44" si="205">AY10/AX10-1</f>
        <v>0.29532347399074976</v>
      </c>
      <c r="AZ44" s="13">
        <f>AZ10/AY10-1</f>
        <v>0.37099404893101173</v>
      </c>
      <c r="BA44" s="13">
        <f t="shared" ref="BA44:BI44" si="206">BA10/AZ10-1</f>
        <v>0.34799524131056869</v>
      </c>
      <c r="BB44" s="13">
        <f t="shared" si="206"/>
        <v>0.29999999999999982</v>
      </c>
      <c r="BC44" s="13">
        <f t="shared" si="206"/>
        <v>0.30000000000000004</v>
      </c>
      <c r="BD44" s="13">
        <f t="shared" si="206"/>
        <v>0.30000000000000004</v>
      </c>
      <c r="BE44" s="13">
        <f t="shared" si="206"/>
        <v>0.30000000000000004</v>
      </c>
      <c r="BF44" s="13">
        <f t="shared" si="206"/>
        <v>0.30000000000000004</v>
      </c>
      <c r="BG44" s="13">
        <f t="shared" si="206"/>
        <v>0.19999999999999996</v>
      </c>
      <c r="BH44" s="13">
        <f t="shared" si="206"/>
        <v>0.19999999999999996</v>
      </c>
      <c r="BI44" s="13">
        <f t="shared" si="206"/>
        <v>0.19999999999999973</v>
      </c>
    </row>
    <row r="45" spans="2:123" x14ac:dyDescent="0.2">
      <c r="B45" s="2" t="s">
        <v>29</v>
      </c>
      <c r="C45" s="21">
        <f t="shared" ref="C45:H45" si="207">C24/C21</f>
        <v>0.24272273876462705</v>
      </c>
      <c r="D45" s="21">
        <f t="shared" si="207"/>
        <v>0.28775544388609714</v>
      </c>
      <c r="E45" s="21">
        <f t="shared" si="207"/>
        <v>0.28067629802536115</v>
      </c>
      <c r="F45" s="21">
        <f t="shared" si="207"/>
        <v>0.26452894357039769</v>
      </c>
      <c r="G45" s="21">
        <f t="shared" si="207"/>
        <v>0.24323798849457323</v>
      </c>
      <c r="H45" s="21">
        <f t="shared" si="207"/>
        <v>0.26061602078142393</v>
      </c>
      <c r="I45" s="21">
        <f>I24/I21</f>
        <v>0.25245186251574592</v>
      </c>
      <c r="J45" s="21">
        <f>J24/J21</f>
        <v>0.25309688491341203</v>
      </c>
      <c r="K45" s="21">
        <f>K24/K21</f>
        <v>0.22139301501334077</v>
      </c>
      <c r="L45" s="21">
        <f>L24/L21</f>
        <v>0.2726275825208721</v>
      </c>
      <c r="M45" s="21">
        <f t="shared" ref="M45:P45" si="208">M24/M21</f>
        <v>0.27649451715599577</v>
      </c>
      <c r="N45" s="21">
        <f t="shared" si="208"/>
        <v>0.26516983720174708</v>
      </c>
      <c r="O45" s="21">
        <f t="shared" si="208"/>
        <v>0.23383692836142403</v>
      </c>
      <c r="P45" s="21">
        <f t="shared" si="208"/>
        <v>0.25483494211809971</v>
      </c>
      <c r="Q45" s="21">
        <f t="shared" ref="Q45:W45" si="209">Q24/Q21</f>
        <v>0.2843096821023805</v>
      </c>
      <c r="R45" s="21">
        <f>R24/R21</f>
        <v>0.28520625329462396</v>
      </c>
      <c r="S45" s="8">
        <f t="shared" si="209"/>
        <v>0.2574637056853934</v>
      </c>
      <c r="T45" s="8">
        <f t="shared" si="209"/>
        <v>0.29728076320568275</v>
      </c>
      <c r="U45" s="8">
        <f t="shared" si="209"/>
        <v>0.30591126068381436</v>
      </c>
      <c r="V45" s="8">
        <f t="shared" si="209"/>
        <v>0.31044266434805606</v>
      </c>
      <c r="W45" s="8">
        <f t="shared" si="209"/>
        <v>0.28704604899058983</v>
      </c>
      <c r="AS45" s="14">
        <f t="shared" ref="AS45:AU45" si="210">AS24/AS21</f>
        <v>0.17384366431428958</v>
      </c>
      <c r="AT45" s="14">
        <f t="shared" si="210"/>
        <v>0.20508195802104554</v>
      </c>
      <c r="AU45" s="14">
        <f t="shared" si="210"/>
        <v>0.22136674829211617</v>
      </c>
      <c r="AV45" s="14">
        <f t="shared" ref="AV45" si="211">AV24/AV21</f>
        <v>0.22872836854710848</v>
      </c>
      <c r="AW45" s="14">
        <f t="shared" ref="AW45:AX45" si="212">AW24/AW21</f>
        <v>0.25636467471348767</v>
      </c>
      <c r="AX45" s="14">
        <f t="shared" si="212"/>
        <v>0.26648533804835273</v>
      </c>
      <c r="AY45" s="14">
        <f t="shared" ref="AY45" si="213">AY24/AY21</f>
        <v>0.24410719466202496</v>
      </c>
      <c r="AZ45" s="14">
        <f>AZ24/AZ21</f>
        <v>0.26045395915900066</v>
      </c>
      <c r="BA45" s="14">
        <f t="shared" ref="BA45:BI45" si="214">BA24/BA21</f>
        <v>0.27297101732192519</v>
      </c>
      <c r="BB45" s="14">
        <f t="shared" si="214"/>
        <v>0.2997051324776514</v>
      </c>
      <c r="BC45" s="14">
        <f t="shared" si="214"/>
        <v>0.280841254152292</v>
      </c>
      <c r="BD45" s="14">
        <f t="shared" si="214"/>
        <v>0.28634287952916154</v>
      </c>
      <c r="BE45" s="14">
        <f t="shared" si="214"/>
        <v>0.29153999288615529</v>
      </c>
      <c r="BF45" s="14">
        <f t="shared" si="214"/>
        <v>0.29633607444567234</v>
      </c>
      <c r="BG45" s="14">
        <f t="shared" si="214"/>
        <v>0.29651353048224111</v>
      </c>
      <c r="BH45" s="14">
        <f t="shared" si="214"/>
        <v>0.2966963929066983</v>
      </c>
      <c r="BI45" s="14">
        <f t="shared" si="214"/>
        <v>0.29688321871723428</v>
      </c>
      <c r="BK45" t="s">
        <v>77</v>
      </c>
      <c r="BL45" s="13">
        <v>0.08</v>
      </c>
    </row>
    <row r="46" spans="2:123" x14ac:dyDescent="0.2">
      <c r="BK46" t="s">
        <v>76</v>
      </c>
      <c r="BL46" s="13">
        <v>0.01</v>
      </c>
    </row>
    <row r="47" spans="2:123" x14ac:dyDescent="0.2">
      <c r="B47" s="2" t="s">
        <v>75</v>
      </c>
      <c r="P47" s="4">
        <f>+P48-P61</f>
        <v>18829</v>
      </c>
      <c r="Q47" s="4">
        <f>+Q48-Q61</f>
        <v>2657</v>
      </c>
      <c r="R47" s="4">
        <f>+R48-R61</f>
        <v>-257</v>
      </c>
      <c r="S47" s="4">
        <f t="shared" ref="S47:W47" si="215">+R47+S33</f>
        <v>4533.1516250000032</v>
      </c>
      <c r="T47" s="4">
        <f t="shared" si="215"/>
        <v>12685.862365000001</v>
      </c>
      <c r="U47" s="4">
        <f t="shared" si="215"/>
        <v>18278.739199999982</v>
      </c>
      <c r="V47" s="4">
        <f t="shared" si="215"/>
        <v>24444.932874999973</v>
      </c>
      <c r="W47" s="4">
        <f t="shared" si="215"/>
        <v>33668.282097249947</v>
      </c>
      <c r="X47" s="4"/>
      <c r="Y47" s="4"/>
      <c r="Z47" s="4"/>
      <c r="AA47" s="4"/>
      <c r="AB47" s="4"/>
      <c r="BA47" s="2">
        <f>+S47</f>
        <v>4533.1516250000032</v>
      </c>
      <c r="BB47" s="2">
        <f>+W47</f>
        <v>33668.282097249947</v>
      </c>
      <c r="BC47" s="2">
        <f>+BB47+BC33</f>
        <v>64876.228420451545</v>
      </c>
      <c r="BD47" s="2">
        <f t="shared" ref="BD47:BI47" si="216">+BC47+BD33</f>
        <v>112898.64317696932</v>
      </c>
      <c r="BE47" s="2">
        <f t="shared" si="216"/>
        <v>181850.78920947551</v>
      </c>
      <c r="BF47" s="2">
        <f t="shared" si="216"/>
        <v>276933.16411682148</v>
      </c>
      <c r="BG47" s="2">
        <f t="shared" si="216"/>
        <v>391939.79356613226</v>
      </c>
      <c r="BH47" s="2">
        <f t="shared" si="216"/>
        <v>530453.3828141829</v>
      </c>
      <c r="BI47" s="2">
        <f t="shared" si="216"/>
        <v>696736.35790026048</v>
      </c>
      <c r="BK47" t="s">
        <v>78</v>
      </c>
      <c r="BL47" s="13">
        <v>0</v>
      </c>
    </row>
    <row r="48" spans="2:123" s="2" customFormat="1" x14ac:dyDescent="0.2">
      <c r="B48" s="2" t="s">
        <v>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>
        <f>36393+29992</f>
        <v>66385</v>
      </c>
      <c r="Q48" s="4">
        <f>37478+23232</f>
        <v>60710</v>
      </c>
      <c r="R48" s="4">
        <f>34947+23715</f>
        <v>58662</v>
      </c>
      <c r="S48" s="4"/>
      <c r="BK48" s="2" t="s">
        <v>79</v>
      </c>
      <c r="BL48" s="2">
        <f>NPV(BL45,BB33:DS33)+Main!K5-Main!K6</f>
        <v>1563584.2438406674</v>
      </c>
    </row>
    <row r="49" spans="2:64" s="2" customFormat="1" x14ac:dyDescent="0.2">
      <c r="B49" s="2" t="s">
        <v>63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>
        <v>34987</v>
      </c>
      <c r="Q49" s="4">
        <v>38153</v>
      </c>
      <c r="R49" s="4">
        <v>36647</v>
      </c>
      <c r="S49" s="4"/>
      <c r="BL49" s="1">
        <f>+BL48/Main!K3</f>
        <v>151.34877977356186</v>
      </c>
    </row>
    <row r="50" spans="2:64" s="2" customFormat="1" x14ac:dyDescent="0.2">
      <c r="B50" s="2" t="s">
        <v>64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>
        <v>32504</v>
      </c>
      <c r="Q50" s="4">
        <v>34804</v>
      </c>
      <c r="R50" s="4">
        <v>36154</v>
      </c>
      <c r="S50" s="4"/>
    </row>
    <row r="51" spans="2:64" s="2" customFormat="1" x14ac:dyDescent="0.2">
      <c r="B51" s="2" t="s">
        <v>65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>
        <v>168468</v>
      </c>
      <c r="Q51" s="4">
        <v>173706</v>
      </c>
      <c r="R51" s="4">
        <v>177195</v>
      </c>
      <c r="S51" s="4"/>
    </row>
    <row r="52" spans="2:64" s="2" customFormat="1" x14ac:dyDescent="0.2">
      <c r="B52" s="2" t="s">
        <v>66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>
        <v>56161</v>
      </c>
      <c r="Q52" s="4">
        <v>58430</v>
      </c>
      <c r="R52" s="4">
        <v>62033</v>
      </c>
      <c r="S52" s="4"/>
    </row>
    <row r="53" spans="2:64" s="2" customFormat="1" x14ac:dyDescent="0.2">
      <c r="B53" s="2" t="s">
        <v>67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>
        <v>20229</v>
      </c>
      <c r="Q53" s="4">
        <v>20195</v>
      </c>
      <c r="R53" s="4">
        <v>20168</v>
      </c>
      <c r="S53" s="4"/>
    </row>
    <row r="54" spans="2:64" s="2" customFormat="1" x14ac:dyDescent="0.2">
      <c r="B54" s="2" t="s">
        <v>68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>
        <v>32033</v>
      </c>
      <c r="Q54" s="4">
        <v>33730</v>
      </c>
      <c r="R54" s="4">
        <v>37503</v>
      </c>
      <c r="S54" s="4"/>
    </row>
    <row r="55" spans="2:64" s="2" customFormat="1" x14ac:dyDescent="0.2">
      <c r="B55" s="2" t="s">
        <v>62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>
        <f>SUM(P48:P54)</f>
        <v>410767</v>
      </c>
      <c r="Q55" s="4">
        <f>SUM(Q48:Q54)</f>
        <v>419728</v>
      </c>
      <c r="R55" s="4">
        <f>SUM(R48:R54)</f>
        <v>428362</v>
      </c>
      <c r="S55" s="4"/>
    </row>
    <row r="57" spans="2:64" s="2" customFormat="1" x14ac:dyDescent="0.2">
      <c r="B57" s="2" t="s">
        <v>71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>
        <v>68547</v>
      </c>
      <c r="Q57" s="4">
        <v>71219</v>
      </c>
      <c r="R57" s="4">
        <v>67760</v>
      </c>
      <c r="S57" s="4"/>
    </row>
    <row r="58" spans="2:64" s="2" customFormat="1" x14ac:dyDescent="0.2">
      <c r="B58" s="2" t="s">
        <v>72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>
        <v>58141</v>
      </c>
      <c r="Q58" s="4">
        <v>56254</v>
      </c>
      <c r="R58" s="4">
        <v>59974</v>
      </c>
      <c r="S58" s="4"/>
    </row>
    <row r="59" spans="2:64" s="2" customFormat="1" x14ac:dyDescent="0.2">
      <c r="B59" s="2" t="s">
        <v>73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>
        <v>12820</v>
      </c>
      <c r="Q59" s="4">
        <v>12818</v>
      </c>
      <c r="R59" s="4">
        <v>12629</v>
      </c>
      <c r="S59" s="4"/>
    </row>
    <row r="60" spans="2:64" s="2" customFormat="1" x14ac:dyDescent="0.2">
      <c r="B60" s="2" t="s">
        <v>66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>
        <v>65731</v>
      </c>
      <c r="Q60" s="4">
        <v>66524</v>
      </c>
      <c r="R60" s="4">
        <v>69332</v>
      </c>
      <c r="S60" s="4"/>
    </row>
    <row r="61" spans="2:64" s="2" customFormat="1" x14ac:dyDescent="0.2">
      <c r="B61" s="2" t="s">
        <v>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>
        <v>47556</v>
      </c>
      <c r="Q61" s="4">
        <v>58053</v>
      </c>
      <c r="R61" s="4">
        <v>58919</v>
      </c>
      <c r="S61" s="4"/>
    </row>
    <row r="62" spans="2:64" s="2" customFormat="1" x14ac:dyDescent="0.2">
      <c r="B62" s="2" t="s">
        <v>74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>
        <v>23971</v>
      </c>
      <c r="Q62" s="4">
        <v>23458</v>
      </c>
      <c r="R62" s="4">
        <v>22259</v>
      </c>
      <c r="S62" s="4"/>
    </row>
    <row r="63" spans="2:64" s="2" customFormat="1" x14ac:dyDescent="0.2">
      <c r="B63" s="2" t="s">
        <v>70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>
        <v>134001</v>
      </c>
      <c r="Q63" s="4">
        <v>131402</v>
      </c>
      <c r="R63" s="4">
        <v>137489</v>
      </c>
      <c r="S63" s="4"/>
    </row>
    <row r="64" spans="2:64" s="2" customFormat="1" x14ac:dyDescent="0.2">
      <c r="B64" s="2" t="s">
        <v>69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>
        <f>SUM(P57:P63)</f>
        <v>410767</v>
      </c>
      <c r="Q64" s="4">
        <f>SUM(Q57:Q63)</f>
        <v>419728</v>
      </c>
      <c r="R64" s="4">
        <f>SUM(R57:R63)</f>
        <v>428362</v>
      </c>
      <c r="S64" s="4"/>
    </row>
    <row r="66" spans="2:19" s="2" customFormat="1" x14ac:dyDescent="0.2">
      <c r="B66" s="2" t="s">
        <v>84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>
        <f>+P33</f>
        <v>-3844</v>
      </c>
      <c r="Q66" s="4">
        <f>+Q33</f>
        <v>2982</v>
      </c>
      <c r="R66" s="4">
        <f>+R33</f>
        <v>2872</v>
      </c>
      <c r="S66" s="4"/>
    </row>
    <row r="67" spans="2:19" s="2" customFormat="1" x14ac:dyDescent="0.2">
      <c r="B67" s="2" t="s">
        <v>85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>
        <v>-3844</v>
      </c>
      <c r="Q67" s="4">
        <v>-2028</v>
      </c>
      <c r="R67" s="4">
        <v>2872</v>
      </c>
      <c r="S67" s="4"/>
    </row>
    <row r="68" spans="2:19" s="2" customFormat="1" x14ac:dyDescent="0.2">
      <c r="B68" s="2" t="s">
        <v>88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>
        <v>8978</v>
      </c>
      <c r="Q68" s="4">
        <v>9594</v>
      </c>
      <c r="R68" s="4">
        <v>10204</v>
      </c>
      <c r="S68" s="4"/>
    </row>
    <row r="69" spans="2:19" s="2" customFormat="1" x14ac:dyDescent="0.2">
      <c r="B69" s="2" t="s">
        <v>89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>
        <v>3250</v>
      </c>
      <c r="Q69" s="4">
        <v>5209</v>
      </c>
      <c r="R69" s="4">
        <v>5556</v>
      </c>
      <c r="S69" s="4"/>
    </row>
    <row r="70" spans="2:19" s="2" customFormat="1" x14ac:dyDescent="0.2">
      <c r="B70" s="2" t="s">
        <v>45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>
        <v>215</v>
      </c>
      <c r="Q70" s="4">
        <v>122</v>
      </c>
      <c r="R70" s="4">
        <v>123</v>
      </c>
      <c r="S70" s="4"/>
    </row>
    <row r="71" spans="2:19" s="2" customFormat="1" x14ac:dyDescent="0.2">
      <c r="B71" s="2" t="s">
        <v>45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>
        <v>8689</v>
      </c>
      <c r="Q71" s="4">
        <v>6104</v>
      </c>
      <c r="R71" s="4">
        <v>-1272</v>
      </c>
      <c r="S71" s="4"/>
    </row>
    <row r="72" spans="2:19" s="2" customFormat="1" x14ac:dyDescent="0.2">
      <c r="B72" s="2" t="s">
        <v>90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>
        <v>-2001</v>
      </c>
      <c r="Q72" s="4">
        <v>-1955</v>
      </c>
      <c r="R72" s="4">
        <v>-825</v>
      </c>
      <c r="S72" s="4"/>
    </row>
    <row r="73" spans="2:19" s="2" customFormat="1" x14ac:dyDescent="0.2">
      <c r="B73" s="2" t="s">
        <v>87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>
        <f>-2614-1516-9380-5903+1336</f>
        <v>-18077</v>
      </c>
      <c r="Q73" s="4">
        <f>-3890-6799+3699-1412+321</f>
        <v>-8081</v>
      </c>
      <c r="R73" s="4">
        <f>732-4794-1226-20+54</f>
        <v>-5254</v>
      </c>
      <c r="S73" s="4"/>
    </row>
    <row r="74" spans="2:19" s="2" customFormat="1" x14ac:dyDescent="0.2">
      <c r="B74" s="2" t="s">
        <v>86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>
        <f>SUM(P67:P73)</f>
        <v>-2790</v>
      </c>
      <c r="Q74" s="4">
        <f>SUM(Q67:Q73)</f>
        <v>8965</v>
      </c>
      <c r="R74" s="4">
        <f>SUM(R67:R73)</f>
        <v>11404</v>
      </c>
      <c r="S74" s="4"/>
    </row>
    <row r="75" spans="2:19" s="2" customFormat="1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2:19" s="2" customFormat="1" x14ac:dyDescent="0.2">
      <c r="B76" s="2" t="s">
        <v>91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>
        <v>-14951</v>
      </c>
      <c r="Q76" s="4">
        <v>-15724</v>
      </c>
      <c r="R76" s="4">
        <v>-16378</v>
      </c>
      <c r="S76" s="4"/>
    </row>
    <row r="77" spans="2:19" s="2" customFormat="1" x14ac:dyDescent="0.2">
      <c r="B77" s="2" t="s">
        <v>93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>
        <v>1209</v>
      </c>
      <c r="Q77" s="4">
        <v>1626</v>
      </c>
      <c r="R77" s="4">
        <v>1337</v>
      </c>
      <c r="S77" s="4"/>
    </row>
    <row r="78" spans="2:19" s="2" customFormat="1" x14ac:dyDescent="0.2">
      <c r="B78" s="2" t="s">
        <v>94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>
        <v>-6341</v>
      </c>
      <c r="Q78" s="4">
        <v>-259</v>
      </c>
      <c r="R78" s="4">
        <v>-885</v>
      </c>
      <c r="S78" s="4"/>
    </row>
    <row r="79" spans="2:19" s="2" customFormat="1" x14ac:dyDescent="0.2">
      <c r="B79" s="2" t="s">
        <v>95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>
        <f>22753-1764</f>
        <v>20989</v>
      </c>
      <c r="Q79" s="4">
        <f>2608-329</f>
        <v>2279</v>
      </c>
      <c r="R79" s="4">
        <f>557-239</f>
        <v>318</v>
      </c>
      <c r="S79" s="4"/>
    </row>
    <row r="80" spans="2:19" s="2" customFormat="1" x14ac:dyDescent="0.2">
      <c r="B80" s="2" t="s">
        <v>92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>
        <f>SUM(P76:P79)</f>
        <v>906</v>
      </c>
      <c r="Q80" s="4">
        <f>SUM(Q76:Q79)</f>
        <v>-12078</v>
      </c>
      <c r="R80" s="4">
        <f>SUM(R76:R79)</f>
        <v>-15608</v>
      </c>
      <c r="S80" s="4"/>
    </row>
    <row r="81" spans="2:29" s="2" customFormat="1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2:29" s="2" customFormat="1" x14ac:dyDescent="0.2">
      <c r="B82" s="2" t="s">
        <v>97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>
        <v>-2666</v>
      </c>
      <c r="Q82" s="4">
        <v>-3334</v>
      </c>
      <c r="R82" s="4">
        <v>0</v>
      </c>
      <c r="S82" s="4"/>
    </row>
    <row r="83" spans="2:29" s="2" customFormat="1" x14ac:dyDescent="0.2">
      <c r="B83" s="2" t="s">
        <v>5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>
        <f>13743-6231-2777-79</f>
        <v>4656</v>
      </c>
      <c r="Q83" s="4">
        <f>4865-7610+12824-1-2059-59</f>
        <v>7960</v>
      </c>
      <c r="R83" s="4">
        <f>12338-7916+107-1465-48</f>
        <v>3016</v>
      </c>
      <c r="S83" s="4"/>
    </row>
    <row r="84" spans="2:29" s="2" customFormat="1" x14ac:dyDescent="0.2">
      <c r="B84" s="2" t="s">
        <v>96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>
        <f>SUM(P82:P83)</f>
        <v>1990</v>
      </c>
      <c r="Q84" s="4">
        <f>SUM(Q82:Q83)</f>
        <v>4626</v>
      </c>
      <c r="R84" s="4">
        <f>SUM(R82:R83)</f>
        <v>3016</v>
      </c>
      <c r="S84" s="4"/>
    </row>
    <row r="85" spans="2:29" s="2" customFormat="1" x14ac:dyDescent="0.2">
      <c r="B85" s="2" t="s">
        <v>98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>
        <v>16</v>
      </c>
      <c r="Q85" s="4">
        <v>-412</v>
      </c>
      <c r="R85" s="4">
        <v>-1334</v>
      </c>
      <c r="S85" s="4"/>
    </row>
    <row r="86" spans="2:29" s="2" customFormat="1" x14ac:dyDescent="0.2">
      <c r="B86" s="2" t="s">
        <v>99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>
        <f>+P85+P84+P80+P74</f>
        <v>122</v>
      </c>
      <c r="Q86" s="4">
        <f>+Q85+Q84+Q80+Q74</f>
        <v>1101</v>
      </c>
      <c r="R86" s="4">
        <f>+R85+R84+R80+R74</f>
        <v>-2522</v>
      </c>
      <c r="S86" s="4"/>
    </row>
    <row r="88" spans="2:29" s="2" customFormat="1" x14ac:dyDescent="0.2">
      <c r="B88" s="2" t="s">
        <v>46</v>
      </c>
      <c r="C88" s="4"/>
      <c r="D88" s="4"/>
      <c r="E88" s="4"/>
      <c r="F88" s="4"/>
      <c r="G88" s="4"/>
      <c r="H88" s="4"/>
      <c r="I88" s="4"/>
      <c r="J88" s="4"/>
      <c r="K88" s="4">
        <v>1298</v>
      </c>
      <c r="L88" s="4">
        <v>1271</v>
      </c>
      <c r="M88" s="4">
        <v>1335</v>
      </c>
      <c r="N88" s="4">
        <v>1468</v>
      </c>
      <c r="O88" s="4">
        <v>1608</v>
      </c>
      <c r="P88" s="4">
        <v>1622</v>
      </c>
      <c r="Q88" s="4">
        <v>1523</v>
      </c>
      <c r="R88" s="4">
        <v>1544</v>
      </c>
      <c r="S88" s="4"/>
      <c r="AC88" s="2">
        <v>2.1</v>
      </c>
    </row>
    <row r="90" spans="2:29" s="2" customFormat="1" x14ac:dyDescent="0.2">
      <c r="B90" s="2" t="s">
        <v>81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>
        <v>3147</v>
      </c>
      <c r="N90" s="4">
        <v>880</v>
      </c>
      <c r="O90" s="4"/>
      <c r="P90" s="4"/>
      <c r="Q90" s="4">
        <v>-627</v>
      </c>
      <c r="R90" s="4">
        <v>-412</v>
      </c>
      <c r="S90" s="4"/>
    </row>
    <row r="91" spans="2:29" s="2" customFormat="1" x14ac:dyDescent="0.2">
      <c r="B91" s="2" t="s">
        <v>82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>
        <v>362</v>
      </c>
      <c r="N91" s="4">
        <v>-911</v>
      </c>
      <c r="O91" s="4"/>
      <c r="P91" s="4"/>
      <c r="Q91" s="4">
        <v>-1771</v>
      </c>
      <c r="R91" s="4">
        <v>-2466</v>
      </c>
      <c r="S91" s="4"/>
    </row>
    <row r="92" spans="2:29" s="2" customFormat="1" x14ac:dyDescent="0.2">
      <c r="B92" s="2" t="s">
        <v>83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>
        <v>4193</v>
      </c>
      <c r="N92" s="4">
        <v>4883</v>
      </c>
      <c r="O92" s="4"/>
      <c r="P92" s="4"/>
      <c r="Q92" s="4">
        <v>5715</v>
      </c>
      <c r="R92" s="4">
        <v>5403</v>
      </c>
      <c r="S92" s="4"/>
    </row>
    <row r="94" spans="2:29" x14ac:dyDescent="0.2">
      <c r="B94" s="2" t="s">
        <v>102</v>
      </c>
      <c r="P94" s="4">
        <f t="shared" ref="P94:R94" si="217">+P74+P76</f>
        <v>-17741</v>
      </c>
      <c r="Q94" s="4">
        <f t="shared" si="217"/>
        <v>-6759</v>
      </c>
      <c r="R94" s="4">
        <f>+R74+R76</f>
        <v>-4974</v>
      </c>
    </row>
    <row r="101" spans="2:30" x14ac:dyDescent="0.2">
      <c r="B101" t="s">
        <v>105</v>
      </c>
      <c r="AB101">
        <v>7.25</v>
      </c>
      <c r="AC101">
        <v>28.73</v>
      </c>
      <c r="AD101" s="1">
        <f>11495/AD35</f>
        <v>71.354583558045434</v>
      </c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2022-07-14T21:56:19Z</dcterms:created>
  <dcterms:modified xsi:type="dcterms:W3CDTF">2022-12-19T02:21:55Z</dcterms:modified>
</cp:coreProperties>
</file>