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8_{C8F2BC9B-955F-824E-9847-1D9B95726321}" xr6:coauthVersionLast="47" xr6:coauthVersionMax="47" xr10:uidLastSave="{00000000-0000-0000-0000-000000000000}"/>
  <bookViews>
    <workbookView xWindow="0" yWindow="760" windowWidth="34560" windowHeight="20440" activeTab="1" xr2:uid="{CD182038-7304-4EC0-81DB-78F78E8AB6DD}"/>
  </bookViews>
  <sheets>
    <sheet name="Main" sheetId="1" r:id="rId1"/>
    <sheet name="Model" sheetId="2" r:id="rId2"/>
    <sheet name="Posi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3" l="1"/>
  <c r="G4" i="3"/>
  <c r="F4" i="3"/>
  <c r="V73" i="2"/>
  <c r="V78" i="2"/>
  <c r="V77" i="2"/>
  <c r="V76" i="2"/>
  <c r="V75" i="2"/>
  <c r="V72" i="2"/>
  <c r="V71" i="2"/>
  <c r="V66" i="2"/>
  <c r="V65" i="2"/>
  <c r="R13" i="2"/>
  <c r="V13" i="2"/>
  <c r="R12" i="2"/>
  <c r="V12" i="2"/>
  <c r="R11" i="2"/>
  <c r="V11" i="2"/>
  <c r="R10" i="2"/>
  <c r="V10" i="2"/>
  <c r="V26" i="2"/>
  <c r="U26" i="2"/>
  <c r="R26" i="2"/>
  <c r="R25" i="2"/>
  <c r="R24" i="2"/>
  <c r="R23" i="2"/>
  <c r="V25" i="2"/>
  <c r="V24" i="2"/>
  <c r="V23" i="2"/>
  <c r="U8" i="2"/>
  <c r="T8" i="2"/>
  <c r="S8" i="2"/>
  <c r="R8" i="2"/>
  <c r="U6" i="2"/>
  <c r="T6" i="2"/>
  <c r="S6" i="2"/>
  <c r="U5" i="2"/>
  <c r="T5" i="2"/>
  <c r="S5" i="2"/>
  <c r="U4" i="2"/>
  <c r="T4" i="2"/>
  <c r="S4" i="2"/>
  <c r="R6" i="2"/>
  <c r="R4" i="2" s="1"/>
  <c r="V4" i="2"/>
  <c r="V6" i="2"/>
  <c r="U92" i="2"/>
  <c r="U90" i="2"/>
  <c r="U89" i="2"/>
  <c r="U88" i="2"/>
  <c r="U87" i="2"/>
  <c r="U86" i="2"/>
  <c r="U83" i="2"/>
  <c r="U82" i="2"/>
  <c r="U81" i="2"/>
  <c r="U80" i="2"/>
  <c r="U73" i="2"/>
  <c r="U77" i="2"/>
  <c r="U78" i="2"/>
  <c r="U76" i="2"/>
  <c r="U71" i="2"/>
  <c r="U66" i="2"/>
  <c r="U65" i="2"/>
  <c r="U59" i="2"/>
  <c r="U58" i="2"/>
  <c r="U46" i="2"/>
  <c r="U62" i="2"/>
  <c r="U54" i="2"/>
  <c r="S13" i="2"/>
  <c r="O26" i="2"/>
  <c r="P26" i="2"/>
  <c r="Q26" i="2"/>
  <c r="S26" i="2"/>
  <c r="T26" i="2"/>
  <c r="X26" i="2" s="1"/>
  <c r="T92" i="2"/>
  <c r="S92" i="2"/>
  <c r="T90" i="2"/>
  <c r="T89" i="2"/>
  <c r="T88" i="2"/>
  <c r="T87" i="2"/>
  <c r="T86" i="2"/>
  <c r="T82" i="2"/>
  <c r="T81" i="2"/>
  <c r="T80" i="2"/>
  <c r="T78" i="2"/>
  <c r="T77" i="2"/>
  <c r="T76" i="2"/>
  <c r="T75" i="2"/>
  <c r="T71" i="2"/>
  <c r="T66" i="2"/>
  <c r="T65" i="2"/>
  <c r="T59" i="2"/>
  <c r="T62" i="2" s="1"/>
  <c r="T58" i="2"/>
  <c r="T46" i="2"/>
  <c r="T54" i="2"/>
  <c r="V62" i="2"/>
  <c r="V59" i="2"/>
  <c r="V58" i="2"/>
  <c r="V54" i="2"/>
  <c r="AZ46" i="2"/>
  <c r="AZ26" i="2"/>
  <c r="AY6" i="2"/>
  <c r="AY4" i="2" s="1"/>
  <c r="AW112" i="2"/>
  <c r="AZ112" i="2"/>
  <c r="AZ111" i="2"/>
  <c r="AW111" i="2"/>
  <c r="AZ8" i="2"/>
  <c r="AZ4" i="2"/>
  <c r="AZ6" i="2"/>
  <c r="AW59" i="2"/>
  <c r="AW58" i="2"/>
  <c r="AW62" i="2" s="1"/>
  <c r="AW54" i="2"/>
  <c r="AW46" i="2"/>
  <c r="AU26" i="2"/>
  <c r="AV8" i="2"/>
  <c r="AV4" i="2"/>
  <c r="AV6" i="2"/>
  <c r="AW4" i="2"/>
  <c r="AP38" i="2"/>
  <c r="AO38" i="2"/>
  <c r="AN38" i="2"/>
  <c r="AM38" i="2"/>
  <c r="AL38" i="2"/>
  <c r="AK38" i="2"/>
  <c r="AJ38" i="2"/>
  <c r="AO28" i="2"/>
  <c r="AO30" i="2" s="1"/>
  <c r="AO32" i="2" s="1"/>
  <c r="AO34" i="2" s="1"/>
  <c r="AO35" i="2" s="1"/>
  <c r="AN28" i="2"/>
  <c r="AN30" i="2" s="1"/>
  <c r="AN32" i="2" s="1"/>
  <c r="AN34" i="2" s="1"/>
  <c r="AN35" i="2" s="1"/>
  <c r="AM28" i="2"/>
  <c r="AM30" i="2" s="1"/>
  <c r="AM32" i="2" s="1"/>
  <c r="AM34" i="2" s="1"/>
  <c r="AM35" i="2" s="1"/>
  <c r="AI28" i="2"/>
  <c r="AI30" i="2" s="1"/>
  <c r="AI32" i="2" s="1"/>
  <c r="AI34" i="2" s="1"/>
  <c r="AI35" i="2" s="1"/>
  <c r="AH28" i="2"/>
  <c r="AH30" i="2" s="1"/>
  <c r="AJ28" i="2"/>
  <c r="AJ30" i="2" s="1"/>
  <c r="AJ32" i="2" s="1"/>
  <c r="AJ34" i="2" s="1"/>
  <c r="AJ35" i="2" s="1"/>
  <c r="AK28" i="2"/>
  <c r="AK30" i="2" s="1"/>
  <c r="AK32" i="2" s="1"/>
  <c r="AK34" i="2" s="1"/>
  <c r="AK35" i="2" s="1"/>
  <c r="AL28" i="2"/>
  <c r="AL30" i="2" s="1"/>
  <c r="AL32" i="2" s="1"/>
  <c r="AL34" i="2" s="1"/>
  <c r="AL35" i="2" s="1"/>
  <c r="S88" i="2"/>
  <c r="S82" i="2"/>
  <c r="S83" i="2" s="1"/>
  <c r="S58" i="2"/>
  <c r="S59" i="2"/>
  <c r="S46" i="2"/>
  <c r="S54" i="2" s="1"/>
  <c r="S77" i="2"/>
  <c r="S78" i="2" s="1"/>
  <c r="S31" i="2"/>
  <c r="Y26" i="2"/>
  <c r="R29" i="2"/>
  <c r="V29" i="2"/>
  <c r="V27" i="2"/>
  <c r="T31" i="2"/>
  <c r="U31" i="2"/>
  <c r="W38" i="2"/>
  <c r="V46" i="2"/>
  <c r="Q58" i="2"/>
  <c r="Q59" i="2"/>
  <c r="Q46" i="2"/>
  <c r="Q54" i="2" s="1"/>
  <c r="M6" i="1"/>
  <c r="M5" i="1"/>
  <c r="U41" i="2"/>
  <c r="S41" i="2"/>
  <c r="T41" i="2"/>
  <c r="V40" i="2"/>
  <c r="U40" i="2"/>
  <c r="T40" i="2"/>
  <c r="S40" i="2"/>
  <c r="V39" i="2"/>
  <c r="U39" i="2"/>
  <c r="T39" i="2"/>
  <c r="S39" i="2"/>
  <c r="P88" i="2"/>
  <c r="P83" i="2"/>
  <c r="P77" i="2"/>
  <c r="P78" i="2" s="1"/>
  <c r="P92" i="2" s="1"/>
  <c r="P58" i="2"/>
  <c r="P59" i="2"/>
  <c r="P54" i="2"/>
  <c r="P39" i="2"/>
  <c r="O28" i="2"/>
  <c r="O30" i="2" s="1"/>
  <c r="O32" i="2" s="1"/>
  <c r="O34" i="2" s="1"/>
  <c r="Z2" i="2"/>
  <c r="Y2" i="2"/>
  <c r="X2" i="2"/>
  <c r="W2" i="2"/>
  <c r="N72" i="2"/>
  <c r="M75" i="2"/>
  <c r="M60" i="2"/>
  <c r="M59" i="2"/>
  <c r="M46" i="2"/>
  <c r="M51" i="2"/>
  <c r="L89" i="2"/>
  <c r="M89" i="2" s="1"/>
  <c r="N89" i="2" s="1"/>
  <c r="L87" i="2"/>
  <c r="M87" i="2" s="1"/>
  <c r="N87" i="2" s="1"/>
  <c r="L85" i="2"/>
  <c r="M85" i="2" s="1"/>
  <c r="N85" i="2" s="1"/>
  <c r="O83" i="2"/>
  <c r="K83" i="2"/>
  <c r="L82" i="2"/>
  <c r="M82" i="2" s="1"/>
  <c r="N82" i="2" s="1"/>
  <c r="L80" i="2"/>
  <c r="M80" i="2" s="1"/>
  <c r="L76" i="2"/>
  <c r="M76" i="2" s="1"/>
  <c r="N76" i="2" s="1"/>
  <c r="L73" i="2"/>
  <c r="N73" i="2" s="1"/>
  <c r="L71" i="2"/>
  <c r="M71" i="2" s="1"/>
  <c r="N71" i="2" s="1"/>
  <c r="L68" i="2"/>
  <c r="M68" i="2" s="1"/>
  <c r="N68" i="2" s="1"/>
  <c r="L67" i="2"/>
  <c r="M67" i="2" s="1"/>
  <c r="N67" i="2" s="1"/>
  <c r="L66" i="2"/>
  <c r="M66" i="2" s="1"/>
  <c r="N66" i="2" s="1"/>
  <c r="L65" i="2"/>
  <c r="M65" i="2" s="1"/>
  <c r="N65" i="2" s="1"/>
  <c r="L58" i="2"/>
  <c r="L62" i="2" s="1"/>
  <c r="L46" i="2"/>
  <c r="L54" i="2" s="1"/>
  <c r="K86" i="2"/>
  <c r="K88" i="2" s="1"/>
  <c r="K77" i="2"/>
  <c r="K78" i="2" s="1"/>
  <c r="K92" i="2" s="1"/>
  <c r="K58" i="2"/>
  <c r="K59" i="2"/>
  <c r="K46" i="2"/>
  <c r="K54" i="2" s="1"/>
  <c r="AQ38" i="2"/>
  <c r="AP28" i="2"/>
  <c r="AP30" i="2" s="1"/>
  <c r="AP32" i="2" s="1"/>
  <c r="AP34" i="2" s="1"/>
  <c r="AP35" i="2" s="1"/>
  <c r="AR38" i="2"/>
  <c r="AQ28" i="2"/>
  <c r="AQ30" i="2" s="1"/>
  <c r="AQ32" i="2" s="1"/>
  <c r="AQ34" i="2" s="1"/>
  <c r="AQ35" i="2" s="1"/>
  <c r="AS38" i="2"/>
  <c r="AR28" i="2"/>
  <c r="AR30" i="2" s="1"/>
  <c r="AR32" i="2" s="1"/>
  <c r="AR34" i="2" s="1"/>
  <c r="AR35" i="2" s="1"/>
  <c r="AR2" i="2"/>
  <c r="AQ2" i="2" s="1"/>
  <c r="AP2" i="2" s="1"/>
  <c r="AO2" i="2" s="1"/>
  <c r="AS28" i="2"/>
  <c r="AS30" i="2" s="1"/>
  <c r="AS32" i="2" s="1"/>
  <c r="AS34" i="2" s="1"/>
  <c r="AS35" i="2" s="1"/>
  <c r="AS5" i="2"/>
  <c r="AX41" i="2"/>
  <c r="AW41" i="2"/>
  <c r="AV41" i="2"/>
  <c r="AT25" i="2"/>
  <c r="R40" i="2"/>
  <c r="Q40" i="2"/>
  <c r="P40" i="2"/>
  <c r="O40" i="2"/>
  <c r="N40" i="2"/>
  <c r="M40" i="2"/>
  <c r="L40" i="2"/>
  <c r="K40" i="2"/>
  <c r="R39" i="2"/>
  <c r="Q39" i="2"/>
  <c r="O39" i="2"/>
  <c r="N39" i="2"/>
  <c r="M39" i="2"/>
  <c r="L39" i="2"/>
  <c r="K39" i="2"/>
  <c r="R41" i="2"/>
  <c r="Q41" i="2"/>
  <c r="P41" i="2"/>
  <c r="N41" i="2"/>
  <c r="M41" i="2"/>
  <c r="L41" i="2"/>
  <c r="K41" i="2"/>
  <c r="O41" i="2"/>
  <c r="BH78" i="2"/>
  <c r="BG78" i="2"/>
  <c r="BF78" i="2"/>
  <c r="BE78" i="2"/>
  <c r="BD78" i="2"/>
  <c r="BC78" i="2"/>
  <c r="BB78" i="2"/>
  <c r="BA78" i="2"/>
  <c r="AZ78" i="2"/>
  <c r="R31" i="2"/>
  <c r="R36" i="2"/>
  <c r="V36" i="2" s="1"/>
  <c r="AY36" i="2"/>
  <c r="AZ36" i="2" s="1"/>
  <c r="BA36" i="2" s="1"/>
  <c r="BB36" i="2" s="1"/>
  <c r="BC36" i="2" s="1"/>
  <c r="BD36" i="2" s="1"/>
  <c r="BE36" i="2" s="1"/>
  <c r="BF36" i="2" s="1"/>
  <c r="BG36" i="2" s="1"/>
  <c r="BH36" i="2" s="1"/>
  <c r="AY29" i="2"/>
  <c r="AZ29" i="2" s="1"/>
  <c r="BA29" i="2" s="1"/>
  <c r="BB29" i="2" s="1"/>
  <c r="BC29" i="2" s="1"/>
  <c r="BD29" i="2" s="1"/>
  <c r="BE29" i="2" s="1"/>
  <c r="BF29" i="2" s="1"/>
  <c r="BG29" i="2" s="1"/>
  <c r="BH29" i="2" s="1"/>
  <c r="BA2" i="2"/>
  <c r="BB2" i="2" s="1"/>
  <c r="BC2" i="2" s="1"/>
  <c r="BD2" i="2" s="1"/>
  <c r="AX77" i="2"/>
  <c r="AX78" i="2" s="1"/>
  <c r="AX92" i="2" s="1"/>
  <c r="AT77" i="2"/>
  <c r="AT78" i="2" s="1"/>
  <c r="AT92" i="2" s="1"/>
  <c r="AW77" i="2"/>
  <c r="AW78" i="2" s="1"/>
  <c r="AW92" i="2" s="1"/>
  <c r="AV77" i="2"/>
  <c r="AV78" i="2" s="1"/>
  <c r="AV92" i="2" s="1"/>
  <c r="AY78" i="2"/>
  <c r="AU77" i="2"/>
  <c r="AU78" i="2" s="1"/>
  <c r="AU92" i="2" s="1"/>
  <c r="O101" i="2"/>
  <c r="N101" i="2"/>
  <c r="AT26" i="2"/>
  <c r="AT28" i="2" s="1"/>
  <c r="AT30" i="2" s="1"/>
  <c r="AT32" i="2" s="1"/>
  <c r="AT34" i="2" s="1"/>
  <c r="AT35" i="2" s="1"/>
  <c r="AU28" i="2"/>
  <c r="AU30" i="2" s="1"/>
  <c r="AV28" i="2"/>
  <c r="G26" i="2"/>
  <c r="G28" i="2" s="1"/>
  <c r="N26" i="2"/>
  <c r="M26" i="2"/>
  <c r="M28" i="2" s="1"/>
  <c r="L26" i="2"/>
  <c r="K26" i="2"/>
  <c r="K28" i="2" s="1"/>
  <c r="K30" i="2" s="1"/>
  <c r="K32" i="2" s="1"/>
  <c r="K34" i="2" s="1"/>
  <c r="K35" i="2" s="1"/>
  <c r="J26" i="2"/>
  <c r="J28" i="2" s="1"/>
  <c r="J42" i="2" s="1"/>
  <c r="I26" i="2"/>
  <c r="I28" i="2" s="1"/>
  <c r="H26" i="2"/>
  <c r="AX26" i="2"/>
  <c r="AW26" i="2"/>
  <c r="AW28" i="2" s="1"/>
  <c r="N58" i="2"/>
  <c r="N62" i="2" s="1"/>
  <c r="N46" i="2"/>
  <c r="N54" i="2" s="1"/>
  <c r="O58" i="2"/>
  <c r="O59" i="2"/>
  <c r="O46" i="2"/>
  <c r="O54" i="2" s="1"/>
  <c r="O88" i="2"/>
  <c r="O77" i="2"/>
  <c r="O78" i="2" s="1"/>
  <c r="O92" i="2" s="1"/>
  <c r="M4" i="1"/>
  <c r="M7" i="1" s="1"/>
  <c r="V8" i="2" l="1"/>
  <c r="Z26" i="2"/>
  <c r="T83" i="2"/>
  <c r="AW8" i="2"/>
  <c r="S62" i="2"/>
  <c r="S90" i="2"/>
  <c r="V31" i="2"/>
  <c r="P62" i="2"/>
  <c r="V41" i="2"/>
  <c r="S38" i="2"/>
  <c r="S28" i="2"/>
  <c r="S30" i="2" s="1"/>
  <c r="S32" i="2" s="1"/>
  <c r="Q38" i="2"/>
  <c r="P90" i="2"/>
  <c r="Q62" i="2"/>
  <c r="U38" i="2"/>
  <c r="S42" i="2"/>
  <c r="R38" i="2"/>
  <c r="O42" i="2"/>
  <c r="M86" i="2"/>
  <c r="N86" i="2" s="1"/>
  <c r="N88" i="2" s="1"/>
  <c r="L83" i="2"/>
  <c r="L88" i="2"/>
  <c r="M83" i="2"/>
  <c r="N80" i="2"/>
  <c r="M62" i="2"/>
  <c r="N83" i="2"/>
  <c r="M54" i="2"/>
  <c r="L77" i="2"/>
  <c r="K90" i="2"/>
  <c r="K64" i="2"/>
  <c r="K62" i="2"/>
  <c r="AS44" i="2"/>
  <c r="AT44" i="2"/>
  <c r="AP44" i="2"/>
  <c r="AS43" i="2"/>
  <c r="AP42" i="2"/>
  <c r="AP43" i="2"/>
  <c r="AT38" i="2"/>
  <c r="AQ42" i="2"/>
  <c r="AQ43" i="2"/>
  <c r="AS42" i="2"/>
  <c r="AQ44" i="2"/>
  <c r="AR42" i="2"/>
  <c r="AR44" i="2"/>
  <c r="AR43" i="2"/>
  <c r="AY41" i="2"/>
  <c r="BA25" i="2"/>
  <c r="BB25" i="2" s="1"/>
  <c r="BC25" i="2" s="1"/>
  <c r="BD25" i="2" s="1"/>
  <c r="BE25" i="2" s="1"/>
  <c r="BF25" i="2" s="1"/>
  <c r="BG25" i="2" s="1"/>
  <c r="BH25" i="2" s="1"/>
  <c r="AZ41" i="2"/>
  <c r="K43" i="2"/>
  <c r="K44" i="2"/>
  <c r="O44" i="2"/>
  <c r="O43" i="2"/>
  <c r="AU41" i="2"/>
  <c r="AT43" i="2"/>
  <c r="BE2" i="2"/>
  <c r="BF2" i="2" s="1"/>
  <c r="BG2" i="2" s="1"/>
  <c r="BH2" i="2" s="1"/>
  <c r="AT64" i="2"/>
  <c r="AU38" i="2"/>
  <c r="AU42" i="2"/>
  <c r="AV38" i="2"/>
  <c r="AW38" i="2"/>
  <c r="N38" i="2"/>
  <c r="AT42" i="2"/>
  <c r="AV30" i="2"/>
  <c r="AV42" i="2"/>
  <c r="AX38" i="2"/>
  <c r="K38" i="2"/>
  <c r="G42" i="2"/>
  <c r="G30" i="2"/>
  <c r="G32" i="2" s="1"/>
  <c r="L38" i="2"/>
  <c r="L28" i="2"/>
  <c r="L30" i="2" s="1"/>
  <c r="L32" i="2" s="1"/>
  <c r="H28" i="2"/>
  <c r="I42" i="2"/>
  <c r="I30" i="2"/>
  <c r="I32" i="2" s="1"/>
  <c r="M38" i="2"/>
  <c r="M30" i="2"/>
  <c r="M32" i="2" s="1"/>
  <c r="M42" i="2"/>
  <c r="AW30" i="2"/>
  <c r="AW42" i="2"/>
  <c r="AX28" i="2"/>
  <c r="O38" i="2"/>
  <c r="J30" i="2"/>
  <c r="J32" i="2" s="1"/>
  <c r="N28" i="2"/>
  <c r="O90" i="2"/>
  <c r="O62" i="2"/>
  <c r="K42" i="2"/>
  <c r="O35" i="2"/>
  <c r="O64" i="2"/>
  <c r="M88" i="2" l="1"/>
  <c r="R27" i="2"/>
  <c r="R28" i="2" s="1"/>
  <c r="P28" i="2"/>
  <c r="P38" i="2"/>
  <c r="AY26" i="2"/>
  <c r="V38" i="2"/>
  <c r="V28" i="2"/>
  <c r="U28" i="2"/>
  <c r="S44" i="2"/>
  <c r="S34" i="2"/>
  <c r="S43" i="2"/>
  <c r="L78" i="2"/>
  <c r="M77" i="2"/>
  <c r="BB41" i="2"/>
  <c r="BA41" i="2"/>
  <c r="L34" i="2"/>
  <c r="L44" i="2"/>
  <c r="L43" i="2"/>
  <c r="G34" i="2"/>
  <c r="G35" i="2" s="1"/>
  <c r="G43" i="2"/>
  <c r="G44" i="2"/>
  <c r="M34" i="2"/>
  <c r="M44" i="2"/>
  <c r="M43" i="2"/>
  <c r="J34" i="2"/>
  <c r="J35" i="2" s="1"/>
  <c r="J44" i="2"/>
  <c r="J43" i="2"/>
  <c r="I34" i="2"/>
  <c r="I35" i="2" s="1"/>
  <c r="I43" i="2"/>
  <c r="I44" i="2"/>
  <c r="BC41" i="2"/>
  <c r="AW32" i="2"/>
  <c r="AW43" i="2"/>
  <c r="AV32" i="2"/>
  <c r="AV43" i="2"/>
  <c r="Q28" i="2"/>
  <c r="Q30" i="2" s="1"/>
  <c r="Q32" i="2" s="1"/>
  <c r="L42" i="2"/>
  <c r="H30" i="2"/>
  <c r="H32" i="2" s="1"/>
  <c r="H42" i="2"/>
  <c r="AX42" i="2"/>
  <c r="AX30" i="2"/>
  <c r="N42" i="2"/>
  <c r="N30" i="2"/>
  <c r="N32" i="2" s="1"/>
  <c r="BA26" i="2" l="1"/>
  <c r="BB26" i="2" s="1"/>
  <c r="BC26" i="2" s="1"/>
  <c r="BD26" i="2" s="1"/>
  <c r="BE26" i="2" s="1"/>
  <c r="BF26" i="2" s="1"/>
  <c r="BG26" i="2" s="1"/>
  <c r="BH26" i="2" s="1"/>
  <c r="AY8" i="2"/>
  <c r="S35" i="2"/>
  <c r="S64" i="2"/>
  <c r="R42" i="2"/>
  <c r="R30" i="2"/>
  <c r="R32" i="2" s="1"/>
  <c r="V42" i="2"/>
  <c r="V30" i="2"/>
  <c r="V32" i="2" s="1"/>
  <c r="T38" i="2"/>
  <c r="T28" i="2"/>
  <c r="P42" i="2"/>
  <c r="P30" i="2"/>
  <c r="P32" i="2" s="1"/>
  <c r="U30" i="2"/>
  <c r="U32" i="2" s="1"/>
  <c r="U42" i="2"/>
  <c r="N77" i="2"/>
  <c r="N78" i="2" s="1"/>
  <c r="M78" i="2"/>
  <c r="L92" i="2"/>
  <c r="L90" i="2"/>
  <c r="M35" i="2"/>
  <c r="M64" i="2"/>
  <c r="L35" i="2"/>
  <c r="L64" i="2"/>
  <c r="AV34" i="2"/>
  <c r="AV35" i="2" s="1"/>
  <c r="AV44" i="2"/>
  <c r="AW34" i="2"/>
  <c r="AW35" i="2" s="1"/>
  <c r="AW44" i="2"/>
  <c r="H34" i="2"/>
  <c r="H35" i="2" s="1"/>
  <c r="H43" i="2"/>
  <c r="H44" i="2"/>
  <c r="Q34" i="2"/>
  <c r="Q44" i="2"/>
  <c r="Q43" i="2"/>
  <c r="AY38" i="2"/>
  <c r="N34" i="2"/>
  <c r="N64" i="2" s="1"/>
  <c r="N43" i="2"/>
  <c r="N44" i="2"/>
  <c r="BD41" i="2"/>
  <c r="AX32" i="2"/>
  <c r="AX43" i="2"/>
  <c r="AU32" i="2"/>
  <c r="AU43" i="2"/>
  <c r="Q42" i="2"/>
  <c r="AY27" i="2"/>
  <c r="AY28" i="2" s="1"/>
  <c r="AY30" i="2" s="1"/>
  <c r="R34" i="2" l="1"/>
  <c r="R35" i="2" s="1"/>
  <c r="R43" i="2"/>
  <c r="R44" i="2"/>
  <c r="P44" i="2"/>
  <c r="P34" i="2"/>
  <c r="P43" i="2"/>
  <c r="Q35" i="2"/>
  <c r="Q64" i="2"/>
  <c r="T30" i="2"/>
  <c r="T32" i="2" s="1"/>
  <c r="T42" i="2"/>
  <c r="V34" i="2"/>
  <c r="V43" i="2"/>
  <c r="V44" i="2"/>
  <c r="U43" i="2"/>
  <c r="U34" i="2"/>
  <c r="U44" i="2"/>
  <c r="M92" i="2"/>
  <c r="M90" i="2"/>
  <c r="AV64" i="2"/>
  <c r="AW64" i="2"/>
  <c r="N92" i="2"/>
  <c r="N90" i="2"/>
  <c r="N35" i="2"/>
  <c r="AU34" i="2"/>
  <c r="AU64" i="2" s="1"/>
  <c r="AU44" i="2"/>
  <c r="AX34" i="2"/>
  <c r="AX64" i="2" s="1"/>
  <c r="AX44" i="2"/>
  <c r="AZ38" i="2"/>
  <c r="BE41" i="2"/>
  <c r="AY43" i="2"/>
  <c r="AZ27" i="2"/>
  <c r="AZ28" i="2" s="1"/>
  <c r="AY42" i="2"/>
  <c r="U35" i="2" l="1"/>
  <c r="U64" i="2"/>
  <c r="V35" i="2"/>
  <c r="V64" i="2"/>
  <c r="T34" i="2"/>
  <c r="T43" i="2"/>
  <c r="T44" i="2"/>
  <c r="P64" i="2"/>
  <c r="P35" i="2"/>
  <c r="AY31" i="2"/>
  <c r="AY32" i="2" s="1"/>
  <c r="AY34" i="2" s="1"/>
  <c r="AY64" i="2" s="1"/>
  <c r="AX35" i="2"/>
  <c r="AU35" i="2"/>
  <c r="BB27" i="2"/>
  <c r="BA27" i="2"/>
  <c r="BA28" i="2" s="1"/>
  <c r="BF41" i="2"/>
  <c r="BA38" i="2"/>
  <c r="AZ42" i="2"/>
  <c r="AZ30" i="2"/>
  <c r="T35" i="2" l="1"/>
  <c r="T64" i="2"/>
  <c r="AY35" i="2"/>
  <c r="AZ31" i="2"/>
  <c r="AZ32" i="2" s="1"/>
  <c r="AZ34" i="2" s="1"/>
  <c r="AY44" i="2"/>
  <c r="BH41" i="2"/>
  <c r="BG41" i="2"/>
  <c r="AZ43" i="2"/>
  <c r="BA30" i="2"/>
  <c r="BA42" i="2"/>
  <c r="BB28" i="2"/>
  <c r="BB38" i="2"/>
  <c r="BC38" i="2" l="1"/>
  <c r="BC27" i="2"/>
  <c r="BA31" i="2"/>
  <c r="BA32" i="2" s="1"/>
  <c r="BA44" i="2" s="1"/>
  <c r="AZ35" i="2"/>
  <c r="AZ64" i="2"/>
  <c r="BA43" i="2"/>
  <c r="AZ44" i="2"/>
  <c r="BB30" i="2"/>
  <c r="BB42" i="2"/>
  <c r="BD27" i="2"/>
  <c r="BC28" i="2"/>
  <c r="BA34" i="2" l="1"/>
  <c r="BB43" i="2"/>
  <c r="BC42" i="2"/>
  <c r="BC30" i="2"/>
  <c r="BE27" i="2"/>
  <c r="BD38" i="2"/>
  <c r="BD28" i="2"/>
  <c r="BA35" i="2" l="1"/>
  <c r="BA64" i="2"/>
  <c r="BC43" i="2"/>
  <c r="BD30" i="2"/>
  <c r="BD42" i="2"/>
  <c r="BF27" i="2"/>
  <c r="BE38" i="2"/>
  <c r="BE28" i="2"/>
  <c r="BB31" i="2" l="1"/>
  <c r="BB32" i="2" s="1"/>
  <c r="BD43" i="2"/>
  <c r="BG27" i="2"/>
  <c r="BF28" i="2"/>
  <c r="BF38" i="2"/>
  <c r="BE42" i="2"/>
  <c r="BE30" i="2"/>
  <c r="BB34" i="2" l="1"/>
  <c r="BB44" i="2"/>
  <c r="BE43" i="2"/>
  <c r="BF30" i="2"/>
  <c r="BF42" i="2"/>
  <c r="BH27" i="2"/>
  <c r="BG38" i="2"/>
  <c r="BG28" i="2"/>
  <c r="BB35" i="2" l="1"/>
  <c r="BB64" i="2"/>
  <c r="BF43" i="2"/>
  <c r="BG30" i="2"/>
  <c r="BG42" i="2"/>
  <c r="BH28" i="2"/>
  <c r="BH38" i="2"/>
  <c r="BC31" i="2" l="1"/>
  <c r="BC32" i="2" s="1"/>
  <c r="BG43" i="2"/>
  <c r="BH30" i="2"/>
  <c r="BH42" i="2"/>
  <c r="BC33" i="2" l="1"/>
  <c r="BC44" i="2" s="1"/>
  <c r="BH43" i="2"/>
  <c r="BC34" i="2" l="1"/>
  <c r="BC64" i="2" s="1"/>
  <c r="BD31" i="2" l="1"/>
  <c r="BD32" i="2" s="1"/>
  <c r="BC35" i="2"/>
  <c r="BD33" i="2" l="1"/>
  <c r="BD44" i="2" s="1"/>
  <c r="BD34" i="2" l="1"/>
  <c r="BD35" i="2" s="1"/>
  <c r="BE31" i="2" l="1"/>
  <c r="BE32" i="2" s="1"/>
  <c r="BD64" i="2"/>
  <c r="BE33" i="2" l="1"/>
  <c r="BE44" i="2" s="1"/>
  <c r="BE34" i="2" l="1"/>
  <c r="BE35" i="2" s="1"/>
  <c r="BF31" i="2" l="1"/>
  <c r="BF32" i="2" s="1"/>
  <c r="BE64" i="2"/>
  <c r="BF33" i="2" l="1"/>
  <c r="BF44" i="2" s="1"/>
  <c r="BF34" i="2" l="1"/>
  <c r="BF35" i="2" l="1"/>
  <c r="BF64" i="2"/>
  <c r="BG31" i="2" l="1"/>
  <c r="BG32" i="2" s="1"/>
  <c r="BG33" i="2" l="1"/>
  <c r="BG44" i="2" s="1"/>
  <c r="BG34" i="2" l="1"/>
  <c r="BG35" i="2" l="1"/>
  <c r="BG64" i="2"/>
  <c r="BH31" i="2" l="1"/>
  <c r="BH32" i="2" s="1"/>
  <c r="BH33" i="2" l="1"/>
  <c r="BH44" i="2" s="1"/>
  <c r="BH34" i="2" l="1"/>
  <c r="BH64" i="2" l="1"/>
  <c r="BH35" i="2"/>
  <c r="BI34" i="2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BL69" i="2" s="1"/>
  <c r="BL70" i="2" s="1"/>
  <c r="BL7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tc={8C0AC7C8-6AB4-1B4C-9DD9-C796B455A690}</author>
    <author>tc={73D06934-FB6E-AD40-ACE6-42AFC6483912}</author>
    <author>tc={0738A0A0-A2BF-4E40-AE66-026FFD5AFC49}</author>
    <author>tc={0831DEA1-B40F-124F-B229-711C97721FA6}</author>
    <author>tc={F23DBBCD-FC90-41B4-912A-05593D9AD727}</author>
  </authors>
  <commentList>
    <comment ref="AC23" authorId="0" shapeId="0" xr:uid="{8C0AC7C8-6AB4-1B4C-9DD9-C796B455A690}">
      <text>
        <t>[Threaded comment]
Your version of Excel allows you to read this threaded comment; however, any edits to it will get removed if the file is opened in a newer version of Excel. Learn more: https://go.microsoft.com/fwlink/?linkid=870924
Comment:
    Xbox 1 released in NA 9/15/01</t>
      </text>
    </comment>
    <comment ref="AG23" authorId="1" shapeId="0" xr:uid="{73D06934-FB6E-AD40-ACE6-42AFC6483912}">
      <text>
        <t>[Threaded comment]
Your version of Excel allows you to read this threaded comment; however, any edits to it will get removed if the file is opened in a newer version of Excel. Learn more: https://go.microsoft.com/fwlink/?linkid=870924
Comment:
    Xbox 360 launched 11/2005</t>
      </text>
    </comment>
    <comment ref="AO23" authorId="2" shapeId="0" xr:uid="{0738A0A0-A2BF-4E40-AE66-026FFD5AFC49}">
      <text>
        <t>[Threaded comment]
Your version of Excel allows you to read this threaded comment; however, any edits to it will get removed if the file is opened in a newer version of Excel. Learn more: https://go.microsoft.com/fwlink/?linkid=870924
Comment:
    Xbox One NA/EU launch 11/22/13 $499.99
Playstation 4 NA 11/15/13 $399.99</t>
      </text>
    </comment>
    <comment ref="AV23" authorId="3" shapeId="0" xr:uid="{0831DEA1-B40F-124F-B229-711C97721FA6}">
      <text>
        <t>[Threaded comment]
Your version of Excel allows you to read this threaded comment; however, any edits to it will get removed if the file is opened in a newer version of Excel. Learn more: https://go.microsoft.com/fwlink/?linkid=870924
Comment:
    PS5 launched 11/12/20
Xbox X/S launched 11/10/20</t>
      </text>
    </comment>
    <comment ref="O36" authorId="4" shapeId="0" xr:uid="{F23DBBCD-FC90-41B4-912A-05593D9AD727}">
      <text>
        <t>[Threaded comment]
Your version of Excel allows you to read this threaded comment; however, any edits to it will get removed if the file is opened in a newer version of Excel. Learn more: https://go.microsoft.com/fwlink/?linkid=870924
Comment:
    12.7m</t>
      </text>
    </comment>
  </commentList>
</comments>
</file>

<file path=xl/sharedStrings.xml><?xml version="1.0" encoding="utf-8"?>
<sst xmlns="http://schemas.openxmlformats.org/spreadsheetml/2006/main" count="187" uniqueCount="165">
  <si>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</si>
  <si>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</si>
  <si>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</si>
  <si>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</si>
  <si>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</si>
  <si>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</si>
  <si>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</si>
  <si>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</si>
  <si>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</si>
  <si>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</si>
  <si>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</si>
  <si>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</si>
  <si>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</si>
  <si>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</si>
  <si>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</si>
  <si>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</si>
  <si>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</si>
  <si>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</si>
  <si>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</si>
  <si>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</si>
  <si>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</si>
  <si>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</si>
  <si>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</si>
  <si>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</si>
  <si>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Gross Margin</t>
  </si>
  <si>
    <t>COGS</t>
  </si>
  <si>
    <t>SG&amp;A</t>
  </si>
  <si>
    <t>Operating Income</t>
  </si>
  <si>
    <t>Interest Expense</t>
  </si>
  <si>
    <t>Pretax Income</t>
  </si>
  <si>
    <t>Net Income</t>
  </si>
  <si>
    <t>Taxes</t>
  </si>
  <si>
    <t>EPS</t>
  </si>
  <si>
    <t>Revenue y/y</t>
  </si>
  <si>
    <t>Model NI</t>
  </si>
  <si>
    <t>Reported NI</t>
  </si>
  <si>
    <t>D&amp;A</t>
  </si>
  <si>
    <t>SBC</t>
  </si>
  <si>
    <t>Gain of sale</t>
  </si>
  <si>
    <t>Digital asset impairments</t>
  </si>
  <si>
    <t>Loss on PP&amp;E</t>
  </si>
  <si>
    <t>Other</t>
  </si>
  <si>
    <t>WC</t>
  </si>
  <si>
    <t>CFFO</t>
  </si>
  <si>
    <t>CapEx</t>
  </si>
  <si>
    <t>Digital Asset Sale</t>
  </si>
  <si>
    <t>CFFI</t>
  </si>
  <si>
    <t>Stock Awards</t>
  </si>
  <si>
    <t>CFFF</t>
  </si>
  <si>
    <t>FX</t>
  </si>
  <si>
    <t>CIC</t>
  </si>
  <si>
    <t>AR</t>
  </si>
  <si>
    <t>ONCA</t>
  </si>
  <si>
    <t>Assets</t>
  </si>
  <si>
    <t>Inventory</t>
  </si>
  <si>
    <t>Prepaids</t>
  </si>
  <si>
    <t>PP&amp;E</t>
  </si>
  <si>
    <t>Lease</t>
  </si>
  <si>
    <t>DT</t>
  </si>
  <si>
    <t>AP</t>
  </si>
  <si>
    <t>AL</t>
  </si>
  <si>
    <t>OLTL</t>
  </si>
  <si>
    <t>SE</t>
  </si>
  <si>
    <t>L+SE</t>
  </si>
  <si>
    <t>6/1/22: FYQ122 results</t>
  </si>
  <si>
    <t>Hardware</t>
  </si>
  <si>
    <t>Software</t>
  </si>
  <si>
    <t>Collectibles</t>
  </si>
  <si>
    <t>FY2021</t>
  </si>
  <si>
    <t>FY2022</t>
  </si>
  <si>
    <t>FY2023</t>
  </si>
  <si>
    <t>FY2020</t>
  </si>
  <si>
    <t>FY2019</t>
  </si>
  <si>
    <t>FY2018</t>
  </si>
  <si>
    <t>New Hardware</t>
  </si>
  <si>
    <t>New Software</t>
  </si>
  <si>
    <t>Pre-owned</t>
  </si>
  <si>
    <t>Accessories</t>
  </si>
  <si>
    <t>Digital</t>
  </si>
  <si>
    <t xml:space="preserve">Hardware </t>
  </si>
  <si>
    <t>Gross Profit</t>
  </si>
  <si>
    <t>Inventory Reserves</t>
  </si>
  <si>
    <t>Goodwill</t>
  </si>
  <si>
    <t>FCF</t>
  </si>
  <si>
    <t>Retirement of Debt</t>
  </si>
  <si>
    <t>Impairments</t>
  </si>
  <si>
    <t>FY2024</t>
  </si>
  <si>
    <t>FY2025</t>
  </si>
  <si>
    <t>FY2026</t>
  </si>
  <si>
    <t>FY2027</t>
  </si>
  <si>
    <t>FY2028</t>
  </si>
  <si>
    <t>FY2029</t>
  </si>
  <si>
    <t>FY2030</t>
  </si>
  <si>
    <t>FY2031</t>
  </si>
  <si>
    <t>Discount</t>
  </si>
  <si>
    <t>Maturity</t>
  </si>
  <si>
    <t>NPV</t>
  </si>
  <si>
    <t>Upside</t>
  </si>
  <si>
    <t>Tax Rate</t>
  </si>
  <si>
    <t>Operating Margin</t>
  </si>
  <si>
    <t>ROIC</t>
  </si>
  <si>
    <t>United States</t>
  </si>
  <si>
    <t>Canada</t>
  </si>
  <si>
    <t>Australia</t>
  </si>
  <si>
    <t>Europe</t>
  </si>
  <si>
    <t>Collectibles y/y</t>
  </si>
  <si>
    <t>Software y/y</t>
  </si>
  <si>
    <t>Hardware y/y</t>
  </si>
  <si>
    <t>Grapevine, TX</t>
  </si>
  <si>
    <t>Est. 1996.</t>
  </si>
  <si>
    <t>FY2017</t>
  </si>
  <si>
    <t>FY2016</t>
  </si>
  <si>
    <t>FY2015</t>
  </si>
  <si>
    <t>FY2014</t>
  </si>
  <si>
    <t>FY2013</t>
  </si>
  <si>
    <t>Issuance of Common</t>
  </si>
  <si>
    <t>Q123</t>
  </si>
  <si>
    <t>Q223</t>
  </si>
  <si>
    <t>Q323</t>
  </si>
  <si>
    <t>Q423</t>
  </si>
  <si>
    <t>Game Informer</t>
  </si>
  <si>
    <t>Immutable X</t>
  </si>
  <si>
    <t>CFO: Diana Saadeh-Jajeh</t>
  </si>
  <si>
    <t>CEO: Matthew Furlong</t>
  </si>
  <si>
    <t>9/7/22: FTX partnership</t>
  </si>
  <si>
    <t>9/7/22: FYQ222 results</t>
  </si>
  <si>
    <t>10/31/22: NFT marketplace launch with ImmutableX</t>
  </si>
  <si>
    <t>https://nft.gamestop.com/</t>
  </si>
  <si>
    <t>Q124</t>
  </si>
  <si>
    <t>Q224</t>
  </si>
  <si>
    <t>Q324</t>
  </si>
  <si>
    <t>Q424</t>
  </si>
  <si>
    <t>FY2012</t>
  </si>
  <si>
    <t>FY2011</t>
  </si>
  <si>
    <t>FY2010</t>
  </si>
  <si>
    <t>FY2009</t>
  </si>
  <si>
    <t>FY2008</t>
  </si>
  <si>
    <t>FY2007</t>
  </si>
  <si>
    <t>FY2006</t>
  </si>
  <si>
    <t>FY2005</t>
  </si>
  <si>
    <t>FY2004</t>
  </si>
  <si>
    <t>FY2003</t>
  </si>
  <si>
    <t>FY2002</t>
  </si>
  <si>
    <t>FY2001</t>
  </si>
  <si>
    <t>FY2000</t>
  </si>
  <si>
    <t>Domestic Stores</t>
  </si>
  <si>
    <t>International Stores</t>
  </si>
  <si>
    <t>Total Stores</t>
  </si>
  <si>
    <t>Revenue/Store</t>
  </si>
  <si>
    <t>Nintendo % of revenue</t>
  </si>
  <si>
    <t>Ubisoft</t>
  </si>
  <si>
    <t>U&amp;I</t>
  </si>
  <si>
    <t>Microsoft</t>
  </si>
  <si>
    <t>Sony</t>
  </si>
  <si>
    <t>Headcount</t>
  </si>
  <si>
    <t>52 weeks</t>
  </si>
  <si>
    <t>FY1999</t>
  </si>
  <si>
    <t>Rev/Employee</t>
  </si>
  <si>
    <t>Employees/Store</t>
  </si>
  <si>
    <t>Position</t>
  </si>
  <si>
    <t>Average</t>
  </si>
  <si>
    <t>Value</t>
  </si>
  <si>
    <t>Basis</t>
  </si>
  <si>
    <t>Current</t>
  </si>
  <si>
    <t>P&amp;L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</si>
</sst>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"/>
    <numFmt numFmtId="165" formatCode="m/d/yy;@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4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9" fontId="1" fillId="0" borderId="0" xfId="0" applyNumberFormat="1" applyFont="1"/>
    <xf numFmtId="9" fontId="0" fillId="0" borderId="0" xfId="0" applyNumberFormat="1"/>
    <xf numFmtId="4" fontId="1" fillId="0" borderId="0" xfId="0" applyNumberFormat="1" applyFont="1"/>
    <xf numFmtId="1" fontId="0" fillId="0" borderId="0" xfId="0" applyNumberFormat="1"/>
    <xf numFmtId="0" fontId="3" fillId="0" borderId="0" xfId="1"/>
    <xf numFmtId="165" fontId="0" fillId="0" borderId="0" xfId="0" applyNumberFormat="1"/>
    <xf numFmtId="165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5E299FAB-94B2-4E1D-A8E9-289F3E5180F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45721</xdr:colOff>
      <xdr:row>0</xdr:row>
      <xdr:rowOff>0</xdr:rowOff>
    </xdr:from>
    <xdr:to>
      <xdr:col>22</xdr:col>
      <xdr:colOff>45721</xdr:colOff>
      <xdr:row>110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E5E6D02-E762-DD46-B587-BD1BD9BA3AD8}"/>
            </a:ext>
          </a:extLst>
        </xdr:cNvPr>
        <xdr:cNvCxnSpPr/>
      </xdr:nvCxnSpPr>
      <xdr:spPr>
        <a:xfrm>
          <a:off x="15007298" y="0"/>
          <a:ext cx="0" cy="181106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38344</xdr:colOff>
      <xdr:row>0</xdr:row>
      <xdr:rowOff>29308</xdr:rowOff>
    </xdr:from>
    <xdr:to>
      <xdr:col>52</xdr:col>
      <xdr:colOff>50223</xdr:colOff>
      <xdr:row>118</xdr:row>
      <xdr:rowOff>29308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234E424-D78E-4BFF-9515-A459501DE400}"/>
            </a:ext>
          </a:extLst>
        </xdr:cNvPr>
        <xdr:cNvCxnSpPr/>
      </xdr:nvCxnSpPr>
      <xdr:spPr>
        <a:xfrm>
          <a:off x="37991806" y="29308"/>
          <a:ext cx="11879" cy="1959707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BD969550-EDD6-435F-8506-2F239B21FA30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C23" dT="2024-06-05T16:08:31.97" personId="{BD969550-EDD6-435F-8506-2F239B21FA30}" id="{8C0AC7C8-6AB4-1B4C-9DD9-C796B455A690}">
    <text>Xbox 1 released in NA 9/15/01</text>
  </threadedComment>
  <threadedComment ref="AG23" dT="2024-06-05T16:08:56.52" personId="{BD969550-EDD6-435F-8506-2F239B21FA30}" id="{73D06934-FB6E-AD40-ACE6-42AFC6483912}">
    <text>Xbox 360 launched 11/2005</text>
  </threadedComment>
  <threadedComment ref="AO23" dT="2024-06-05T16:10:49.89" personId="{BD969550-EDD6-435F-8506-2F239B21FA30}" id="{0738A0A0-A2BF-4E40-AE66-026FFD5AFC49}">
    <text>Xbox One NA/EU launch 11/22/13 $499.99
Playstation 4 NA 11/15/13 $399.99</text>
  </threadedComment>
  <threadedComment ref="AV23" dT="2024-06-05T16:11:40.85" personId="{BD969550-EDD6-435F-8506-2F239B21FA30}" id="{0831DEA1-B40F-124F-B229-711C97721FA6}">
    <text>PS5 launched 11/12/20
Xbox X/S launched 11/10/20</text>
  </threadedComment>
  <threadedComment ref="O36" dT="2022-07-02T00:43:35.95" personId="{BD969550-EDD6-435F-8506-2F239B21FA30}" id="{F23DBBCD-FC90-41B4-912A-05593D9AD727}">
    <text>12.7m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ft.gamestop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1A739-C7D1-4EC7-91DB-542DCD5B38AF}">
  <dimension ref="B2:N16"/>
  <sheetViews>
    <sheetView workbookViewId="0">
      <selection activeCell="N4" sqref="N4"/>
    </sheetView>
  </sheetViews>
  <sheetFormatPr baseColWidth="10" defaultColWidth="8.83203125" defaultRowHeight="13" x14ac:dyDescent="0.15"/>
  <cols>
    <col min="14" max="14" width="10.5" customWidth="1"/>
  </cols>
  <sheetData>
    <row r="2" spans="2:14" x14ac:dyDescent="0.15">
      <c r="B2" t="s">
        <v>108</v>
      </c>
      <c r="L2" t="s">
        <v>0</v>
      </c>
      <c r="M2" s="1">
        <v>25.16</v>
      </c>
    </row>
    <row r="3" spans="2:14" x14ac:dyDescent="0.15">
      <c r="B3" t="s">
        <v>109</v>
      </c>
      <c r="L3" t="s">
        <v>1</v>
      </c>
      <c r="M3" s="2">
        <v>304.57807000000003</v>
      </c>
      <c r="N3" s="3">
        <v>44896</v>
      </c>
    </row>
    <row r="4" spans="2:14" x14ac:dyDescent="0.15">
      <c r="L4" t="s">
        <v>2</v>
      </c>
      <c r="M4" s="2">
        <f>M2*M3</f>
        <v>7663.1842412000005</v>
      </c>
    </row>
    <row r="5" spans="2:14" x14ac:dyDescent="0.15">
      <c r="B5" t="s">
        <v>120</v>
      </c>
      <c r="L5" t="s">
        <v>3</v>
      </c>
      <c r="M5" s="2">
        <f>803.8+238.3</f>
        <v>1042.0999999999999</v>
      </c>
      <c r="N5" s="4" t="s">
        <v>22</v>
      </c>
    </row>
    <row r="6" spans="2:14" x14ac:dyDescent="0.15">
      <c r="B6" t="s">
        <v>121</v>
      </c>
      <c r="L6" t="s">
        <v>4</v>
      </c>
      <c r="M6" s="2">
        <f>9.9+28.8</f>
        <v>38.700000000000003</v>
      </c>
      <c r="N6" s="4" t="s">
        <v>22</v>
      </c>
    </row>
    <row r="7" spans="2:14" x14ac:dyDescent="0.15">
      <c r="L7" t="s">
        <v>5</v>
      </c>
      <c r="M7" s="2">
        <f>M4-M5+M6</f>
        <v>6659.7842412</v>
      </c>
    </row>
    <row r="10" spans="2:14" x14ac:dyDescent="0.15">
      <c r="L10" t="s">
        <v>123</v>
      </c>
    </row>
    <row r="11" spans="2:14" x14ac:dyDescent="0.15">
      <c r="L11" t="s">
        <v>122</v>
      </c>
    </row>
    <row r="13" spans="2:14" x14ac:dyDescent="0.15">
      <c r="B13" t="s">
        <v>64</v>
      </c>
    </row>
    <row r="14" spans="2:14" x14ac:dyDescent="0.15">
      <c r="B14" t="s">
        <v>124</v>
      </c>
      <c r="J14" s="18" t="s">
        <v>127</v>
      </c>
    </row>
    <row r="15" spans="2:14" x14ac:dyDescent="0.15">
      <c r="B15" t="s">
        <v>125</v>
      </c>
    </row>
    <row r="16" spans="2:14" x14ac:dyDescent="0.15">
      <c r="B16" t="s">
        <v>126</v>
      </c>
    </row>
  </sheetData>
  <hyperlinks>
    <hyperlink ref="J14" r:id="rId1" xr:uid="{3222DACB-6DBB-4EB3-A3EE-2DD85D38697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8DC47-869E-4A1F-AC19-77E1C7206D83}">
  <dimension ref="A1:CT112"/>
  <sheetViews>
    <sheetView tabSelected="1" zoomScale="130" zoomScaleNormal="130" workbookViewId="0">
      <pane xSplit="2" ySplit="3" topLeftCell="N55" activePane="bottomRight" state="frozen"/>
      <selection pane="topRight" activeCell="C1" sqref="C1"/>
      <selection pane="bottomLeft" activeCell="A4" sqref="A4"/>
      <selection pane="bottomRight" activeCell="V80" sqref="V80"/>
    </sheetView>
  </sheetViews>
  <sheetFormatPr baseColWidth="10" defaultColWidth="8.83203125" defaultRowHeight="13" x14ac:dyDescent="0.15"/>
  <cols>
    <col min="1" max="1" width="5" bestFit="1" customWidth="1"/>
    <col min="2" max="2" width="22.5" customWidth="1"/>
    <col min="3" max="6" width="9.1640625" style="4"/>
    <col min="7" max="12" width="9.83203125" style="4" customWidth="1"/>
    <col min="13" max="13" width="10.5" style="4" customWidth="1"/>
    <col min="14" max="15" width="9.83203125" style="4" customWidth="1"/>
    <col min="16" max="26" width="10.1640625" style="4" customWidth="1"/>
    <col min="33" max="40" width="8.83203125" style="4"/>
    <col min="42" max="45" width="9.1640625" style="4"/>
    <col min="48" max="48" width="8.83203125" style="4"/>
    <col min="49" max="51" width="9.1640625" style="4"/>
    <col min="64" max="64" width="8.5" customWidth="1"/>
  </cols>
  <sheetData>
    <row r="1" spans="1:60" x14ac:dyDescent="0.15">
      <c r="A1" s="18" t="s">
        <v>7</v>
      </c>
      <c r="AU1" s="22" t="s">
        <v>155</v>
      </c>
      <c r="AV1" s="22" t="s">
        <v>155</v>
      </c>
      <c r="AW1" s="22" t="s">
        <v>155</v>
      </c>
    </row>
    <row r="2" spans="1:60" s="19" customFormat="1" x14ac:dyDescent="0.15">
      <c r="C2" s="20"/>
      <c r="D2" s="20"/>
      <c r="E2" s="20"/>
      <c r="F2" s="20"/>
      <c r="G2" s="20">
        <v>43953</v>
      </c>
      <c r="H2" s="20">
        <v>44044</v>
      </c>
      <c r="I2" s="20">
        <v>44135</v>
      </c>
      <c r="J2" s="20">
        <v>44226</v>
      </c>
      <c r="K2" s="20">
        <v>44317</v>
      </c>
      <c r="L2" s="20">
        <v>44408</v>
      </c>
      <c r="M2" s="20">
        <v>44499</v>
      </c>
      <c r="N2" s="20">
        <v>44590</v>
      </c>
      <c r="O2" s="20">
        <v>44681</v>
      </c>
      <c r="P2" s="20">
        <v>44773</v>
      </c>
      <c r="Q2" s="20">
        <v>44864</v>
      </c>
      <c r="R2" s="20">
        <v>44954</v>
      </c>
      <c r="S2" s="20">
        <v>45045</v>
      </c>
      <c r="T2" s="20">
        <v>45136</v>
      </c>
      <c r="U2" s="20">
        <v>45227</v>
      </c>
      <c r="V2" s="20">
        <v>45325</v>
      </c>
      <c r="W2" s="20">
        <f>+S2+365</f>
        <v>45410</v>
      </c>
      <c r="X2" s="20">
        <f>+T2+365</f>
        <v>45501</v>
      </c>
      <c r="Y2" s="20">
        <f>+U2+365</f>
        <v>45592</v>
      </c>
      <c r="Z2" s="20">
        <f>+V2+365</f>
        <v>45690</v>
      </c>
      <c r="AG2" s="20"/>
      <c r="AH2" s="20"/>
      <c r="AI2" s="20"/>
      <c r="AJ2" s="20"/>
      <c r="AK2" s="20"/>
      <c r="AL2" s="20"/>
      <c r="AM2" s="20"/>
      <c r="AN2" s="20"/>
      <c r="AO2" s="20">
        <f t="shared" ref="AO2" si="0">AP2-365</f>
        <v>41303</v>
      </c>
      <c r="AP2" s="20">
        <f>AQ2-365</f>
        <v>41668</v>
      </c>
      <c r="AQ2" s="20">
        <f t="shared" ref="AQ2" si="1">AR2-365</f>
        <v>42033</v>
      </c>
      <c r="AR2" s="20">
        <f>AS2-365</f>
        <v>42398</v>
      </c>
      <c r="AS2" s="20">
        <v>42763</v>
      </c>
      <c r="AT2" s="20">
        <v>43134</v>
      </c>
      <c r="AU2" s="20">
        <v>43498</v>
      </c>
      <c r="AV2" s="20">
        <v>43862</v>
      </c>
      <c r="AW2" s="20">
        <v>44226</v>
      </c>
      <c r="AX2" s="20">
        <v>44591</v>
      </c>
      <c r="AY2" s="20">
        <v>44954</v>
      </c>
      <c r="AZ2" s="19">
        <v>45325</v>
      </c>
      <c r="BA2" s="19">
        <f>AZ2+366</f>
        <v>45691</v>
      </c>
      <c r="BB2" s="19">
        <f t="shared" ref="BB2:BH2" si="2">BA2+365</f>
        <v>46056</v>
      </c>
      <c r="BC2" s="19">
        <f t="shared" si="2"/>
        <v>46421</v>
      </c>
      <c r="BD2" s="19">
        <f t="shared" si="2"/>
        <v>46786</v>
      </c>
      <c r="BE2" s="19">
        <f>BD2+366</f>
        <v>47152</v>
      </c>
      <c r="BF2" s="19">
        <f t="shared" si="2"/>
        <v>47517</v>
      </c>
      <c r="BG2" s="19">
        <f t="shared" si="2"/>
        <v>47882</v>
      </c>
      <c r="BH2" s="19">
        <f t="shared" si="2"/>
        <v>48247</v>
      </c>
    </row>
    <row r="3" spans="1:60" x14ac:dyDescent="0.15"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4" t="s">
        <v>14</v>
      </c>
      <c r="I3" s="4" t="s">
        <v>15</v>
      </c>
      <c r="J3" s="4" t="s">
        <v>16</v>
      </c>
      <c r="K3" s="4" t="s">
        <v>17</v>
      </c>
      <c r="L3" s="4" t="s">
        <v>18</v>
      </c>
      <c r="M3" s="4" t="s">
        <v>19</v>
      </c>
      <c r="N3" s="4" t="s">
        <v>20</v>
      </c>
      <c r="O3" s="4" t="s">
        <v>6</v>
      </c>
      <c r="P3" s="4" t="s">
        <v>21</v>
      </c>
      <c r="Q3" s="4" t="s">
        <v>22</v>
      </c>
      <c r="R3" s="4" t="s">
        <v>23</v>
      </c>
      <c r="S3" s="4" t="s">
        <v>116</v>
      </c>
      <c r="T3" s="4" t="s">
        <v>117</v>
      </c>
      <c r="U3" s="4" t="s">
        <v>118</v>
      </c>
      <c r="V3" s="4" t="s">
        <v>119</v>
      </c>
      <c r="W3" s="4" t="s">
        <v>128</v>
      </c>
      <c r="X3" s="4" t="s">
        <v>129</v>
      </c>
      <c r="Y3" s="4" t="s">
        <v>130</v>
      </c>
      <c r="Z3" s="4" t="s">
        <v>131</v>
      </c>
      <c r="AB3" s="4" t="s">
        <v>156</v>
      </c>
      <c r="AC3" s="4" t="s">
        <v>144</v>
      </c>
      <c r="AD3" s="4" t="s">
        <v>143</v>
      </c>
      <c r="AE3" s="4" t="s">
        <v>142</v>
      </c>
      <c r="AF3" s="4" t="s">
        <v>141</v>
      </c>
      <c r="AG3" s="4" t="s">
        <v>140</v>
      </c>
      <c r="AH3" s="4" t="s">
        <v>139</v>
      </c>
      <c r="AI3" s="4" t="s">
        <v>138</v>
      </c>
      <c r="AJ3" s="4" t="s">
        <v>137</v>
      </c>
      <c r="AK3" s="4" t="s">
        <v>136</v>
      </c>
      <c r="AL3" s="4" t="s">
        <v>135</v>
      </c>
      <c r="AM3" s="4" t="s">
        <v>134</v>
      </c>
      <c r="AN3" s="4" t="s">
        <v>133</v>
      </c>
      <c r="AO3" s="4" t="s">
        <v>132</v>
      </c>
      <c r="AP3" s="4" t="s">
        <v>114</v>
      </c>
      <c r="AQ3" s="4" t="s">
        <v>113</v>
      </c>
      <c r="AR3" s="4" t="s">
        <v>112</v>
      </c>
      <c r="AS3" s="4" t="s">
        <v>111</v>
      </c>
      <c r="AT3" s="4" t="s">
        <v>110</v>
      </c>
      <c r="AU3" s="4" t="s">
        <v>73</v>
      </c>
      <c r="AV3" s="4" t="s">
        <v>72</v>
      </c>
      <c r="AW3" s="4" t="s">
        <v>71</v>
      </c>
      <c r="AX3" s="4" t="s">
        <v>68</v>
      </c>
      <c r="AY3" s="4" t="s">
        <v>69</v>
      </c>
      <c r="AZ3" s="4" t="s">
        <v>70</v>
      </c>
      <c r="BA3" s="4" t="s">
        <v>86</v>
      </c>
      <c r="BB3" s="4" t="s">
        <v>87</v>
      </c>
      <c r="BC3" s="4" t="s">
        <v>88</v>
      </c>
      <c r="BD3" s="4" t="s">
        <v>89</v>
      </c>
      <c r="BE3" s="4" t="s">
        <v>90</v>
      </c>
      <c r="BF3" s="4" t="s">
        <v>91</v>
      </c>
      <c r="BG3" s="4" t="s">
        <v>92</v>
      </c>
      <c r="BH3" s="4" t="s">
        <v>93</v>
      </c>
    </row>
    <row r="4" spans="1:60" s="10" customFormat="1" x14ac:dyDescent="0.15">
      <c r="B4" s="7" t="s">
        <v>147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8">
        <v>4573</v>
      </c>
      <c r="P4" s="8"/>
      <c r="Q4" s="8"/>
      <c r="R4" s="8">
        <f>+R5+R6</f>
        <v>4413</v>
      </c>
      <c r="S4" s="8">
        <f>R4-($R$4-$V$4)/4</f>
        <v>4352</v>
      </c>
      <c r="T4" s="8">
        <f>S4-($R$4-$V$4)/4</f>
        <v>4291</v>
      </c>
      <c r="U4" s="8">
        <f>T4-($R$4-$V$4)/4</f>
        <v>4230</v>
      </c>
      <c r="V4" s="8">
        <f>+V5+V6</f>
        <v>4169</v>
      </c>
      <c r="W4" s="8"/>
      <c r="X4" s="8"/>
      <c r="Y4" s="8"/>
      <c r="Z4" s="8"/>
      <c r="AA4" s="7"/>
      <c r="AB4" s="7"/>
      <c r="AC4" s="7"/>
      <c r="AD4" s="7"/>
      <c r="AE4" s="7"/>
      <c r="AF4" s="7"/>
      <c r="AG4" s="8"/>
      <c r="AH4" s="8"/>
      <c r="AI4" s="8"/>
      <c r="AJ4" s="8"/>
      <c r="AK4" s="8"/>
      <c r="AL4" s="8"/>
      <c r="AM4" s="8"/>
      <c r="AN4" s="8"/>
      <c r="AO4" s="7"/>
      <c r="AP4" s="8"/>
      <c r="AQ4" s="8"/>
      <c r="AR4" s="8"/>
      <c r="AS4" s="8">
        <v>7535</v>
      </c>
      <c r="AV4" s="8">
        <f>+AV5+AV6</f>
        <v>5509</v>
      </c>
      <c r="AW4" s="8">
        <f>+AW5+AW6</f>
        <v>4816</v>
      </c>
      <c r="AX4" s="11"/>
      <c r="AY4" s="7">
        <f>+AY5+AY6</f>
        <v>4035</v>
      </c>
      <c r="AZ4" s="7">
        <f>+AZ5+AZ6</f>
        <v>4169</v>
      </c>
    </row>
    <row r="5" spans="1:60" x14ac:dyDescent="0.15">
      <c r="B5" s="2" t="s">
        <v>145</v>
      </c>
      <c r="O5" s="6"/>
      <c r="P5" s="6"/>
      <c r="Q5" s="6"/>
      <c r="R5" s="6">
        <v>2949</v>
      </c>
      <c r="S5" s="6">
        <f>R5-($R$5-$V$5)/4</f>
        <v>2940.5</v>
      </c>
      <c r="T5" s="6">
        <f>S5-($R$5-$V$5)/4</f>
        <v>2932</v>
      </c>
      <c r="U5" s="6">
        <f>T5-($R$5-$V$5)/4</f>
        <v>2923.5</v>
      </c>
      <c r="V5" s="6">
        <v>2915</v>
      </c>
      <c r="W5" s="6"/>
      <c r="X5" s="6"/>
      <c r="Y5" s="6"/>
      <c r="Z5" s="6"/>
      <c r="AA5" s="2"/>
      <c r="AB5" s="2"/>
      <c r="AC5" s="2"/>
      <c r="AD5" s="2"/>
      <c r="AE5" s="2"/>
      <c r="AF5" s="2"/>
      <c r="AG5" s="6"/>
      <c r="AH5" s="6"/>
      <c r="AI5" s="6"/>
      <c r="AJ5" s="6"/>
      <c r="AK5" s="6"/>
      <c r="AL5" s="6"/>
      <c r="AM5" s="6"/>
      <c r="AN5" s="6"/>
      <c r="AO5" s="2"/>
      <c r="AP5" s="6"/>
      <c r="AQ5" s="6"/>
      <c r="AR5" s="6"/>
      <c r="AS5" s="6">
        <f>AS4-2069</f>
        <v>5466</v>
      </c>
      <c r="AV5" s="6">
        <v>3642</v>
      </c>
      <c r="AW5" s="6">
        <v>3192</v>
      </c>
      <c r="AY5" s="2">
        <v>2949</v>
      </c>
      <c r="AZ5" s="2">
        <v>2915</v>
      </c>
    </row>
    <row r="6" spans="1:60" x14ac:dyDescent="0.15">
      <c r="B6" s="2" t="s">
        <v>146</v>
      </c>
      <c r="R6" s="6">
        <f>216+419+829</f>
        <v>1464</v>
      </c>
      <c r="S6" s="6">
        <f>R6-($R$6-$V$6)/4</f>
        <v>1411.5</v>
      </c>
      <c r="T6" s="6">
        <f>S6-($R$6-$V$6)/4</f>
        <v>1359</v>
      </c>
      <c r="U6" s="6">
        <f>T6-($R$6-$V$6)/4</f>
        <v>1306.5</v>
      </c>
      <c r="V6" s="6">
        <f>203+404+647</f>
        <v>1254</v>
      </c>
      <c r="AV6" s="6">
        <f>299+426+1142</f>
        <v>1867</v>
      </c>
      <c r="AW6" s="6">
        <v>1624</v>
      </c>
      <c r="AY6" s="2">
        <f>216+41+829</f>
        <v>1086</v>
      </c>
      <c r="AZ6" s="2">
        <f>203+404+647</f>
        <v>1254</v>
      </c>
    </row>
    <row r="8" spans="1:60" x14ac:dyDescent="0.15">
      <c r="B8" s="2" t="s">
        <v>148</v>
      </c>
      <c r="R8" s="6">
        <f t="shared" ref="R8:U8" si="3">+R26*1000000/R4</f>
        <v>504509.40403353714</v>
      </c>
      <c r="S8" s="6">
        <f t="shared" si="3"/>
        <v>284260.11029411765</v>
      </c>
      <c r="T8" s="6">
        <f t="shared" si="3"/>
        <v>271218.83010953158</v>
      </c>
      <c r="U8" s="6">
        <f t="shared" si="3"/>
        <v>254917.25768321514</v>
      </c>
      <c r="V8" s="6">
        <f>+V26*1000000/V4</f>
        <v>430223.07507795643</v>
      </c>
      <c r="AV8" s="6">
        <f>+AV26/AV4*1000000</f>
        <v>1173715.7378834635</v>
      </c>
      <c r="AW8" s="6">
        <f>+AW26/AW4*1000000</f>
        <v>1056852.1594684382</v>
      </c>
      <c r="AY8" s="6">
        <f>+AY26/AY4*1000000</f>
        <v>1468946.7162329615</v>
      </c>
      <c r="AZ8" s="6">
        <f>+AZ26/AZ4*1000000</f>
        <v>1264763.7323099065</v>
      </c>
    </row>
    <row r="10" spans="1:60" s="2" customFormat="1" x14ac:dyDescent="0.15">
      <c r="B10" s="2" t="s">
        <v>101</v>
      </c>
      <c r="C10" s="6"/>
      <c r="D10" s="6"/>
      <c r="E10" s="6"/>
      <c r="F10" s="6"/>
      <c r="G10" s="6"/>
      <c r="H10" s="6"/>
      <c r="I10" s="6"/>
      <c r="J10" s="6"/>
      <c r="K10" s="6">
        <v>966.3</v>
      </c>
      <c r="L10" s="6">
        <v>795.1</v>
      </c>
      <c r="M10" s="6"/>
      <c r="N10" s="6"/>
      <c r="O10" s="6">
        <v>995.3</v>
      </c>
      <c r="P10" s="6">
        <v>793.4</v>
      </c>
      <c r="Q10" s="6">
        <v>799.1</v>
      </c>
      <c r="R10" s="6">
        <f>4093-Q10-P10-O10</f>
        <v>1505.2</v>
      </c>
      <c r="S10" s="6">
        <v>832.4</v>
      </c>
      <c r="T10" s="6">
        <v>760.2</v>
      </c>
      <c r="U10" s="6">
        <v>693.1</v>
      </c>
      <c r="V10" s="6">
        <f>3429.4-U10-T10-S10</f>
        <v>1143.7000000000003</v>
      </c>
      <c r="W10" s="6"/>
      <c r="X10" s="6"/>
      <c r="Y10" s="6"/>
      <c r="Z10" s="6"/>
      <c r="AG10" s="6"/>
      <c r="AH10" s="6"/>
      <c r="AI10" s="6"/>
      <c r="AJ10" s="6"/>
      <c r="AK10" s="6"/>
      <c r="AL10" s="6"/>
      <c r="AM10" s="6"/>
      <c r="AN10" s="6"/>
      <c r="AP10" s="6"/>
      <c r="AQ10" s="6"/>
      <c r="AR10" s="6"/>
      <c r="AS10" s="6"/>
      <c r="AT10" s="6"/>
      <c r="AU10" s="6">
        <v>5800.2</v>
      </c>
      <c r="AV10" s="6">
        <v>4497.7</v>
      </c>
      <c r="AW10" s="6">
        <v>3417.1</v>
      </c>
      <c r="AX10" s="6"/>
      <c r="AY10" s="6">
        <v>4093</v>
      </c>
      <c r="AZ10" s="6">
        <v>3429.4</v>
      </c>
      <c r="BA10" s="6"/>
      <c r="BB10" s="6"/>
      <c r="BC10" s="6"/>
      <c r="BD10" s="6"/>
      <c r="BE10" s="6"/>
      <c r="BF10" s="6"/>
      <c r="BG10" s="6"/>
      <c r="BH10" s="6"/>
    </row>
    <row r="11" spans="1:60" s="2" customFormat="1" x14ac:dyDescent="0.15">
      <c r="B11" s="2" t="s">
        <v>102</v>
      </c>
      <c r="C11" s="6"/>
      <c r="D11" s="6"/>
      <c r="E11" s="6"/>
      <c r="F11" s="6"/>
      <c r="G11" s="6"/>
      <c r="H11" s="6"/>
      <c r="I11" s="6"/>
      <c r="J11" s="6"/>
      <c r="K11" s="6">
        <v>61.9</v>
      </c>
      <c r="L11" s="6">
        <v>62.8</v>
      </c>
      <c r="M11" s="6"/>
      <c r="N11" s="6"/>
      <c r="O11" s="6">
        <v>76.900000000000006</v>
      </c>
      <c r="P11" s="6">
        <v>62.3</v>
      </c>
      <c r="Q11" s="6">
        <v>67.900000000000006</v>
      </c>
      <c r="R11" s="6">
        <f>344.1-Q11-P11-O11</f>
        <v>137.00000000000003</v>
      </c>
      <c r="S11" s="6">
        <v>62.7</v>
      </c>
      <c r="T11" s="6">
        <v>66</v>
      </c>
      <c r="U11" s="6">
        <v>61.3</v>
      </c>
      <c r="V11" s="6">
        <f>292.5-U11-T11-S11</f>
        <v>102.49999999999999</v>
      </c>
      <c r="W11" s="6"/>
      <c r="X11" s="6"/>
      <c r="Y11" s="6"/>
      <c r="Z11" s="6"/>
      <c r="AG11" s="6"/>
      <c r="AH11" s="6"/>
      <c r="AI11" s="6"/>
      <c r="AJ11" s="6"/>
      <c r="AK11" s="6"/>
      <c r="AL11" s="6"/>
      <c r="AM11" s="6"/>
      <c r="AN11" s="6"/>
      <c r="AP11" s="6"/>
      <c r="AQ11" s="6"/>
      <c r="AR11" s="6"/>
      <c r="AS11" s="6"/>
      <c r="AT11" s="6"/>
      <c r="AU11" s="6">
        <v>434.5</v>
      </c>
      <c r="AV11" s="6">
        <v>344.2</v>
      </c>
      <c r="AW11" s="6">
        <v>258.39999999999998</v>
      </c>
      <c r="AX11" s="6"/>
      <c r="AY11" s="6">
        <v>344</v>
      </c>
      <c r="AZ11" s="6">
        <v>292.5</v>
      </c>
      <c r="BA11" s="6"/>
      <c r="BB11" s="6"/>
      <c r="BC11" s="6"/>
      <c r="BD11" s="6"/>
      <c r="BE11" s="6"/>
      <c r="BF11" s="6"/>
      <c r="BG11" s="6"/>
      <c r="BH11" s="6"/>
    </row>
    <row r="12" spans="1:60" s="2" customFormat="1" x14ac:dyDescent="0.15">
      <c r="B12" s="2" t="s">
        <v>103</v>
      </c>
      <c r="C12" s="6"/>
      <c r="D12" s="6"/>
      <c r="E12" s="6"/>
      <c r="F12" s="6"/>
      <c r="G12" s="6"/>
      <c r="H12" s="6"/>
      <c r="I12" s="6"/>
      <c r="J12" s="6"/>
      <c r="K12" s="6">
        <v>114.8</v>
      </c>
      <c r="L12" s="6">
        <v>131.1</v>
      </c>
      <c r="M12" s="6"/>
      <c r="N12" s="6"/>
      <c r="O12" s="6">
        <v>126.7</v>
      </c>
      <c r="P12" s="6">
        <v>113.9</v>
      </c>
      <c r="Q12" s="6">
        <v>122.8</v>
      </c>
      <c r="R12" s="6">
        <f>588.7-Q12-P12-O12</f>
        <v>225.3</v>
      </c>
      <c r="S12" s="6">
        <v>115.4</v>
      </c>
      <c r="T12" s="6">
        <v>124.1</v>
      </c>
      <c r="U12" s="6">
        <v>102.2</v>
      </c>
      <c r="V12" s="6">
        <f>522.5-U12-T12-S12</f>
        <v>180.80000000000004</v>
      </c>
      <c r="W12" s="6"/>
      <c r="X12" s="6"/>
      <c r="Y12" s="6"/>
      <c r="Z12" s="6"/>
      <c r="AG12" s="6"/>
      <c r="AH12" s="6"/>
      <c r="AI12" s="6"/>
      <c r="AJ12" s="6"/>
      <c r="AK12" s="6"/>
      <c r="AL12" s="6"/>
      <c r="AM12" s="6"/>
      <c r="AN12" s="6"/>
      <c r="AP12" s="6"/>
      <c r="AQ12" s="6"/>
      <c r="AR12" s="6"/>
      <c r="AS12" s="6"/>
      <c r="AT12" s="6"/>
      <c r="AU12" s="6">
        <v>645.4</v>
      </c>
      <c r="AV12" s="6">
        <v>525.4</v>
      </c>
      <c r="AW12" s="6">
        <v>625.29999999999995</v>
      </c>
      <c r="AX12" s="6"/>
      <c r="AY12" s="6">
        <v>588.70000000000005</v>
      </c>
      <c r="AZ12" s="6">
        <v>522.5</v>
      </c>
      <c r="BA12" s="6"/>
      <c r="BB12" s="6"/>
      <c r="BC12" s="6"/>
      <c r="BD12" s="6"/>
      <c r="BE12" s="6"/>
      <c r="BF12" s="6"/>
      <c r="BG12" s="6"/>
      <c r="BH12" s="6"/>
    </row>
    <row r="13" spans="1:60" s="2" customFormat="1" x14ac:dyDescent="0.15">
      <c r="B13" s="2" t="s">
        <v>104</v>
      </c>
      <c r="C13" s="6"/>
      <c r="D13" s="6"/>
      <c r="E13" s="6"/>
      <c r="F13" s="6"/>
      <c r="G13" s="6"/>
      <c r="H13" s="6"/>
      <c r="I13" s="6"/>
      <c r="J13" s="6"/>
      <c r="K13" s="6">
        <v>133.80000000000001</v>
      </c>
      <c r="L13" s="6">
        <v>194.4</v>
      </c>
      <c r="M13" s="6"/>
      <c r="N13" s="6"/>
      <c r="O13" s="6">
        <v>179.5</v>
      </c>
      <c r="P13" s="6">
        <v>166.4</v>
      </c>
      <c r="Q13" s="6">
        <v>196.6</v>
      </c>
      <c r="R13" s="6">
        <f>901.4-Q13-P13-O13</f>
        <v>358.9</v>
      </c>
      <c r="S13" s="6">
        <f>440.1-T13</f>
        <v>226.60000000000002</v>
      </c>
      <c r="T13" s="6">
        <v>213.5</v>
      </c>
      <c r="U13" s="6">
        <v>221.7</v>
      </c>
      <c r="V13" s="6">
        <f>1028.4-U13-T13-S13</f>
        <v>366.6</v>
      </c>
      <c r="W13" s="6"/>
      <c r="X13" s="6"/>
      <c r="Y13" s="6"/>
      <c r="Z13" s="6"/>
      <c r="AG13" s="6"/>
      <c r="AH13" s="6"/>
      <c r="AI13" s="6"/>
      <c r="AJ13" s="6"/>
      <c r="AK13" s="6"/>
      <c r="AL13" s="6"/>
      <c r="AM13" s="6"/>
      <c r="AN13" s="6"/>
      <c r="AP13" s="6"/>
      <c r="AQ13" s="6"/>
      <c r="AR13" s="6"/>
      <c r="AS13" s="6"/>
      <c r="AT13" s="6"/>
      <c r="AU13" s="6">
        <v>1405.2</v>
      </c>
      <c r="AV13" s="6">
        <v>1098.7</v>
      </c>
      <c r="AW13" s="6">
        <v>789</v>
      </c>
      <c r="AX13" s="6"/>
      <c r="AY13" s="6">
        <v>901.4</v>
      </c>
      <c r="AZ13" s="6">
        <v>1028.4000000000001</v>
      </c>
      <c r="BA13" s="6"/>
      <c r="BB13" s="6"/>
      <c r="BC13" s="6"/>
      <c r="BD13" s="6"/>
      <c r="BE13" s="6"/>
      <c r="BF13" s="6"/>
      <c r="BG13" s="6"/>
      <c r="BH13" s="6"/>
    </row>
    <row r="14" spans="1:60" x14ac:dyDescent="0.15">
      <c r="AT14" s="4"/>
      <c r="AU14" s="4"/>
      <c r="AZ14" s="4"/>
      <c r="BA14" s="4"/>
      <c r="BB14" s="4"/>
      <c r="BC14" s="4"/>
      <c r="BD14" s="4"/>
      <c r="BE14" s="4"/>
      <c r="BF14" s="4"/>
      <c r="BG14" s="4"/>
      <c r="BH14" s="4"/>
    </row>
    <row r="15" spans="1:60" s="2" customFormat="1" x14ac:dyDescent="0.15">
      <c r="B15" s="2" t="s">
        <v>74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G15" s="6"/>
      <c r="AH15" s="6"/>
      <c r="AI15" s="6"/>
      <c r="AJ15" s="6"/>
      <c r="AK15" s="6"/>
      <c r="AL15" s="6"/>
      <c r="AM15" s="6"/>
      <c r="AN15" s="6"/>
      <c r="AP15" s="6"/>
      <c r="AQ15" s="6"/>
      <c r="AR15" s="6"/>
      <c r="AS15" s="6"/>
      <c r="AT15" s="6">
        <v>1791.8</v>
      </c>
      <c r="AU15" s="6">
        <v>1767.8</v>
      </c>
      <c r="AV15" s="6"/>
      <c r="AW15" s="6"/>
      <c r="AX15" s="6"/>
      <c r="AY15" s="6"/>
    </row>
    <row r="16" spans="1:60" s="2" customFormat="1" x14ac:dyDescent="0.15">
      <c r="B16" s="2" t="s">
        <v>75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G16" s="6"/>
      <c r="AH16" s="6"/>
      <c r="AI16" s="6"/>
      <c r="AJ16" s="6"/>
      <c r="AK16" s="6"/>
      <c r="AL16" s="6"/>
      <c r="AM16" s="6"/>
      <c r="AN16" s="6"/>
      <c r="AP16" s="6"/>
      <c r="AQ16" s="6"/>
      <c r="AR16" s="6"/>
      <c r="AS16" s="6"/>
      <c r="AT16" s="6">
        <v>2582</v>
      </c>
      <c r="AU16" s="6">
        <v>2449.6999999999998</v>
      </c>
      <c r="AV16" s="6"/>
      <c r="AW16" s="6"/>
      <c r="AX16" s="6"/>
      <c r="AY16" s="6"/>
    </row>
    <row r="17" spans="2:60" s="2" customFormat="1" x14ac:dyDescent="0.15">
      <c r="B17" s="2" t="s">
        <v>76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G17" s="6"/>
      <c r="AH17" s="6"/>
      <c r="AI17" s="6"/>
      <c r="AJ17" s="6"/>
      <c r="AK17" s="6"/>
      <c r="AL17" s="6"/>
      <c r="AM17" s="6"/>
      <c r="AN17" s="6"/>
      <c r="AP17" s="6"/>
      <c r="AQ17" s="6"/>
      <c r="AR17" s="6"/>
      <c r="AS17" s="6"/>
      <c r="AT17" s="6">
        <v>2149.6</v>
      </c>
      <c r="AU17" s="6">
        <v>1866.3</v>
      </c>
      <c r="AV17" s="6"/>
      <c r="AW17" s="6"/>
      <c r="AX17" s="6"/>
      <c r="AY17" s="6"/>
    </row>
    <row r="18" spans="2:60" s="2" customFormat="1" x14ac:dyDescent="0.15">
      <c r="B18" s="2" t="s">
        <v>77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G18" s="6"/>
      <c r="AH18" s="6"/>
      <c r="AI18" s="6"/>
      <c r="AJ18" s="6"/>
      <c r="AK18" s="6"/>
      <c r="AL18" s="6"/>
      <c r="AM18" s="6"/>
      <c r="AN18" s="6"/>
      <c r="AP18" s="6"/>
      <c r="AQ18" s="6"/>
      <c r="AR18" s="6"/>
      <c r="AS18" s="6"/>
      <c r="AT18" s="6">
        <v>784.3</v>
      </c>
      <c r="AU18" s="6">
        <v>956.5</v>
      </c>
      <c r="AV18" s="6"/>
      <c r="AW18" s="6"/>
      <c r="AX18" s="6"/>
      <c r="AY18" s="6"/>
    </row>
    <row r="19" spans="2:60" s="2" customFormat="1" x14ac:dyDescent="0.15">
      <c r="B19" s="2" t="s">
        <v>78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G19" s="6"/>
      <c r="AH19" s="6"/>
      <c r="AI19" s="6"/>
      <c r="AJ19" s="6"/>
      <c r="AK19" s="6"/>
      <c r="AL19" s="6"/>
      <c r="AM19" s="6"/>
      <c r="AN19" s="6"/>
      <c r="AP19" s="6"/>
      <c r="AQ19" s="6"/>
      <c r="AR19" s="6"/>
      <c r="AS19" s="6"/>
      <c r="AT19" s="6">
        <v>189.2</v>
      </c>
      <c r="AU19" s="6">
        <v>194</v>
      </c>
      <c r="AV19" s="6"/>
      <c r="AW19" s="6"/>
      <c r="AX19" s="6"/>
      <c r="AY19" s="6"/>
    </row>
    <row r="20" spans="2:60" s="2" customFormat="1" x14ac:dyDescent="0.15">
      <c r="B20" s="2" t="s">
        <v>67</v>
      </c>
      <c r="C20" s="6"/>
      <c r="D20" s="6"/>
      <c r="E20" s="6"/>
      <c r="F20" s="6"/>
      <c r="G20" s="6"/>
      <c r="H20" s="6"/>
      <c r="I20" s="6"/>
      <c r="J20" s="6"/>
      <c r="K20" s="6">
        <v>175.4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G20" s="6"/>
      <c r="AH20" s="6"/>
      <c r="AI20" s="6"/>
      <c r="AJ20" s="6"/>
      <c r="AK20" s="6"/>
      <c r="AL20" s="6"/>
      <c r="AM20" s="6"/>
      <c r="AN20" s="6"/>
      <c r="AP20" s="6"/>
      <c r="AQ20" s="6"/>
      <c r="AR20" s="6"/>
      <c r="AS20" s="6"/>
      <c r="AT20" s="6">
        <v>636.20000000000005</v>
      </c>
      <c r="AU20" s="6">
        <v>707.5</v>
      </c>
      <c r="AV20" s="6"/>
      <c r="AW20" s="6"/>
      <c r="AX20" s="6"/>
      <c r="AY20" s="6"/>
    </row>
    <row r="21" spans="2:60" s="2" customFormat="1" x14ac:dyDescent="0.15">
      <c r="B21" s="2" t="s">
        <v>41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G21" s="6"/>
      <c r="AH21" s="6"/>
      <c r="AI21" s="6"/>
      <c r="AJ21" s="6"/>
      <c r="AK21" s="6"/>
      <c r="AL21" s="6"/>
      <c r="AM21" s="6"/>
      <c r="AN21" s="6"/>
      <c r="AP21" s="6"/>
      <c r="AQ21" s="6"/>
      <c r="AR21" s="6"/>
      <c r="AS21" s="6"/>
      <c r="AT21" s="6">
        <v>414</v>
      </c>
      <c r="AU21" s="6">
        <v>343.5</v>
      </c>
      <c r="AV21" s="6"/>
      <c r="AW21" s="6"/>
      <c r="AX21" s="6"/>
      <c r="AY21" s="6"/>
    </row>
    <row r="22" spans="2:60" x14ac:dyDescent="0.15">
      <c r="AT22" s="4"/>
      <c r="AU22" s="4"/>
    </row>
    <row r="23" spans="2:60" s="2" customFormat="1" x14ac:dyDescent="0.15">
      <c r="B23" s="2" t="s">
        <v>65</v>
      </c>
      <c r="C23" s="6"/>
      <c r="D23" s="6"/>
      <c r="E23" s="6"/>
      <c r="F23" s="6"/>
      <c r="G23" s="6">
        <v>513.1</v>
      </c>
      <c r="H23" s="6">
        <v>441.6</v>
      </c>
      <c r="I23" s="6">
        <v>413.4</v>
      </c>
      <c r="J23" s="6">
        <v>1162.7</v>
      </c>
      <c r="K23" s="6">
        <v>703.5</v>
      </c>
      <c r="L23" s="6">
        <v>609.6</v>
      </c>
      <c r="M23" s="6">
        <v>669.9</v>
      </c>
      <c r="N23" s="6">
        <v>1188.7</v>
      </c>
      <c r="O23" s="6">
        <v>673.8</v>
      </c>
      <c r="P23" s="6">
        <v>596.4</v>
      </c>
      <c r="Q23" s="6">
        <v>627</v>
      </c>
      <c r="R23" s="6">
        <f>3140-Q23-P23-O23</f>
        <v>1242.8</v>
      </c>
      <c r="S23" s="6">
        <v>725.8</v>
      </c>
      <c r="T23" s="6">
        <v>597</v>
      </c>
      <c r="U23" s="6">
        <v>579.4</v>
      </c>
      <c r="V23" s="6">
        <f>2996.8-U23-T23-S23</f>
        <v>1094.6000000000001</v>
      </c>
      <c r="W23" s="6"/>
      <c r="X23" s="6"/>
      <c r="Y23" s="6"/>
      <c r="Z23" s="6"/>
      <c r="AG23" s="6"/>
      <c r="AH23" s="6"/>
      <c r="AI23" s="6"/>
      <c r="AJ23" s="6"/>
      <c r="AK23" s="6"/>
      <c r="AL23" s="6"/>
      <c r="AM23" s="6"/>
      <c r="AN23" s="6"/>
      <c r="AP23" s="6"/>
      <c r="AQ23" s="6"/>
      <c r="AR23" s="6"/>
      <c r="AS23" s="6"/>
      <c r="AU23" s="2">
        <v>3717.8</v>
      </c>
      <c r="AV23" s="6">
        <v>2722.2</v>
      </c>
      <c r="AW23" s="6">
        <v>2530.8000000000002</v>
      </c>
      <c r="AX23" s="6">
        <v>3171.7</v>
      </c>
      <c r="AY23" s="6">
        <v>3140</v>
      </c>
      <c r="AZ23" s="2">
        <v>2996.8</v>
      </c>
    </row>
    <row r="24" spans="2:60" s="2" customFormat="1" x14ac:dyDescent="0.15">
      <c r="B24" s="2" t="s">
        <v>66</v>
      </c>
      <c r="C24" s="6"/>
      <c r="D24" s="6"/>
      <c r="E24" s="6"/>
      <c r="F24" s="6"/>
      <c r="G24" s="6">
        <v>417</v>
      </c>
      <c r="H24" s="6">
        <v>386.5</v>
      </c>
      <c r="I24" s="6">
        <v>444.4</v>
      </c>
      <c r="J24" s="6">
        <v>731.2</v>
      </c>
      <c r="K24" s="6">
        <v>397.9</v>
      </c>
      <c r="L24" s="6">
        <v>396.6</v>
      </c>
      <c r="M24" s="6">
        <v>434.5</v>
      </c>
      <c r="N24" s="6">
        <v>785.9</v>
      </c>
      <c r="O24" s="6">
        <v>483.7</v>
      </c>
      <c r="P24" s="6">
        <v>316.39999999999998</v>
      </c>
      <c r="Q24" s="6">
        <v>352.1</v>
      </c>
      <c r="R24" s="6">
        <f>1822.6-Q24-P24-O24</f>
        <v>670.39999999999986</v>
      </c>
      <c r="S24" s="6">
        <v>338.3</v>
      </c>
      <c r="T24" s="6">
        <v>397</v>
      </c>
      <c r="U24" s="6">
        <v>321.3</v>
      </c>
      <c r="V24" s="6">
        <f>1522-U24-T24-S24</f>
        <v>465.40000000000003</v>
      </c>
      <c r="W24" s="6"/>
      <c r="X24" s="6"/>
      <c r="Y24" s="6"/>
      <c r="Z24" s="6"/>
      <c r="AG24" s="6"/>
      <c r="AH24" s="6"/>
      <c r="AI24" s="6"/>
      <c r="AJ24" s="6"/>
      <c r="AK24" s="6"/>
      <c r="AL24" s="6"/>
      <c r="AM24" s="6"/>
      <c r="AN24" s="6"/>
      <c r="AP24" s="6"/>
      <c r="AQ24" s="6"/>
      <c r="AR24" s="6"/>
      <c r="AS24" s="6"/>
      <c r="AU24" s="2">
        <v>3856.5</v>
      </c>
      <c r="AV24" s="6">
        <v>3006.3</v>
      </c>
      <c r="AW24" s="6">
        <v>1979.1</v>
      </c>
      <c r="AX24" s="6">
        <v>2014.8</v>
      </c>
      <c r="AY24" s="6">
        <v>1822.6</v>
      </c>
      <c r="AZ24" s="6">
        <v>1522</v>
      </c>
      <c r="BA24" s="6"/>
      <c r="BB24" s="6"/>
      <c r="BC24" s="6"/>
      <c r="BD24" s="6"/>
      <c r="BE24" s="6"/>
      <c r="BF24" s="6"/>
      <c r="BG24" s="6"/>
      <c r="BH24" s="6"/>
    </row>
    <row r="25" spans="2:60" s="2" customFormat="1" x14ac:dyDescent="0.15">
      <c r="B25" s="2" t="s">
        <v>67</v>
      </c>
      <c r="C25" s="6"/>
      <c r="D25" s="6"/>
      <c r="E25" s="6"/>
      <c r="F25" s="6"/>
      <c r="G25" s="6">
        <v>90.9</v>
      </c>
      <c r="H25" s="6">
        <v>113.9</v>
      </c>
      <c r="I25" s="6">
        <v>146.9</v>
      </c>
      <c r="J25" s="6">
        <v>228.2</v>
      </c>
      <c r="K25" s="6">
        <v>175.4</v>
      </c>
      <c r="L25" s="6">
        <v>177.2</v>
      </c>
      <c r="M25" s="6">
        <v>192.2</v>
      </c>
      <c r="N25" s="6">
        <v>279.3</v>
      </c>
      <c r="O25" s="6">
        <v>220.9</v>
      </c>
      <c r="P25" s="6">
        <v>223.2</v>
      </c>
      <c r="Q25" s="6">
        <v>207.3</v>
      </c>
      <c r="R25" s="6">
        <f>964.6-Q25-P25-O25</f>
        <v>313.19999999999993</v>
      </c>
      <c r="S25" s="6">
        <v>173</v>
      </c>
      <c r="T25" s="6">
        <v>169.8</v>
      </c>
      <c r="U25" s="6">
        <v>177.6</v>
      </c>
      <c r="V25" s="6">
        <f>754-U25-T25-S25</f>
        <v>233.59999999999997</v>
      </c>
      <c r="W25" s="6"/>
      <c r="X25" s="6"/>
      <c r="Y25" s="6"/>
      <c r="Z25" s="6"/>
      <c r="AG25" s="6"/>
      <c r="AH25" s="6"/>
      <c r="AI25" s="6"/>
      <c r="AJ25" s="6"/>
      <c r="AK25" s="6"/>
      <c r="AL25" s="6"/>
      <c r="AM25" s="6"/>
      <c r="AN25" s="6"/>
      <c r="AP25" s="6"/>
      <c r="AQ25" s="6"/>
      <c r="AR25" s="6"/>
      <c r="AS25" s="6"/>
      <c r="AT25" s="2">
        <f>AT20</f>
        <v>636.20000000000005</v>
      </c>
      <c r="AU25" s="2">
        <v>711</v>
      </c>
      <c r="AV25" s="6">
        <v>737.5</v>
      </c>
      <c r="AW25" s="6">
        <v>579.9</v>
      </c>
      <c r="AX25" s="6">
        <v>824.2</v>
      </c>
      <c r="AY25" s="6">
        <v>964.6</v>
      </c>
      <c r="AZ25" s="6">
        <v>754</v>
      </c>
      <c r="BA25" s="6">
        <f t="shared" ref="BA25:BH25" si="4">AZ25*1.1</f>
        <v>829.40000000000009</v>
      </c>
      <c r="BB25" s="6">
        <f t="shared" si="4"/>
        <v>912.34000000000015</v>
      </c>
      <c r="BC25" s="6">
        <f t="shared" si="4"/>
        <v>1003.5740000000003</v>
      </c>
      <c r="BD25" s="6">
        <f t="shared" si="4"/>
        <v>1103.9314000000004</v>
      </c>
      <c r="BE25" s="6">
        <f t="shared" si="4"/>
        <v>1214.3245400000005</v>
      </c>
      <c r="BF25" s="6">
        <f t="shared" si="4"/>
        <v>1335.7569940000008</v>
      </c>
      <c r="BG25" s="6">
        <f t="shared" si="4"/>
        <v>1469.3326934000011</v>
      </c>
      <c r="BH25" s="6">
        <f t="shared" si="4"/>
        <v>1616.2659627400012</v>
      </c>
    </row>
    <row r="26" spans="2:60" s="7" customFormat="1" x14ac:dyDescent="0.15">
      <c r="B26" s="7" t="s">
        <v>8</v>
      </c>
      <c r="C26" s="8"/>
      <c r="D26" s="8"/>
      <c r="E26" s="8"/>
      <c r="F26" s="8"/>
      <c r="G26" s="8">
        <f>SUM(G23:G25)</f>
        <v>1021</v>
      </c>
      <c r="H26" s="8">
        <f>SUM(H23:H25)</f>
        <v>942</v>
      </c>
      <c r="I26" s="8">
        <f t="shared" ref="I26:N26" si="5">SUM(I23:I25)</f>
        <v>1004.6999999999999</v>
      </c>
      <c r="J26" s="8">
        <f t="shared" si="5"/>
        <v>2122.1</v>
      </c>
      <c r="K26" s="8">
        <f t="shared" si="5"/>
        <v>1276.8000000000002</v>
      </c>
      <c r="L26" s="8">
        <f t="shared" si="5"/>
        <v>1183.4000000000001</v>
      </c>
      <c r="M26" s="8">
        <f t="shared" si="5"/>
        <v>1296.6000000000001</v>
      </c>
      <c r="N26" s="8">
        <f t="shared" si="5"/>
        <v>2253.9</v>
      </c>
      <c r="O26" s="8">
        <f t="shared" ref="O26:V26" si="6">SUM(O23:O25)</f>
        <v>1378.4</v>
      </c>
      <c r="P26" s="8">
        <f t="shared" si="6"/>
        <v>1136</v>
      </c>
      <c r="Q26" s="8">
        <f t="shared" si="6"/>
        <v>1186.4000000000001</v>
      </c>
      <c r="R26" s="8">
        <f t="shared" si="6"/>
        <v>2226.3999999999996</v>
      </c>
      <c r="S26" s="8">
        <f t="shared" si="6"/>
        <v>1237.0999999999999</v>
      </c>
      <c r="T26" s="8">
        <f t="shared" si="6"/>
        <v>1163.8</v>
      </c>
      <c r="U26" s="8">
        <f t="shared" si="6"/>
        <v>1078.3</v>
      </c>
      <c r="V26" s="8">
        <f t="shared" si="6"/>
        <v>1793.6000000000001</v>
      </c>
      <c r="W26" s="8">
        <v>882</v>
      </c>
      <c r="X26" s="8">
        <f>+T26*0.8</f>
        <v>931.04</v>
      </c>
      <c r="Y26" s="8">
        <f>+U26*0.85</f>
        <v>916.55499999999995</v>
      </c>
      <c r="Z26" s="8">
        <f>+V26*0.9</f>
        <v>1614.2400000000002</v>
      </c>
      <c r="AF26" s="7">
        <v>1578.838</v>
      </c>
      <c r="AG26" s="8">
        <v>1842.806</v>
      </c>
      <c r="AH26" s="8">
        <v>3091.7829999999999</v>
      </c>
      <c r="AI26" s="8">
        <v>5318.9</v>
      </c>
      <c r="AJ26" s="8">
        <v>7093.9620000000004</v>
      </c>
      <c r="AK26" s="8">
        <v>8805.8970000000008</v>
      </c>
      <c r="AL26" s="8">
        <v>9077.9969999999994</v>
      </c>
      <c r="AM26" s="8">
        <v>9473.7000000000007</v>
      </c>
      <c r="AN26" s="8">
        <v>9550.5</v>
      </c>
      <c r="AO26" s="7">
        <v>8886.7000000000007</v>
      </c>
      <c r="AP26" s="8">
        <v>9039.5</v>
      </c>
      <c r="AQ26" s="8">
        <v>9296</v>
      </c>
      <c r="AR26" s="8">
        <v>9363.7999999999993</v>
      </c>
      <c r="AS26" s="8">
        <v>8607.9</v>
      </c>
      <c r="AT26" s="8">
        <f>SUM(AT15:AT21)</f>
        <v>8547.0999999999985</v>
      </c>
      <c r="AU26" s="8">
        <f>SUM(AU15:AU21)</f>
        <v>8285.2999999999993</v>
      </c>
      <c r="AV26" s="8">
        <v>6466</v>
      </c>
      <c r="AW26" s="8">
        <f t="shared" ref="AW26:AX26" si="7">SUM(AW23:AW25)</f>
        <v>5089.7999999999993</v>
      </c>
      <c r="AX26" s="8">
        <f t="shared" si="7"/>
        <v>6010.7</v>
      </c>
      <c r="AY26" s="8">
        <f>SUM(O26:R26)</f>
        <v>5927.2</v>
      </c>
      <c r="AZ26" s="7">
        <f>+AZ25+AZ24+AZ23</f>
        <v>5272.8</v>
      </c>
      <c r="BA26" s="7">
        <f t="shared" ref="BA26:BH26" si="8">AZ26*1.01</f>
        <v>5325.5280000000002</v>
      </c>
      <c r="BB26" s="7">
        <f t="shared" si="8"/>
        <v>5378.7832800000006</v>
      </c>
      <c r="BC26" s="7">
        <f t="shared" si="8"/>
        <v>5432.5711128000003</v>
      </c>
      <c r="BD26" s="7">
        <f t="shared" si="8"/>
        <v>5486.8968239280002</v>
      </c>
      <c r="BE26" s="7">
        <f t="shared" si="8"/>
        <v>5541.7657921672799</v>
      </c>
      <c r="BF26" s="7">
        <f t="shared" si="8"/>
        <v>5597.1834500889527</v>
      </c>
      <c r="BG26" s="7">
        <f t="shared" si="8"/>
        <v>5653.1552845898423</v>
      </c>
      <c r="BH26" s="7">
        <f t="shared" si="8"/>
        <v>5709.6868374357409</v>
      </c>
    </row>
    <row r="27" spans="2:60" s="2" customFormat="1" x14ac:dyDescent="0.15">
      <c r="B27" s="2" t="s">
        <v>25</v>
      </c>
      <c r="C27" s="6"/>
      <c r="D27" s="6"/>
      <c r="E27" s="6"/>
      <c r="F27" s="6"/>
      <c r="G27" s="6">
        <v>738.6</v>
      </c>
      <c r="H27" s="6">
        <v>689.8</v>
      </c>
      <c r="I27" s="6">
        <v>728.4</v>
      </c>
      <c r="J27" s="6">
        <v>1673.5</v>
      </c>
      <c r="K27" s="6">
        <v>946.7</v>
      </c>
      <c r="L27" s="6">
        <v>862.5</v>
      </c>
      <c r="M27" s="6">
        <v>978</v>
      </c>
      <c r="N27" s="6">
        <v>1875.7</v>
      </c>
      <c r="O27" s="6">
        <v>1079.9000000000001</v>
      </c>
      <c r="P27" s="6">
        <v>853.8</v>
      </c>
      <c r="Q27" s="6">
        <v>894.8</v>
      </c>
      <c r="R27" s="6">
        <f>R26*0.78</f>
        <v>1736.5919999999999</v>
      </c>
      <c r="S27" s="6">
        <v>949.8</v>
      </c>
      <c r="T27" s="6">
        <v>857.9</v>
      </c>
      <c r="U27" s="6">
        <v>796.5</v>
      </c>
      <c r="V27" s="6">
        <f>3978.6-U27-T27-S27</f>
        <v>1374.3999999999999</v>
      </c>
      <c r="W27" s="6"/>
      <c r="X27" s="6"/>
      <c r="Y27" s="6"/>
      <c r="Z27" s="6"/>
      <c r="AG27" s="6"/>
      <c r="AH27" s="6">
        <v>2219.7530000000002</v>
      </c>
      <c r="AI27" s="6">
        <v>3847.4580000000001</v>
      </c>
      <c r="AJ27" s="6">
        <v>5280.2550000000001</v>
      </c>
      <c r="AK27" s="6">
        <v>6535.7619999999997</v>
      </c>
      <c r="AL27" s="6">
        <v>6643.3450000000003</v>
      </c>
      <c r="AM27" s="6">
        <v>6936.1</v>
      </c>
      <c r="AN27" s="6">
        <v>6871</v>
      </c>
      <c r="AO27" s="2">
        <v>6235.2</v>
      </c>
      <c r="AP27" s="6">
        <v>6378.4</v>
      </c>
      <c r="AQ27" s="6">
        <v>6520.1</v>
      </c>
      <c r="AR27" s="6">
        <v>6445.5</v>
      </c>
      <c r="AS27" s="6">
        <v>5598.6</v>
      </c>
      <c r="AT27" s="6">
        <v>6062.2</v>
      </c>
      <c r="AU27" s="6">
        <v>5977.2</v>
      </c>
      <c r="AV27" s="6">
        <v>4557.3</v>
      </c>
      <c r="AW27" s="6">
        <v>3830.3</v>
      </c>
      <c r="AX27" s="6">
        <v>4662.8999999999996</v>
      </c>
      <c r="AY27" s="6">
        <f>AY26*0.77</f>
        <v>4563.9440000000004</v>
      </c>
      <c r="AZ27" s="6">
        <f>AZ26*0.76</f>
        <v>4007.328</v>
      </c>
      <c r="BA27" s="6">
        <f>BA26*0.76</f>
        <v>4047.40128</v>
      </c>
      <c r="BB27" s="6">
        <f>BB26*0.75</f>
        <v>4034.0874600000006</v>
      </c>
      <c r="BC27" s="6">
        <f>BC26*0.75</f>
        <v>4074.4283346000002</v>
      </c>
      <c r="BD27" s="6">
        <f>BD26*0.74</f>
        <v>4060.3036497067201</v>
      </c>
      <c r="BE27" s="6">
        <f>BE26*0.74</f>
        <v>4100.9066862037871</v>
      </c>
      <c r="BF27" s="6">
        <f>BF26*0.73</f>
        <v>4085.9439185649353</v>
      </c>
      <c r="BG27" s="6">
        <f>BG26*0.73</f>
        <v>4126.8033577505848</v>
      </c>
      <c r="BH27" s="6">
        <f>BH26*0.72</f>
        <v>4110.974522953733</v>
      </c>
    </row>
    <row r="28" spans="2:60" s="2" customFormat="1" x14ac:dyDescent="0.15">
      <c r="B28" s="2" t="s">
        <v>24</v>
      </c>
      <c r="C28" s="6"/>
      <c r="D28" s="6"/>
      <c r="E28" s="6"/>
      <c r="F28" s="6"/>
      <c r="G28" s="6">
        <f t="shared" ref="G28" si="9">G26-G27</f>
        <v>282.39999999999998</v>
      </c>
      <c r="H28" s="6">
        <f>H26-H27</f>
        <v>252.20000000000005</v>
      </c>
      <c r="I28" s="6">
        <f>I26-I27</f>
        <v>276.29999999999995</v>
      </c>
      <c r="J28" s="6">
        <f>J26-J27</f>
        <v>448.59999999999991</v>
      </c>
      <c r="K28" s="6">
        <f>K26-K27</f>
        <v>330.10000000000014</v>
      </c>
      <c r="L28" s="6">
        <f t="shared" ref="L28" si="10">L26-L27</f>
        <v>320.90000000000009</v>
      </c>
      <c r="M28" s="6">
        <f t="shared" ref="M28" si="11">M26-M27</f>
        <v>318.60000000000014</v>
      </c>
      <c r="N28" s="6">
        <f>N26-N27</f>
        <v>378.20000000000005</v>
      </c>
      <c r="O28" s="6">
        <f>O26-O27</f>
        <v>298.5</v>
      </c>
      <c r="P28" s="6">
        <f>+P26-P27</f>
        <v>282.20000000000005</v>
      </c>
      <c r="Q28" s="6">
        <f t="shared" ref="Q28:R28" si="12">Q26-Q27</f>
        <v>291.60000000000014</v>
      </c>
      <c r="R28" s="6">
        <f t="shared" si="12"/>
        <v>489.80799999999977</v>
      </c>
      <c r="S28" s="6">
        <f t="shared" ref="S28:V28" si="13">S26-S27</f>
        <v>287.29999999999995</v>
      </c>
      <c r="T28" s="6">
        <f t="shared" si="13"/>
        <v>305.89999999999998</v>
      </c>
      <c r="U28" s="6">
        <f t="shared" si="13"/>
        <v>281.79999999999995</v>
      </c>
      <c r="V28" s="6">
        <f t="shared" si="13"/>
        <v>419.20000000000027</v>
      </c>
      <c r="W28" s="6"/>
      <c r="X28" s="6"/>
      <c r="Y28" s="6"/>
      <c r="Z28" s="6"/>
      <c r="AG28" s="6"/>
      <c r="AH28" s="6">
        <f t="shared" ref="AH28:AO28" si="14">+AH26-AH27</f>
        <v>872.02999999999975</v>
      </c>
      <c r="AI28" s="6">
        <f t="shared" si="14"/>
        <v>1471.4419999999996</v>
      </c>
      <c r="AJ28" s="6">
        <f t="shared" si="14"/>
        <v>1813.7070000000003</v>
      </c>
      <c r="AK28" s="6">
        <f t="shared" si="14"/>
        <v>2270.1350000000011</v>
      </c>
      <c r="AL28" s="6">
        <f t="shared" si="14"/>
        <v>2434.6519999999991</v>
      </c>
      <c r="AM28" s="6">
        <f t="shared" si="14"/>
        <v>2537.6000000000004</v>
      </c>
      <c r="AN28" s="6">
        <f t="shared" si="14"/>
        <v>2679.5</v>
      </c>
      <c r="AO28" s="2">
        <f t="shared" si="14"/>
        <v>2651.5000000000009</v>
      </c>
      <c r="AP28" s="6">
        <f t="shared" ref="AP28" si="15">AP26-AP27</f>
        <v>2661.1000000000004</v>
      </c>
      <c r="AQ28" s="6">
        <f t="shared" ref="AQ28" si="16">AQ26-AQ27</f>
        <v>2775.8999999999996</v>
      </c>
      <c r="AR28" s="6">
        <f t="shared" ref="AR28" si="17">AR26-AR27</f>
        <v>2918.2999999999993</v>
      </c>
      <c r="AS28" s="6">
        <f t="shared" ref="AS28:AT28" si="18">AS26-AS27</f>
        <v>3009.2999999999993</v>
      </c>
      <c r="AT28" s="6">
        <f t="shared" si="18"/>
        <v>2484.8999999999987</v>
      </c>
      <c r="AU28" s="6">
        <f>AU26-AU27</f>
        <v>2308.0999999999995</v>
      </c>
      <c r="AV28" s="6">
        <f t="shared" ref="AV28" si="19">AV26-AV27</f>
        <v>1908.6999999999998</v>
      </c>
      <c r="AW28" s="6">
        <f>AW26-AW27</f>
        <v>1259.4999999999991</v>
      </c>
      <c r="AX28" s="6">
        <f>AX26-AX27</f>
        <v>1347.8000000000002</v>
      </c>
      <c r="AY28" s="6">
        <f t="shared" ref="AY28:BH28" si="20">AY26-AY27</f>
        <v>1363.2559999999994</v>
      </c>
      <c r="AZ28" s="6">
        <f t="shared" si="20"/>
        <v>1265.4720000000002</v>
      </c>
      <c r="BA28" s="6">
        <f t="shared" si="20"/>
        <v>1278.1267200000002</v>
      </c>
      <c r="BB28" s="6">
        <f t="shared" si="20"/>
        <v>1344.6958199999999</v>
      </c>
      <c r="BC28" s="6">
        <f t="shared" si="20"/>
        <v>1358.1427782000001</v>
      </c>
      <c r="BD28" s="6">
        <f t="shared" si="20"/>
        <v>1426.5931742212802</v>
      </c>
      <c r="BE28" s="6">
        <f t="shared" si="20"/>
        <v>1440.8591059634928</v>
      </c>
      <c r="BF28" s="6">
        <f t="shared" si="20"/>
        <v>1511.2395315240174</v>
      </c>
      <c r="BG28" s="6">
        <f t="shared" si="20"/>
        <v>1526.3519268392574</v>
      </c>
      <c r="BH28" s="6">
        <f t="shared" si="20"/>
        <v>1598.712314482008</v>
      </c>
    </row>
    <row r="29" spans="2:60" s="2" customFormat="1" x14ac:dyDescent="0.15">
      <c r="B29" s="2" t="s">
        <v>26</v>
      </c>
      <c r="C29" s="6"/>
      <c r="D29" s="6"/>
      <c r="E29" s="6"/>
      <c r="F29" s="6"/>
      <c r="G29" s="6">
        <v>386.5</v>
      </c>
      <c r="H29" s="6">
        <v>348.2</v>
      </c>
      <c r="I29" s="6">
        <v>360.4</v>
      </c>
      <c r="J29" s="6">
        <v>419.1</v>
      </c>
      <c r="K29" s="6">
        <v>370.3</v>
      </c>
      <c r="L29" s="6">
        <v>378.9</v>
      </c>
      <c r="M29" s="6">
        <v>421.5</v>
      </c>
      <c r="N29" s="6">
        <v>538.9</v>
      </c>
      <c r="O29" s="6">
        <v>452.2</v>
      </c>
      <c r="P29" s="6">
        <v>387.5</v>
      </c>
      <c r="Q29" s="6">
        <v>387.9</v>
      </c>
      <c r="R29" s="6">
        <f>1681-Q29-P29-O29</f>
        <v>453.39999999999992</v>
      </c>
      <c r="S29" s="6">
        <v>345.7</v>
      </c>
      <c r="T29" s="6">
        <v>322.5</v>
      </c>
      <c r="U29" s="6">
        <v>296.5</v>
      </c>
      <c r="V29" s="6">
        <f>1323.9-U29-T29-S29</f>
        <v>359.2000000000001</v>
      </c>
      <c r="W29" s="6"/>
      <c r="X29" s="6"/>
      <c r="Y29" s="6"/>
      <c r="Z29" s="6"/>
      <c r="AG29" s="6"/>
      <c r="AH29" s="6">
        <v>599.94299999999998</v>
      </c>
      <c r="AI29" s="6">
        <v>1021.1130000000001</v>
      </c>
      <c r="AJ29" s="6">
        <v>1182.0160000000001</v>
      </c>
      <c r="AK29" s="6">
        <v>1445.4190000000001</v>
      </c>
      <c r="AL29" s="6">
        <v>1635.124</v>
      </c>
      <c r="AM29" s="6">
        <v>1698.8</v>
      </c>
      <c r="AN29" s="6">
        <v>1842.1</v>
      </c>
      <c r="AO29" s="2">
        <v>1835.9</v>
      </c>
      <c r="AP29" s="6">
        <v>1892.4</v>
      </c>
      <c r="AQ29" s="6">
        <v>2001</v>
      </c>
      <c r="AR29" s="6">
        <v>2108.9</v>
      </c>
      <c r="AS29" s="6">
        <v>2252.6</v>
      </c>
      <c r="AT29" s="6">
        <v>1909.6</v>
      </c>
      <c r="AU29" s="6">
        <v>1994.2</v>
      </c>
      <c r="AV29" s="6">
        <v>1922.7</v>
      </c>
      <c r="AW29" s="6">
        <v>1514.2</v>
      </c>
      <c r="AX29" s="6">
        <v>1709.6</v>
      </c>
      <c r="AY29" s="6">
        <f>AX29*0.99</f>
        <v>1692.5039999999999</v>
      </c>
      <c r="AZ29" s="6">
        <f t="shared" ref="AZ29:BC29" si="21">AY29*0.99</f>
        <v>1675.5789599999998</v>
      </c>
      <c r="BA29" s="6">
        <f t="shared" si="21"/>
        <v>1658.8231703999998</v>
      </c>
      <c r="BB29" s="6">
        <f t="shared" si="21"/>
        <v>1642.2349386959997</v>
      </c>
      <c r="BC29" s="6">
        <f t="shared" si="21"/>
        <v>1625.8125893090398</v>
      </c>
      <c r="BD29" s="6">
        <f>BC29*1.03</f>
        <v>1674.5869669883111</v>
      </c>
      <c r="BE29" s="6">
        <f t="shared" ref="BE29:BH29" si="22">BD29*1.03</f>
        <v>1724.8245759979604</v>
      </c>
      <c r="BF29" s="6">
        <f t="shared" si="22"/>
        <v>1776.5693132778993</v>
      </c>
      <c r="BG29" s="6">
        <f t="shared" si="22"/>
        <v>1829.8663926762363</v>
      </c>
      <c r="BH29" s="6">
        <f t="shared" si="22"/>
        <v>1884.7623844565235</v>
      </c>
    </row>
    <row r="30" spans="2:60" s="2" customFormat="1" x14ac:dyDescent="0.15">
      <c r="B30" s="2" t="s">
        <v>27</v>
      </c>
      <c r="C30" s="6"/>
      <c r="D30" s="6"/>
      <c r="E30" s="6"/>
      <c r="F30" s="6"/>
      <c r="G30" s="6">
        <f t="shared" ref="G30" si="23">G28-G29</f>
        <v>-104.10000000000002</v>
      </c>
      <c r="H30" s="6">
        <f>H28-H29</f>
        <v>-95.999999999999943</v>
      </c>
      <c r="I30" s="6">
        <f>I28-I29</f>
        <v>-84.100000000000023</v>
      </c>
      <c r="J30" s="6">
        <f>J28-J29</f>
        <v>29.499999999999886</v>
      </c>
      <c r="K30" s="6">
        <f>K28-K29</f>
        <v>-40.199999999999875</v>
      </c>
      <c r="L30" s="6">
        <f t="shared" ref="L30" si="24">L28-L29</f>
        <v>-57.999999999999886</v>
      </c>
      <c r="M30" s="6">
        <f t="shared" ref="M30" si="25">M28-M29</f>
        <v>-102.89999999999986</v>
      </c>
      <c r="N30" s="6">
        <f>N28-N29</f>
        <v>-160.69999999999993</v>
      </c>
      <c r="O30" s="6">
        <f>O28-O29</f>
        <v>-153.69999999999999</v>
      </c>
      <c r="P30" s="6">
        <f t="shared" ref="P30:R30" si="26">P28-P29</f>
        <v>-105.29999999999995</v>
      </c>
      <c r="Q30" s="6">
        <f t="shared" si="26"/>
        <v>-96.299999999999841</v>
      </c>
      <c r="R30" s="6">
        <f t="shared" si="26"/>
        <v>36.407999999999845</v>
      </c>
      <c r="S30" s="6">
        <f t="shared" ref="S30:V30" si="27">S28-S29</f>
        <v>-58.400000000000034</v>
      </c>
      <c r="T30" s="6">
        <f t="shared" si="27"/>
        <v>-16.600000000000023</v>
      </c>
      <c r="U30" s="6">
        <f t="shared" si="27"/>
        <v>-14.700000000000045</v>
      </c>
      <c r="V30" s="6">
        <f t="shared" si="27"/>
        <v>60.000000000000171</v>
      </c>
      <c r="W30" s="6"/>
      <c r="X30" s="6"/>
      <c r="Y30" s="6"/>
      <c r="Z30" s="6"/>
      <c r="AG30" s="6"/>
      <c r="AH30" s="6">
        <f t="shared" ref="AH30:AJ30" si="28">+AH28-AH29</f>
        <v>272.08699999999976</v>
      </c>
      <c r="AI30" s="6">
        <f t="shared" si="28"/>
        <v>450.3289999999995</v>
      </c>
      <c r="AJ30" s="6">
        <f t="shared" si="28"/>
        <v>631.69100000000026</v>
      </c>
      <c r="AK30" s="6">
        <f>+AK28-AK29</f>
        <v>824.71600000000103</v>
      </c>
      <c r="AL30" s="6">
        <f>+AL28-AL29</f>
        <v>799.52799999999911</v>
      </c>
      <c r="AM30" s="6">
        <f>+AM28-AM29</f>
        <v>838.80000000000041</v>
      </c>
      <c r="AN30" s="6">
        <f>+AN28-AN29</f>
        <v>837.40000000000009</v>
      </c>
      <c r="AO30" s="6">
        <f>+AO28-AO29</f>
        <v>815.60000000000082</v>
      </c>
      <c r="AP30" s="6">
        <f t="shared" ref="AP30" si="29">AP28-AP29</f>
        <v>768.70000000000027</v>
      </c>
      <c r="AQ30" s="6">
        <f t="shared" ref="AQ30" si="30">AQ28-AQ29</f>
        <v>774.89999999999964</v>
      </c>
      <c r="AR30" s="6">
        <f t="shared" ref="AR30" si="31">AR28-AR29</f>
        <v>809.39999999999918</v>
      </c>
      <c r="AS30" s="6">
        <f t="shared" ref="AS30:AT30" si="32">AS28-AS29</f>
        <v>756.69999999999936</v>
      </c>
      <c r="AT30" s="6">
        <f t="shared" si="32"/>
        <v>575.29999999999882</v>
      </c>
      <c r="AU30" s="6">
        <f>AU28-AU29</f>
        <v>313.89999999999941</v>
      </c>
      <c r="AV30" s="6">
        <f t="shared" ref="AV30" si="33">AV28-AV29</f>
        <v>-14.000000000000227</v>
      </c>
      <c r="AW30" s="6">
        <f>AW28-AW29</f>
        <v>-254.70000000000095</v>
      </c>
      <c r="AX30" s="6">
        <f>AX28-AX29</f>
        <v>-361.79999999999973</v>
      </c>
      <c r="AY30" s="6">
        <f t="shared" ref="AY30:BH30" si="34">AY28-AY29</f>
        <v>-329.2480000000005</v>
      </c>
      <c r="AZ30" s="6">
        <f t="shared" si="34"/>
        <v>-410.10695999999962</v>
      </c>
      <c r="BA30" s="6">
        <f t="shared" si="34"/>
        <v>-380.69645039999955</v>
      </c>
      <c r="BB30" s="6">
        <f t="shared" si="34"/>
        <v>-297.53911869599983</v>
      </c>
      <c r="BC30" s="6">
        <f t="shared" si="34"/>
        <v>-267.66981110903976</v>
      </c>
      <c r="BD30" s="6">
        <f t="shared" si="34"/>
        <v>-247.99379276703098</v>
      </c>
      <c r="BE30" s="6">
        <f t="shared" si="34"/>
        <v>-283.96547003446767</v>
      </c>
      <c r="BF30" s="6">
        <f t="shared" si="34"/>
        <v>-265.32978175388189</v>
      </c>
      <c r="BG30" s="6">
        <f t="shared" si="34"/>
        <v>-303.51446583697884</v>
      </c>
      <c r="BH30" s="6">
        <f t="shared" si="34"/>
        <v>-286.05006997451551</v>
      </c>
    </row>
    <row r="31" spans="2:60" s="2" customFormat="1" x14ac:dyDescent="0.15">
      <c r="B31" s="2" t="s">
        <v>28</v>
      </c>
      <c r="C31" s="6"/>
      <c r="D31" s="6"/>
      <c r="E31" s="6"/>
      <c r="F31" s="6"/>
      <c r="G31" s="6">
        <v>-6.7</v>
      </c>
      <c r="H31" s="6">
        <v>-7.5</v>
      </c>
      <c r="I31" s="6">
        <v>-9.6999999999999993</v>
      </c>
      <c r="J31" s="6">
        <v>-8.1999999999999993</v>
      </c>
      <c r="K31" s="6">
        <v>-24.7</v>
      </c>
      <c r="L31" s="6">
        <v>-0.5</v>
      </c>
      <c r="M31" s="6">
        <v>-0.8</v>
      </c>
      <c r="N31" s="6">
        <v>-0.9</v>
      </c>
      <c r="O31" s="6">
        <v>-0.7</v>
      </c>
      <c r="P31" s="6">
        <v>0.3</v>
      </c>
      <c r="Q31" s="6">
        <v>3.7</v>
      </c>
      <c r="R31" s="6">
        <f t="shared" ref="R31" si="35">Q31</f>
        <v>3.7</v>
      </c>
      <c r="S31" s="6">
        <f>9.7-1.9</f>
        <v>7.7999999999999989</v>
      </c>
      <c r="T31" s="6">
        <f>11.6+2</f>
        <v>13.6</v>
      </c>
      <c r="U31" s="6">
        <f>12.9-2.5</f>
        <v>10.4</v>
      </c>
      <c r="V31" s="6">
        <f t="shared" ref="V31" si="36">U31</f>
        <v>10.4</v>
      </c>
      <c r="W31" s="6"/>
      <c r="X31" s="6"/>
      <c r="Y31" s="6"/>
      <c r="Z31" s="6"/>
      <c r="AG31" s="6"/>
      <c r="AH31" s="6"/>
      <c r="AI31" s="6"/>
      <c r="AJ31" s="6"/>
      <c r="AK31" s="6"/>
      <c r="AL31" s="6"/>
      <c r="AM31" s="6"/>
      <c r="AN31" s="6"/>
      <c r="AP31" s="6">
        <v>-4.7</v>
      </c>
      <c r="AQ31" s="6">
        <v>-10</v>
      </c>
      <c r="AR31" s="6">
        <v>-23</v>
      </c>
      <c r="AS31" s="6">
        <v>-53</v>
      </c>
      <c r="AT31" s="6">
        <v>-55.3</v>
      </c>
      <c r="AU31" s="6">
        <v>-51.1</v>
      </c>
      <c r="AV31" s="6">
        <v>-27.2</v>
      </c>
      <c r="AW31" s="6">
        <v>-32.1</v>
      </c>
      <c r="AX31" s="6">
        <v>-26.9</v>
      </c>
      <c r="AY31" s="6">
        <f t="shared" ref="AY31:BH31" si="37">AX46*$BL$68</f>
        <v>0</v>
      </c>
      <c r="AZ31" s="6">
        <f t="shared" si="37"/>
        <v>0</v>
      </c>
      <c r="BA31" s="6">
        <f t="shared" si="37"/>
        <v>23.986000000000004</v>
      </c>
      <c r="BB31" s="6">
        <f t="shared" si="37"/>
        <v>0</v>
      </c>
      <c r="BC31" s="6">
        <f t="shared" si="37"/>
        <v>0</v>
      </c>
      <c r="BD31" s="6">
        <f t="shared" si="37"/>
        <v>0</v>
      </c>
      <c r="BE31" s="6">
        <f t="shared" si="37"/>
        <v>0</v>
      </c>
      <c r="BF31" s="6">
        <f t="shared" si="37"/>
        <v>0</v>
      </c>
      <c r="BG31" s="6">
        <f t="shared" si="37"/>
        <v>0</v>
      </c>
      <c r="BH31" s="6">
        <f t="shared" si="37"/>
        <v>0</v>
      </c>
    </row>
    <row r="32" spans="2:60" s="2" customFormat="1" x14ac:dyDescent="0.15">
      <c r="B32" s="2" t="s">
        <v>29</v>
      </c>
      <c r="C32" s="6"/>
      <c r="D32" s="6"/>
      <c r="E32" s="6"/>
      <c r="F32" s="6"/>
      <c r="G32" s="6">
        <f t="shared" ref="G32" si="38">G30+G31</f>
        <v>-110.80000000000003</v>
      </c>
      <c r="H32" s="6">
        <f>H30+H31</f>
        <v>-103.49999999999994</v>
      </c>
      <c r="I32" s="6">
        <f>I30+I31</f>
        <v>-93.800000000000026</v>
      </c>
      <c r="J32" s="6">
        <f>J30+J31</f>
        <v>21.299999999999887</v>
      </c>
      <c r="K32" s="6">
        <f>K30+K31</f>
        <v>-64.899999999999878</v>
      </c>
      <c r="L32" s="6">
        <f t="shared" ref="L32" si="39">L30+L31</f>
        <v>-58.499999999999886</v>
      </c>
      <c r="M32" s="6">
        <f t="shared" ref="M32" si="40">M30+M31</f>
        <v>-103.69999999999986</v>
      </c>
      <c r="N32" s="6">
        <f>N30+N31</f>
        <v>-161.59999999999994</v>
      </c>
      <c r="O32" s="6">
        <f>O30+O31</f>
        <v>-154.39999999999998</v>
      </c>
      <c r="P32" s="6">
        <f t="shared" ref="P32:R32" si="41">P30+P31</f>
        <v>-104.99999999999996</v>
      </c>
      <c r="Q32" s="6">
        <f t="shared" si="41"/>
        <v>-92.599999999999838</v>
      </c>
      <c r="R32" s="6">
        <f t="shared" si="41"/>
        <v>40.107999999999848</v>
      </c>
      <c r="S32" s="6">
        <f t="shared" ref="S32:V32" si="42">S30+S31</f>
        <v>-50.600000000000037</v>
      </c>
      <c r="T32" s="6">
        <f t="shared" si="42"/>
        <v>-3.0000000000000231</v>
      </c>
      <c r="U32" s="6">
        <f t="shared" si="42"/>
        <v>-4.3000000000000451</v>
      </c>
      <c r="V32" s="6">
        <f t="shared" si="42"/>
        <v>70.400000000000176</v>
      </c>
      <c r="W32" s="6"/>
      <c r="X32" s="6"/>
      <c r="Y32" s="6"/>
      <c r="Z32" s="6"/>
      <c r="AG32" s="6"/>
      <c r="AH32" s="6"/>
      <c r="AI32" s="6">
        <f t="shared" ref="AI32:AO32" si="43">AI30+AI31</f>
        <v>450.3289999999995</v>
      </c>
      <c r="AJ32" s="6">
        <f t="shared" si="43"/>
        <v>631.69100000000026</v>
      </c>
      <c r="AK32" s="6">
        <f t="shared" si="43"/>
        <v>824.71600000000103</v>
      </c>
      <c r="AL32" s="6">
        <f t="shared" si="43"/>
        <v>799.52799999999911</v>
      </c>
      <c r="AM32" s="6">
        <f t="shared" si="43"/>
        <v>838.80000000000041</v>
      </c>
      <c r="AN32" s="6">
        <f t="shared" si="43"/>
        <v>837.40000000000009</v>
      </c>
      <c r="AO32" s="6">
        <f t="shared" si="43"/>
        <v>815.60000000000082</v>
      </c>
      <c r="AP32" s="6">
        <f t="shared" ref="AP32" si="44">AP30+AP31</f>
        <v>764.00000000000023</v>
      </c>
      <c r="AQ32" s="6">
        <f t="shared" ref="AQ32" si="45">AQ30+AQ31</f>
        <v>764.89999999999964</v>
      </c>
      <c r="AR32" s="6">
        <f t="shared" ref="AR32" si="46">AR30+AR31</f>
        <v>786.39999999999918</v>
      </c>
      <c r="AS32" s="6">
        <f t="shared" ref="AS32:AT32" si="47">AS30+AS31</f>
        <v>703.69999999999936</v>
      </c>
      <c r="AT32" s="6">
        <f t="shared" si="47"/>
        <v>519.99999999999886</v>
      </c>
      <c r="AU32" s="6">
        <f t="shared" ref="AU32:AV32" si="48">AU30+AU31</f>
        <v>262.79999999999939</v>
      </c>
      <c r="AV32" s="6">
        <f t="shared" si="48"/>
        <v>-41.20000000000023</v>
      </c>
      <c r="AW32" s="6">
        <f t="shared" ref="AW32:AX32" si="49">AW30+AW31</f>
        <v>-286.80000000000098</v>
      </c>
      <c r="AX32" s="6">
        <f t="shared" si="49"/>
        <v>-388.6999999999997</v>
      </c>
      <c r="AY32" s="6">
        <f t="shared" ref="AY32" si="50">AY30+AY31</f>
        <v>-329.2480000000005</v>
      </c>
      <c r="AZ32" s="6">
        <f t="shared" ref="AZ32" si="51">AZ30+AZ31</f>
        <v>-410.10695999999962</v>
      </c>
      <c r="BA32" s="6">
        <f t="shared" ref="BA32" si="52">BA30+BA31</f>
        <v>-356.71045039999956</v>
      </c>
      <c r="BB32" s="6">
        <f t="shared" ref="BB32" si="53">BB30+BB31</f>
        <v>-297.53911869599983</v>
      </c>
      <c r="BC32" s="6">
        <f t="shared" ref="BC32" si="54">BC30+BC31</f>
        <v>-267.66981110903976</v>
      </c>
      <c r="BD32" s="6">
        <f t="shared" ref="BD32" si="55">BD30+BD31</f>
        <v>-247.99379276703098</v>
      </c>
      <c r="BE32" s="6">
        <f t="shared" ref="BE32" si="56">BE30+BE31</f>
        <v>-283.96547003446767</v>
      </c>
      <c r="BF32" s="6">
        <f t="shared" ref="BF32" si="57">BF30+BF31</f>
        <v>-265.32978175388189</v>
      </c>
      <c r="BG32" s="6">
        <f t="shared" ref="BG32" si="58">BG30+BG31</f>
        <v>-303.51446583697884</v>
      </c>
      <c r="BH32" s="6">
        <f t="shared" ref="BH32" si="59">BH30+BH31</f>
        <v>-286.05006997451551</v>
      </c>
    </row>
    <row r="33" spans="2:98" s="2" customFormat="1" x14ac:dyDescent="0.15">
      <c r="B33" s="2" t="s">
        <v>31</v>
      </c>
      <c r="C33" s="6"/>
      <c r="D33" s="6"/>
      <c r="E33" s="6"/>
      <c r="F33" s="6"/>
      <c r="G33" s="6">
        <v>50.4</v>
      </c>
      <c r="H33" s="6">
        <v>17.899999999999999</v>
      </c>
      <c r="I33" s="6">
        <v>-53.9</v>
      </c>
      <c r="J33" s="6">
        <v>-69.7</v>
      </c>
      <c r="K33" s="6">
        <v>1.3</v>
      </c>
      <c r="L33" s="6">
        <v>3.1</v>
      </c>
      <c r="M33" s="6">
        <v>1.7</v>
      </c>
      <c r="N33" s="6">
        <v>-20.2</v>
      </c>
      <c r="O33" s="6">
        <v>3.5</v>
      </c>
      <c r="P33" s="6">
        <v>1.2</v>
      </c>
      <c r="Q33" s="6">
        <v>2.1</v>
      </c>
      <c r="R33" s="6">
        <v>0</v>
      </c>
      <c r="S33" s="6">
        <v>-0.1</v>
      </c>
      <c r="T33" s="6">
        <v>0.2</v>
      </c>
      <c r="U33" s="6">
        <v>-1.2</v>
      </c>
      <c r="V33" s="6">
        <v>0</v>
      </c>
      <c r="W33" s="6"/>
      <c r="X33" s="6"/>
      <c r="Y33" s="6"/>
      <c r="Z33" s="6"/>
      <c r="AG33" s="6"/>
      <c r="AH33" s="6"/>
      <c r="AI33" s="6"/>
      <c r="AJ33" s="6"/>
      <c r="AK33" s="6"/>
      <c r="AL33" s="6"/>
      <c r="AM33" s="6"/>
      <c r="AN33" s="6"/>
      <c r="AP33" s="6">
        <v>214.6</v>
      </c>
      <c r="AQ33" s="6">
        <v>215.2</v>
      </c>
      <c r="AR33" s="6">
        <v>222.4</v>
      </c>
      <c r="AS33" s="6">
        <v>151.5</v>
      </c>
      <c r="AT33" s="6">
        <v>153.5</v>
      </c>
      <c r="AU33" s="6">
        <v>41.7</v>
      </c>
      <c r="AV33" s="6">
        <v>37.6</v>
      </c>
      <c r="AW33" s="6">
        <v>-55.3</v>
      </c>
      <c r="AX33" s="6">
        <v>-14.1</v>
      </c>
      <c r="AY33" s="6">
        <v>0</v>
      </c>
      <c r="AZ33" s="2">
        <v>0</v>
      </c>
      <c r="BA33" s="2">
        <v>0</v>
      </c>
      <c r="BB33" s="2">
        <v>0</v>
      </c>
      <c r="BC33" s="2">
        <f>BC32*0.1</f>
        <v>-26.766981110903977</v>
      </c>
      <c r="BD33" s="2">
        <f t="shared" ref="BD33" si="60">BD32*0.1</f>
        <v>-24.7993792767031</v>
      </c>
      <c r="BE33" s="2">
        <f>BE32*0.2</f>
        <v>-56.79309400689354</v>
      </c>
      <c r="BF33" s="2">
        <f>BF32*0.2</f>
        <v>-53.065956350776382</v>
      </c>
      <c r="BG33" s="2">
        <f>BG32*0.25</f>
        <v>-75.878616459244711</v>
      </c>
      <c r="BH33" s="2">
        <f>BH32*0.25</f>
        <v>-71.512517493628877</v>
      </c>
    </row>
    <row r="34" spans="2:98" s="2" customFormat="1" x14ac:dyDescent="0.15">
      <c r="B34" s="2" t="s">
        <v>30</v>
      </c>
      <c r="C34" s="6"/>
      <c r="D34" s="6"/>
      <c r="E34" s="6"/>
      <c r="F34" s="6"/>
      <c r="G34" s="6">
        <f t="shared" ref="G34" si="61">G32-G33</f>
        <v>-161.20000000000002</v>
      </c>
      <c r="H34" s="6">
        <f>H32-H33</f>
        <v>-121.39999999999995</v>
      </c>
      <c r="I34" s="6">
        <f>I32-I33</f>
        <v>-39.900000000000027</v>
      </c>
      <c r="J34" s="6">
        <f>J32-J33</f>
        <v>90.999999999999886</v>
      </c>
      <c r="K34" s="6">
        <f>K32-K33</f>
        <v>-66.199999999999875</v>
      </c>
      <c r="L34" s="6">
        <f t="shared" ref="L34" si="62">L32-L33</f>
        <v>-61.599999999999888</v>
      </c>
      <c r="M34" s="6">
        <f t="shared" ref="M34" si="63">M32-M33</f>
        <v>-105.39999999999986</v>
      </c>
      <c r="N34" s="6">
        <f>N32-N33</f>
        <v>-141.39999999999995</v>
      </c>
      <c r="O34" s="6">
        <f>O32-O33</f>
        <v>-157.89999999999998</v>
      </c>
      <c r="P34" s="6">
        <f t="shared" ref="P34:R34" si="64">P32-P33</f>
        <v>-106.19999999999996</v>
      </c>
      <c r="Q34" s="6">
        <f t="shared" si="64"/>
        <v>-94.699999999999832</v>
      </c>
      <c r="R34" s="6">
        <f t="shared" si="64"/>
        <v>40.107999999999848</v>
      </c>
      <c r="S34" s="6">
        <f t="shared" ref="S34:V34" si="65">S32-S33</f>
        <v>-50.500000000000036</v>
      </c>
      <c r="T34" s="6">
        <f t="shared" si="65"/>
        <v>-3.2000000000000233</v>
      </c>
      <c r="U34" s="6">
        <f t="shared" si="65"/>
        <v>-3.1000000000000449</v>
      </c>
      <c r="V34" s="6">
        <f t="shared" si="65"/>
        <v>70.400000000000176</v>
      </c>
      <c r="W34" s="6"/>
      <c r="X34" s="6"/>
      <c r="Y34" s="6"/>
      <c r="Z34" s="6"/>
      <c r="AG34" s="6"/>
      <c r="AH34" s="6"/>
      <c r="AI34" s="6">
        <f t="shared" ref="AI34:AO34" si="66">AI32-AI33</f>
        <v>450.3289999999995</v>
      </c>
      <c r="AJ34" s="6">
        <f t="shared" si="66"/>
        <v>631.69100000000026</v>
      </c>
      <c r="AK34" s="6">
        <f t="shared" si="66"/>
        <v>824.71600000000103</v>
      </c>
      <c r="AL34" s="6">
        <f t="shared" si="66"/>
        <v>799.52799999999911</v>
      </c>
      <c r="AM34" s="6">
        <f t="shared" si="66"/>
        <v>838.80000000000041</v>
      </c>
      <c r="AN34" s="6">
        <f t="shared" si="66"/>
        <v>837.40000000000009</v>
      </c>
      <c r="AO34" s="6">
        <f t="shared" si="66"/>
        <v>815.60000000000082</v>
      </c>
      <c r="AP34" s="6">
        <f t="shared" ref="AP34" si="67">AP32-AP33</f>
        <v>549.4000000000002</v>
      </c>
      <c r="AQ34" s="6">
        <f t="shared" ref="AQ34" si="68">AQ32-AQ33</f>
        <v>549.69999999999959</v>
      </c>
      <c r="AR34" s="6">
        <f t="shared" ref="AR34" si="69">AR32-AR33</f>
        <v>563.9999999999992</v>
      </c>
      <c r="AS34" s="6">
        <f t="shared" ref="AS34:AT34" si="70">AS32-AS33</f>
        <v>552.19999999999936</v>
      </c>
      <c r="AT34" s="6">
        <f t="shared" si="70"/>
        <v>366.49999999999886</v>
      </c>
      <c r="AU34" s="6">
        <f t="shared" ref="AU34:AV34" si="71">AU32-AU33</f>
        <v>221.0999999999994</v>
      </c>
      <c r="AV34" s="6">
        <f t="shared" si="71"/>
        <v>-78.800000000000239</v>
      </c>
      <c r="AW34" s="6">
        <f>AW32-AW33</f>
        <v>-231.50000000000097</v>
      </c>
      <c r="AX34" s="6">
        <f>AX32-AX33</f>
        <v>-374.59999999999968</v>
      </c>
      <c r="AY34" s="6">
        <f t="shared" ref="AY34:BH34" si="72">AY32-AY33</f>
        <v>-329.2480000000005</v>
      </c>
      <c r="AZ34" s="6">
        <f t="shared" si="72"/>
        <v>-410.10695999999962</v>
      </c>
      <c r="BA34" s="6">
        <f t="shared" si="72"/>
        <v>-356.71045039999956</v>
      </c>
      <c r="BB34" s="6">
        <f t="shared" si="72"/>
        <v>-297.53911869599983</v>
      </c>
      <c r="BC34" s="6">
        <f t="shared" si="72"/>
        <v>-240.90282999813579</v>
      </c>
      <c r="BD34" s="6">
        <f t="shared" si="72"/>
        <v>-223.19441349032789</v>
      </c>
      <c r="BE34" s="6">
        <f t="shared" si="72"/>
        <v>-227.17237602757413</v>
      </c>
      <c r="BF34" s="6">
        <f t="shared" si="72"/>
        <v>-212.2638254031055</v>
      </c>
      <c r="BG34" s="6">
        <f t="shared" si="72"/>
        <v>-227.63584937773413</v>
      </c>
      <c r="BH34" s="6">
        <f t="shared" si="72"/>
        <v>-214.53755248088663</v>
      </c>
      <c r="BI34" s="2">
        <f t="shared" ref="BI34:CT34" si="73">BH34*(1+$BL$67)</f>
        <v>-214.53755248088663</v>
      </c>
      <c r="BJ34" s="2">
        <f t="shared" si="73"/>
        <v>-214.53755248088663</v>
      </c>
      <c r="BK34" s="2">
        <f t="shared" si="73"/>
        <v>-214.53755248088663</v>
      </c>
      <c r="BL34" s="2">
        <f t="shared" si="73"/>
        <v>-214.53755248088663</v>
      </c>
      <c r="BM34" s="2">
        <f t="shared" si="73"/>
        <v>-214.53755248088663</v>
      </c>
      <c r="BN34" s="2">
        <f t="shared" si="73"/>
        <v>-214.53755248088663</v>
      </c>
      <c r="BO34" s="2">
        <f t="shared" si="73"/>
        <v>-214.53755248088663</v>
      </c>
      <c r="BP34" s="2">
        <f t="shared" si="73"/>
        <v>-214.53755248088663</v>
      </c>
      <c r="BQ34" s="2">
        <f t="shared" si="73"/>
        <v>-214.53755248088663</v>
      </c>
      <c r="BR34" s="2">
        <f t="shared" si="73"/>
        <v>-214.53755248088663</v>
      </c>
      <c r="BS34" s="2">
        <f t="shared" si="73"/>
        <v>-214.53755248088663</v>
      </c>
      <c r="BT34" s="2">
        <f t="shared" si="73"/>
        <v>-214.53755248088663</v>
      </c>
      <c r="BU34" s="2">
        <f t="shared" si="73"/>
        <v>-214.53755248088663</v>
      </c>
      <c r="BV34" s="2">
        <f t="shared" si="73"/>
        <v>-214.53755248088663</v>
      </c>
      <c r="BW34" s="2">
        <f t="shared" si="73"/>
        <v>-214.53755248088663</v>
      </c>
      <c r="BX34" s="2">
        <f t="shared" si="73"/>
        <v>-214.53755248088663</v>
      </c>
      <c r="BY34" s="2">
        <f t="shared" si="73"/>
        <v>-214.53755248088663</v>
      </c>
      <c r="BZ34" s="2">
        <f t="shared" si="73"/>
        <v>-214.53755248088663</v>
      </c>
      <c r="CA34" s="2">
        <f t="shared" si="73"/>
        <v>-214.53755248088663</v>
      </c>
      <c r="CB34" s="2">
        <f t="shared" si="73"/>
        <v>-214.53755248088663</v>
      </c>
      <c r="CC34" s="2">
        <f t="shared" si="73"/>
        <v>-214.53755248088663</v>
      </c>
      <c r="CD34" s="2">
        <f t="shared" si="73"/>
        <v>-214.53755248088663</v>
      </c>
      <c r="CE34" s="2">
        <f t="shared" si="73"/>
        <v>-214.53755248088663</v>
      </c>
      <c r="CF34" s="2">
        <f t="shared" si="73"/>
        <v>-214.53755248088663</v>
      </c>
      <c r="CG34" s="2">
        <f t="shared" si="73"/>
        <v>-214.53755248088663</v>
      </c>
      <c r="CH34" s="2">
        <f t="shared" si="73"/>
        <v>-214.53755248088663</v>
      </c>
      <c r="CI34" s="2">
        <f t="shared" si="73"/>
        <v>-214.53755248088663</v>
      </c>
      <c r="CJ34" s="2">
        <f t="shared" si="73"/>
        <v>-214.53755248088663</v>
      </c>
      <c r="CK34" s="2">
        <f t="shared" si="73"/>
        <v>-214.53755248088663</v>
      </c>
      <c r="CL34" s="2">
        <f t="shared" si="73"/>
        <v>-214.53755248088663</v>
      </c>
      <c r="CM34" s="2">
        <f t="shared" si="73"/>
        <v>-214.53755248088663</v>
      </c>
      <c r="CN34" s="2">
        <f t="shared" si="73"/>
        <v>-214.53755248088663</v>
      </c>
      <c r="CO34" s="2">
        <f t="shared" si="73"/>
        <v>-214.53755248088663</v>
      </c>
      <c r="CP34" s="2">
        <f t="shared" si="73"/>
        <v>-214.53755248088663</v>
      </c>
      <c r="CQ34" s="2">
        <f t="shared" si="73"/>
        <v>-214.53755248088663</v>
      </c>
      <c r="CR34" s="2">
        <f t="shared" si="73"/>
        <v>-214.53755248088663</v>
      </c>
      <c r="CS34" s="2">
        <f t="shared" si="73"/>
        <v>-214.53755248088663</v>
      </c>
      <c r="CT34" s="2">
        <f t="shared" si="73"/>
        <v>-214.53755248088663</v>
      </c>
    </row>
    <row r="35" spans="2:98" x14ac:dyDescent="0.15">
      <c r="B35" t="s">
        <v>32</v>
      </c>
      <c r="G35" s="5">
        <f t="shared" ref="G35" si="74">G34/G36</f>
        <v>-2.4992248062015507</v>
      </c>
      <c r="H35" s="5">
        <f>H34/H36</f>
        <v>-1.8676923076923069</v>
      </c>
      <c r="I35" s="5">
        <f>I34/I36</f>
        <v>-0.61196319018404943</v>
      </c>
      <c r="J35" s="5">
        <f>J34/J36</f>
        <v>1.3421828908554556</v>
      </c>
      <c r="K35" s="5">
        <f>K34/K36</f>
        <v>-1.0030303030303012</v>
      </c>
      <c r="L35" s="5">
        <f t="shared" ref="L35" si="75">L34/L36</f>
        <v>-0.84848484848484695</v>
      </c>
      <c r="M35" s="5">
        <f t="shared" ref="M35" si="76">M34/M36</f>
        <v>-1.388669301712778</v>
      </c>
      <c r="N35" s="5">
        <f>N34/N36</f>
        <v>-1.862977602108036</v>
      </c>
      <c r="O35" s="5">
        <f>O34/O36</f>
        <v>-2.0803689064558624</v>
      </c>
      <c r="P35" s="5">
        <f t="shared" ref="P35:R35" si="77">P34/P36</f>
        <v>-0.34911242603550285</v>
      </c>
      <c r="Q35" s="5">
        <f t="shared" si="77"/>
        <v>-0.31130834976988769</v>
      </c>
      <c r="R35" s="5">
        <f t="shared" si="77"/>
        <v>0.13184746877054521</v>
      </c>
      <c r="S35" s="5">
        <f t="shared" ref="S35:V35" si="78">S34/S36</f>
        <v>-0.16584564860426942</v>
      </c>
      <c r="T35" s="5">
        <f t="shared" si="78"/>
        <v>-1.0498687664042071E-2</v>
      </c>
      <c r="U35" s="5">
        <f t="shared" si="78"/>
        <v>-1.0153946937438731E-2</v>
      </c>
      <c r="V35" s="5">
        <f t="shared" si="78"/>
        <v>0.23059285948247682</v>
      </c>
      <c r="W35" s="5"/>
      <c r="X35" s="5"/>
      <c r="Y35" s="5"/>
      <c r="Z35" s="5"/>
      <c r="AI35" s="5" t="e">
        <f t="shared" ref="AI35:AO35" si="79">AI34/AI36</f>
        <v>#DIV/0!</v>
      </c>
      <c r="AJ35" s="5" t="e">
        <f t="shared" si="79"/>
        <v>#DIV/0!</v>
      </c>
      <c r="AK35" s="5" t="e">
        <f t="shared" si="79"/>
        <v>#DIV/0!</v>
      </c>
      <c r="AL35" s="5" t="e">
        <f t="shared" si="79"/>
        <v>#DIV/0!</v>
      </c>
      <c r="AM35" s="5" t="e">
        <f t="shared" si="79"/>
        <v>#DIV/0!</v>
      </c>
      <c r="AN35" s="5" t="e">
        <f t="shared" si="79"/>
        <v>#DIV/0!</v>
      </c>
      <c r="AO35" s="5" t="e">
        <f t="shared" si="79"/>
        <v>#DIV/0!</v>
      </c>
      <c r="AP35" s="5">
        <f t="shared" ref="AP35" si="80">AP34/AP36</f>
        <v>4.6402027027027044</v>
      </c>
      <c r="AQ35" s="5">
        <f t="shared" ref="AQ35" si="81">AQ34/AQ36</f>
        <v>4.8560070671378055</v>
      </c>
      <c r="AR35" s="5">
        <f t="shared" ref="AR35" si="82">AR34/AR36</f>
        <v>5.2858481724461033</v>
      </c>
      <c r="AS35" s="5">
        <f t="shared" ref="AS35:AT35" si="83">AS34/AS36</f>
        <v>5.3198458574181053</v>
      </c>
      <c r="AT35" s="5">
        <f t="shared" si="83"/>
        <v>3.6108374384236339</v>
      </c>
      <c r="AU35" s="5">
        <f t="shared" ref="AU35:AV35" si="84">AU34/AU36</f>
        <v>2.1655239960822663</v>
      </c>
      <c r="AV35" s="5">
        <f t="shared" si="84"/>
        <v>-0.90057142857143135</v>
      </c>
      <c r="AW35" s="5">
        <f>AW34/AW36</f>
        <v>-3.5615384615384764</v>
      </c>
      <c r="AX35" s="5">
        <f>AX34/AX36</f>
        <v>-5.1597796143250649</v>
      </c>
      <c r="AY35" s="5">
        <f t="shared" ref="AY35:BH35" si="85">AY34/AY36</f>
        <v>-4.53509641873279</v>
      </c>
      <c r="AZ35" s="5">
        <f t="shared" si="85"/>
        <v>-5.6488561983471026</v>
      </c>
      <c r="BA35" s="5">
        <f t="shared" si="85"/>
        <v>-4.9133670853994431</v>
      </c>
      <c r="BB35" s="5">
        <f t="shared" si="85"/>
        <v>-4.098334968264461</v>
      </c>
      <c r="BC35" s="5">
        <f t="shared" si="85"/>
        <v>-3.3182207988723942</v>
      </c>
      <c r="BD35" s="5">
        <f t="shared" si="85"/>
        <v>-3.0743032161202191</v>
      </c>
      <c r="BE35" s="5">
        <f t="shared" si="85"/>
        <v>-3.1290960885340793</v>
      </c>
      <c r="BF35" s="5">
        <f t="shared" si="85"/>
        <v>-2.9237441515579272</v>
      </c>
      <c r="BG35" s="5">
        <f t="shared" si="85"/>
        <v>-3.1354800189770544</v>
      </c>
      <c r="BH35" s="5">
        <f t="shared" si="85"/>
        <v>-2.955062706348301</v>
      </c>
    </row>
    <row r="36" spans="2:98" s="2" customFormat="1" x14ac:dyDescent="0.15">
      <c r="B36" s="2" t="s">
        <v>1</v>
      </c>
      <c r="C36" s="6"/>
      <c r="D36" s="6"/>
      <c r="E36" s="6"/>
      <c r="F36" s="6"/>
      <c r="G36" s="6">
        <v>64.5</v>
      </c>
      <c r="H36" s="6">
        <v>65</v>
      </c>
      <c r="I36" s="6">
        <v>65.2</v>
      </c>
      <c r="J36" s="6">
        <v>67.8</v>
      </c>
      <c r="K36" s="6">
        <v>66</v>
      </c>
      <c r="L36" s="6">
        <v>72.599999999999994</v>
      </c>
      <c r="M36" s="6">
        <v>75.900000000000006</v>
      </c>
      <c r="N36" s="6">
        <v>75.900000000000006</v>
      </c>
      <c r="O36" s="6">
        <v>75.900000000000006</v>
      </c>
      <c r="P36" s="6">
        <v>304.2</v>
      </c>
      <c r="Q36" s="6">
        <v>304.2</v>
      </c>
      <c r="R36" s="6">
        <f>Q36</f>
        <v>304.2</v>
      </c>
      <c r="S36" s="6">
        <v>304.5</v>
      </c>
      <c r="T36" s="6">
        <v>304.8</v>
      </c>
      <c r="U36" s="6">
        <v>305.3</v>
      </c>
      <c r="V36" s="6">
        <f t="shared" ref="V36" si="86">U36</f>
        <v>305.3</v>
      </c>
      <c r="W36" s="6"/>
      <c r="X36" s="6"/>
      <c r="Y36" s="6"/>
      <c r="Z36" s="6"/>
      <c r="AG36" s="6"/>
      <c r="AH36" s="6"/>
      <c r="AI36" s="6"/>
      <c r="AJ36" s="6"/>
      <c r="AK36" s="6"/>
      <c r="AL36" s="6"/>
      <c r="AM36" s="6"/>
      <c r="AN36" s="6"/>
      <c r="AP36" s="6">
        <v>118.4</v>
      </c>
      <c r="AQ36" s="6">
        <v>113.2</v>
      </c>
      <c r="AR36" s="6">
        <v>106.7</v>
      </c>
      <c r="AS36" s="6">
        <v>103.8</v>
      </c>
      <c r="AT36" s="6">
        <v>101.5</v>
      </c>
      <c r="AU36" s="6">
        <v>102.1</v>
      </c>
      <c r="AV36" s="6">
        <v>87.5</v>
      </c>
      <c r="AW36" s="6">
        <v>65</v>
      </c>
      <c r="AX36" s="6">
        <v>72.599999999999994</v>
      </c>
      <c r="AY36" s="6">
        <f>AX36</f>
        <v>72.599999999999994</v>
      </c>
      <c r="AZ36" s="6">
        <f t="shared" ref="AZ36:BH36" si="87">AY36</f>
        <v>72.599999999999994</v>
      </c>
      <c r="BA36" s="6">
        <f t="shared" si="87"/>
        <v>72.599999999999994</v>
      </c>
      <c r="BB36" s="6">
        <f t="shared" si="87"/>
        <v>72.599999999999994</v>
      </c>
      <c r="BC36" s="6">
        <f t="shared" si="87"/>
        <v>72.599999999999994</v>
      </c>
      <c r="BD36" s="6">
        <f t="shared" si="87"/>
        <v>72.599999999999994</v>
      </c>
      <c r="BE36" s="6">
        <f t="shared" si="87"/>
        <v>72.599999999999994</v>
      </c>
      <c r="BF36" s="6">
        <f t="shared" si="87"/>
        <v>72.599999999999994</v>
      </c>
      <c r="BG36" s="6">
        <f t="shared" si="87"/>
        <v>72.599999999999994</v>
      </c>
      <c r="BH36" s="6">
        <f t="shared" si="87"/>
        <v>72.599999999999994</v>
      </c>
    </row>
    <row r="37" spans="2:98" x14ac:dyDescent="0.15">
      <c r="AT37" s="4"/>
      <c r="AU37" s="4"/>
    </row>
    <row r="38" spans="2:98" s="10" customFormat="1" x14ac:dyDescent="0.15">
      <c r="B38" s="7" t="s">
        <v>33</v>
      </c>
      <c r="C38" s="11"/>
      <c r="D38" s="11"/>
      <c r="E38" s="11"/>
      <c r="F38" s="11"/>
      <c r="G38" s="11"/>
      <c r="H38" s="11"/>
      <c r="I38" s="11"/>
      <c r="J38" s="11"/>
      <c r="K38" s="12">
        <f>K26/G26-1</f>
        <v>0.25053868756121478</v>
      </c>
      <c r="L38" s="12">
        <f>L26/H26-1</f>
        <v>0.25626326963906587</v>
      </c>
      <c r="M38" s="12">
        <f>M26/I26-1</f>
        <v>0.29053448790683811</v>
      </c>
      <c r="N38" s="12">
        <f>N26/J26-1</f>
        <v>6.2108288959050073E-2</v>
      </c>
      <c r="O38" s="12">
        <f>O26/K26-1</f>
        <v>7.9573934837092741E-2</v>
      </c>
      <c r="P38" s="12">
        <f t="shared" ref="P38:R38" si="88">P26/L26-1</f>
        <v>-4.0054081460199509E-2</v>
      </c>
      <c r="Q38" s="12">
        <f>Q26/M26-1</f>
        <v>-8.4991516273330237E-2</v>
      </c>
      <c r="R38" s="12">
        <f t="shared" si="88"/>
        <v>-1.2201073694485309E-2</v>
      </c>
      <c r="S38" s="12">
        <f t="shared" ref="S38" si="89">S26/O26-1</f>
        <v>-0.10251015670342434</v>
      </c>
      <c r="T38" s="12">
        <f t="shared" ref="T38" si="90">T26/P26-1</f>
        <v>2.4471830985915544E-2</v>
      </c>
      <c r="U38" s="12">
        <f t="shared" ref="U38" si="91">U26/Q26-1</f>
        <v>-9.1115981119352818E-2</v>
      </c>
      <c r="V38" s="12">
        <f t="shared" ref="V38:W38" si="92">V26/R26-1</f>
        <v>-0.19439453826805586</v>
      </c>
      <c r="W38" s="12">
        <f t="shared" si="92"/>
        <v>-0.28704227629132639</v>
      </c>
      <c r="X38" s="12"/>
      <c r="Y38" s="12"/>
      <c r="Z38" s="12"/>
      <c r="AG38" s="11"/>
      <c r="AH38" s="11"/>
      <c r="AI38" s="11"/>
      <c r="AJ38" s="12">
        <f t="shared" ref="AJ38" si="93">AJ26/AI26-1</f>
        <v>0.3337272744364439</v>
      </c>
      <c r="AK38" s="12">
        <f t="shared" ref="AK38" si="94">AK26/AJ26-1</f>
        <v>0.24132283200840376</v>
      </c>
      <c r="AL38" s="12">
        <f t="shared" ref="AL38" si="95">AL26/AK26-1</f>
        <v>3.0899748202823485E-2</v>
      </c>
      <c r="AM38" s="12">
        <f t="shared" ref="AM38" si="96">AM26/AL26-1</f>
        <v>4.3589241106821497E-2</v>
      </c>
      <c r="AN38" s="12">
        <f t="shared" ref="AN38" si="97">AN26/AM26-1</f>
        <v>8.1066531555780141E-3</v>
      </c>
      <c r="AO38" s="12">
        <f t="shared" ref="AO38" si="98">AO26/AN26-1</f>
        <v>-6.950421443903454E-2</v>
      </c>
      <c r="AP38" s="12">
        <f t="shared" ref="AP38" si="99">AP26/AO26-1</f>
        <v>1.719423408014209E-2</v>
      </c>
      <c r="AQ38" s="12">
        <f t="shared" ref="AQ38:AZ38" si="100">AQ26/AP26-1</f>
        <v>2.8375463244648458E-2</v>
      </c>
      <c r="AR38" s="12">
        <f t="shared" si="100"/>
        <v>7.293459552495607E-3</v>
      </c>
      <c r="AS38" s="12">
        <f t="shared" si="100"/>
        <v>-8.0725773724342642E-2</v>
      </c>
      <c r="AT38" s="12">
        <f t="shared" si="100"/>
        <v>-7.0632790808444756E-3</v>
      </c>
      <c r="AU38" s="12">
        <f t="shared" si="100"/>
        <v>-3.0630272256086832E-2</v>
      </c>
      <c r="AV38" s="12">
        <f t="shared" si="100"/>
        <v>-0.21958166873860929</v>
      </c>
      <c r="AW38" s="12">
        <f t="shared" si="100"/>
        <v>-0.21283637488400875</v>
      </c>
      <c r="AX38" s="12">
        <f t="shared" si="100"/>
        <v>0.18093048842783621</v>
      </c>
      <c r="AY38" s="12">
        <f t="shared" si="100"/>
        <v>-1.3891892791189075E-2</v>
      </c>
      <c r="AZ38" s="12">
        <f t="shared" si="100"/>
        <v>-0.11040626265352949</v>
      </c>
      <c r="BA38" s="12">
        <f t="shared" ref="BA38:BH38" si="101">BA26/AZ26-1</f>
        <v>1.0000000000000009E-2</v>
      </c>
      <c r="BB38" s="12">
        <f t="shared" si="101"/>
        <v>1.0000000000000009E-2</v>
      </c>
      <c r="BC38" s="12">
        <f>BC26/BB26-1</f>
        <v>1.0000000000000009E-2</v>
      </c>
      <c r="BD38" s="12">
        <f t="shared" si="101"/>
        <v>1.0000000000000009E-2</v>
      </c>
      <c r="BE38" s="12">
        <f t="shared" si="101"/>
        <v>1.0000000000000009E-2</v>
      </c>
      <c r="BF38" s="12">
        <f t="shared" si="101"/>
        <v>1.0000000000000009E-2</v>
      </c>
      <c r="BG38" s="12">
        <f t="shared" si="101"/>
        <v>1.0000000000000009E-2</v>
      </c>
      <c r="BH38" s="12">
        <f t="shared" si="101"/>
        <v>1.0000000000000009E-2</v>
      </c>
    </row>
    <row r="39" spans="2:98" x14ac:dyDescent="0.15">
      <c r="B39" s="2" t="s">
        <v>107</v>
      </c>
      <c r="K39" s="9">
        <f t="shared" ref="K39:K40" si="102">K23/G23-1</f>
        <v>0.37107776261937242</v>
      </c>
      <c r="L39" s="9">
        <f t="shared" ref="L39:L40" si="103">L23/H23-1</f>
        <v>0.38043478260869557</v>
      </c>
      <c r="M39" s="9">
        <f t="shared" ref="M39:M40" si="104">M23/I23-1</f>
        <v>0.62046444121915822</v>
      </c>
      <c r="N39" s="9">
        <f t="shared" ref="N39:O40" si="105">N23/J23-1</f>
        <v>2.2361744216048862E-2</v>
      </c>
      <c r="O39" s="9">
        <f t="shared" si="105"/>
        <v>-4.2217484008528872E-2</v>
      </c>
      <c r="P39" s="9">
        <f t="shared" ref="P39:P40" si="106">P23/L23-1</f>
        <v>-2.1653543307086687E-2</v>
      </c>
      <c r="Q39" s="9">
        <f t="shared" ref="Q39:Q40" si="107">Q23/M23-1</f>
        <v>-6.4039408866994996E-2</v>
      </c>
      <c r="R39" s="9">
        <f t="shared" ref="R39:R40" si="108">R23/N23-1</f>
        <v>4.5511903760410366E-2</v>
      </c>
      <c r="S39" s="9">
        <f t="shared" ref="S39:S41" si="109">S23/O23-1</f>
        <v>7.7174235678242775E-2</v>
      </c>
      <c r="T39" s="9">
        <f t="shared" ref="T39:T41" si="110">T23/P23-1</f>
        <v>1.006036217303885E-3</v>
      </c>
      <c r="U39" s="9">
        <f t="shared" ref="U39:U41" si="111">U23/Q23-1</f>
        <v>-7.5917065390749605E-2</v>
      </c>
      <c r="V39" s="9">
        <f t="shared" ref="V39:V41" si="112">V23/R23-1</f>
        <v>-0.11924686192468603</v>
      </c>
      <c r="W39" s="9"/>
      <c r="X39" s="9"/>
      <c r="Y39" s="9"/>
      <c r="Z39" s="9"/>
      <c r="AT39" s="4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</row>
    <row r="40" spans="2:98" x14ac:dyDescent="0.15">
      <c r="B40" s="2" t="s">
        <v>106</v>
      </c>
      <c r="K40" s="9">
        <f t="shared" si="102"/>
        <v>-4.5803357314148752E-2</v>
      </c>
      <c r="L40" s="9">
        <f t="shared" si="103"/>
        <v>2.6131953428201848E-2</v>
      </c>
      <c r="M40" s="9">
        <f t="shared" si="104"/>
        <v>-2.2277227722772186E-2</v>
      </c>
      <c r="N40" s="9">
        <f t="shared" si="105"/>
        <v>7.480853391684894E-2</v>
      </c>
      <c r="O40" s="9">
        <f t="shared" ref="O40" si="113">O24/K24-1</f>
        <v>0.21563206835888415</v>
      </c>
      <c r="P40" s="9">
        <f t="shared" si="106"/>
        <v>-0.20221886031265768</v>
      </c>
      <c r="Q40" s="9">
        <f t="shared" si="107"/>
        <v>-0.18964326812428078</v>
      </c>
      <c r="R40" s="9">
        <f t="shared" si="108"/>
        <v>-0.14696526275607602</v>
      </c>
      <c r="S40" s="9">
        <f t="shared" si="109"/>
        <v>-0.30059954517262766</v>
      </c>
      <c r="T40" s="9">
        <f t="shared" si="110"/>
        <v>0.25474083438685224</v>
      </c>
      <c r="U40" s="9">
        <f t="shared" si="111"/>
        <v>-8.74751491053678E-2</v>
      </c>
      <c r="V40" s="9">
        <f t="shared" si="112"/>
        <v>-0.30578758949880647</v>
      </c>
      <c r="W40" s="9"/>
      <c r="X40" s="9"/>
      <c r="Y40" s="9"/>
      <c r="Z40" s="9"/>
      <c r="AT40" s="4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</row>
    <row r="41" spans="2:98" x14ac:dyDescent="0.15">
      <c r="B41" s="2" t="s">
        <v>105</v>
      </c>
      <c r="K41" s="9">
        <f t="shared" ref="K41:N41" si="114">K25/G25-1</f>
        <v>0.92959295929592956</v>
      </c>
      <c r="L41" s="9">
        <f t="shared" si="114"/>
        <v>0.55575065847234395</v>
      </c>
      <c r="M41" s="9">
        <f t="shared" si="114"/>
        <v>0.30837304288631717</v>
      </c>
      <c r="N41" s="9">
        <f t="shared" si="114"/>
        <v>0.2239263803680982</v>
      </c>
      <c r="O41" s="9">
        <f>O25/K25-1</f>
        <v>0.25940706955530213</v>
      </c>
      <c r="P41" s="9">
        <f t="shared" ref="P41:R41" si="115">P25/L25-1</f>
        <v>0.25959367945823919</v>
      </c>
      <c r="Q41" s="9">
        <f t="shared" si="115"/>
        <v>7.8563995837669154E-2</v>
      </c>
      <c r="R41" s="9">
        <f t="shared" si="115"/>
        <v>0.12137486573576761</v>
      </c>
      <c r="S41" s="9">
        <f t="shared" si="109"/>
        <v>-0.21684019918515163</v>
      </c>
      <c r="T41" s="9">
        <f t="shared" si="110"/>
        <v>-0.23924731182795689</v>
      </c>
      <c r="U41" s="9">
        <f t="shared" si="111"/>
        <v>-0.1432706222865413</v>
      </c>
      <c r="V41" s="9">
        <f t="shared" si="112"/>
        <v>-0.25415070242656446</v>
      </c>
      <c r="W41" s="9"/>
      <c r="X41" s="9"/>
      <c r="Y41" s="9"/>
      <c r="Z41" s="9"/>
      <c r="AT41" s="4"/>
      <c r="AU41" s="9">
        <f>AU25/AT25-1</f>
        <v>0.11757309022320017</v>
      </c>
      <c r="AV41" s="9">
        <f t="shared" ref="AV41:BH41" si="116">AV25/AU25-1</f>
        <v>3.7271448663853679E-2</v>
      </c>
      <c r="AW41" s="9">
        <f t="shared" si="116"/>
        <v>-0.21369491525423734</v>
      </c>
      <c r="AX41" s="9">
        <f t="shared" si="116"/>
        <v>0.42127953095361281</v>
      </c>
      <c r="AY41" s="9">
        <f t="shared" si="116"/>
        <v>0.17034700315457418</v>
      </c>
      <c r="AZ41" s="9">
        <f t="shared" si="116"/>
        <v>-0.21832884097035044</v>
      </c>
      <c r="BA41" s="9">
        <f t="shared" si="116"/>
        <v>0.10000000000000009</v>
      </c>
      <c r="BB41" s="9">
        <f t="shared" si="116"/>
        <v>0.10000000000000009</v>
      </c>
      <c r="BC41" s="9">
        <f t="shared" si="116"/>
        <v>0.10000000000000009</v>
      </c>
      <c r="BD41" s="9">
        <f t="shared" si="116"/>
        <v>0.10000000000000009</v>
      </c>
      <c r="BE41" s="9">
        <f t="shared" si="116"/>
        <v>0.10000000000000009</v>
      </c>
      <c r="BF41" s="9">
        <f t="shared" si="116"/>
        <v>0.10000000000000009</v>
      </c>
      <c r="BG41" s="9">
        <f t="shared" si="116"/>
        <v>0.10000000000000009</v>
      </c>
      <c r="BH41" s="9">
        <f t="shared" si="116"/>
        <v>0.10000000000000009</v>
      </c>
    </row>
    <row r="42" spans="2:98" x14ac:dyDescent="0.15">
      <c r="B42" t="s">
        <v>24</v>
      </c>
      <c r="G42" s="9">
        <f t="shared" ref="G42" si="117">G28/G26</f>
        <v>0.27659157688540642</v>
      </c>
      <c r="H42" s="9">
        <f t="shared" ref="H42:N42" si="118">H28/H26</f>
        <v>0.26772823779193211</v>
      </c>
      <c r="I42" s="9">
        <f t="shared" si="118"/>
        <v>0.27500746491489997</v>
      </c>
      <c r="J42" s="9">
        <f t="shared" si="118"/>
        <v>0.21139437349795012</v>
      </c>
      <c r="K42" s="9">
        <f t="shared" si="118"/>
        <v>0.25853696741854643</v>
      </c>
      <c r="L42" s="9">
        <f t="shared" si="118"/>
        <v>0.27116782153118141</v>
      </c>
      <c r="M42" s="9">
        <f t="shared" si="118"/>
        <v>0.24571957427117083</v>
      </c>
      <c r="N42" s="9">
        <f t="shared" si="118"/>
        <v>0.16779803895470075</v>
      </c>
      <c r="O42" s="9">
        <f>O28/O26</f>
        <v>0.21655542658154381</v>
      </c>
      <c r="P42" s="9">
        <f>P28/P26</f>
        <v>0.24841549295774651</v>
      </c>
      <c r="Q42" s="9">
        <f t="shared" ref="Q42:R42" si="119">Q28/Q26</f>
        <v>0.24578556979096436</v>
      </c>
      <c r="R42" s="9">
        <f t="shared" si="119"/>
        <v>0.21999999999999992</v>
      </c>
      <c r="S42" s="9">
        <f t="shared" ref="S42:V42" si="120">S28/S26</f>
        <v>0.2322366825640611</v>
      </c>
      <c r="T42" s="9">
        <f t="shared" si="120"/>
        <v>0.26284584980237152</v>
      </c>
      <c r="U42" s="9">
        <f t="shared" si="120"/>
        <v>0.26133729017898538</v>
      </c>
      <c r="V42" s="9">
        <f t="shared" si="120"/>
        <v>0.23371989295272091</v>
      </c>
      <c r="W42" s="9"/>
      <c r="X42" s="9"/>
      <c r="Y42" s="9"/>
      <c r="Z42" s="9"/>
      <c r="AP42" s="9">
        <f t="shared" ref="AP42" si="121">AP28/AP26</f>
        <v>0.29438575142430451</v>
      </c>
      <c r="AQ42" s="9">
        <f t="shared" ref="AQ42" si="122">AQ28/AQ26</f>
        <v>0.29861230636833042</v>
      </c>
      <c r="AR42" s="9">
        <f t="shared" ref="AR42:AU42" si="123">AR28/AR26</f>
        <v>0.31165766035156661</v>
      </c>
      <c r="AS42" s="9">
        <f t="shared" si="123"/>
        <v>0.34959746279580378</v>
      </c>
      <c r="AT42" s="9">
        <f t="shared" si="123"/>
        <v>0.29073018918697557</v>
      </c>
      <c r="AU42" s="9">
        <f t="shared" si="123"/>
        <v>0.27857772198954772</v>
      </c>
      <c r="AV42" s="9">
        <f t="shared" ref="AV42" si="124">AV28/AV26</f>
        <v>0.29519022579647386</v>
      </c>
      <c r="AW42" s="9">
        <f t="shared" ref="AW42:AX42" si="125">AW28/AW26</f>
        <v>0.24745569570513562</v>
      </c>
      <c r="AX42" s="9">
        <f t="shared" si="125"/>
        <v>0.22423345034688144</v>
      </c>
      <c r="AY42" s="9">
        <f t="shared" ref="AY42:BH42" si="126">AY28/AY26</f>
        <v>0.2299999999999999</v>
      </c>
      <c r="AZ42" s="9">
        <f t="shared" si="126"/>
        <v>0.24000000000000002</v>
      </c>
      <c r="BA42" s="9">
        <f t="shared" si="126"/>
        <v>0.24000000000000002</v>
      </c>
      <c r="BB42" s="9">
        <f t="shared" si="126"/>
        <v>0.24999999999999994</v>
      </c>
      <c r="BC42" s="9">
        <f t="shared" si="126"/>
        <v>0.25</v>
      </c>
      <c r="BD42" s="9">
        <f t="shared" si="126"/>
        <v>0.26</v>
      </c>
      <c r="BE42" s="9">
        <f t="shared" si="126"/>
        <v>0.26</v>
      </c>
      <c r="BF42" s="9">
        <f t="shared" si="126"/>
        <v>0.27</v>
      </c>
      <c r="BG42" s="9">
        <f t="shared" si="126"/>
        <v>0.27</v>
      </c>
      <c r="BH42" s="9">
        <f t="shared" si="126"/>
        <v>0.28000000000000008</v>
      </c>
    </row>
    <row r="43" spans="2:98" x14ac:dyDescent="0.15">
      <c r="B43" t="s">
        <v>99</v>
      </c>
      <c r="G43" s="9">
        <f t="shared" ref="G43:N43" si="127">G32/G26</f>
        <v>-0.10852105778648387</v>
      </c>
      <c r="H43" s="9">
        <f t="shared" si="127"/>
        <v>-0.10987261146496809</v>
      </c>
      <c r="I43" s="9">
        <f t="shared" si="127"/>
        <v>-9.3361202348959921E-2</v>
      </c>
      <c r="J43" s="9">
        <f t="shared" si="127"/>
        <v>1.003722727486918E-2</v>
      </c>
      <c r="K43" s="9">
        <f t="shared" si="127"/>
        <v>-5.0830200501253031E-2</v>
      </c>
      <c r="L43" s="9">
        <f t="shared" si="127"/>
        <v>-4.9433834713537163E-2</v>
      </c>
      <c r="M43" s="9">
        <f t="shared" si="127"/>
        <v>-7.9978405059385971E-2</v>
      </c>
      <c r="N43" s="9">
        <f t="shared" si="127"/>
        <v>-7.169794578286523E-2</v>
      </c>
      <c r="O43" s="9">
        <f>O32/O26</f>
        <v>-0.11201392919326754</v>
      </c>
      <c r="P43" s="9">
        <f t="shared" ref="P43:R43" si="128">P32/P26</f>
        <v>-9.2429577464788693E-2</v>
      </c>
      <c r="Q43" s="9">
        <f t="shared" si="128"/>
        <v>-7.8051247471341734E-2</v>
      </c>
      <c r="R43" s="9">
        <f t="shared" si="128"/>
        <v>1.8014732303269786E-2</v>
      </c>
      <c r="S43" s="9">
        <f t="shared" ref="S43:V43" si="129">S32/S26</f>
        <v>-4.0902109772855903E-2</v>
      </c>
      <c r="T43" s="9">
        <f t="shared" si="129"/>
        <v>-2.5777625021481555E-3</v>
      </c>
      <c r="U43" s="9">
        <f t="shared" si="129"/>
        <v>-3.9877585087638367E-3</v>
      </c>
      <c r="V43" s="9">
        <f t="shared" si="129"/>
        <v>3.9250669045495186E-2</v>
      </c>
      <c r="W43" s="9"/>
      <c r="X43" s="9"/>
      <c r="Y43" s="9"/>
      <c r="Z43" s="9"/>
      <c r="AP43" s="9">
        <f t="shared" ref="AP43" si="130">AP30/AP26</f>
        <v>8.5037889263786748E-2</v>
      </c>
      <c r="AQ43" s="9">
        <f t="shared" ref="AQ43" si="131">AQ30/AQ26</f>
        <v>8.3358433734939716E-2</v>
      </c>
      <c r="AR43" s="9">
        <f t="shared" ref="AR43:AX43" si="132">AR30/AR26</f>
        <v>8.6439266109912566E-2</v>
      </c>
      <c r="AS43" s="9">
        <f t="shared" si="132"/>
        <v>8.7907619744653095E-2</v>
      </c>
      <c r="AT43" s="9">
        <f t="shared" si="132"/>
        <v>6.7309379789636123E-2</v>
      </c>
      <c r="AU43" s="9">
        <f t="shared" si="132"/>
        <v>3.7886377077474498E-2</v>
      </c>
      <c r="AV43" s="9">
        <f t="shared" si="132"/>
        <v>-2.1651716671822188E-3</v>
      </c>
      <c r="AW43" s="9">
        <f t="shared" si="132"/>
        <v>-5.0041258988565561E-2</v>
      </c>
      <c r="AX43" s="9">
        <f t="shared" si="132"/>
        <v>-6.0192656429367587E-2</v>
      </c>
      <c r="AY43" s="9">
        <f>AY30/AY26</f>
        <v>-5.5548657038736758E-2</v>
      </c>
      <c r="AZ43" s="9">
        <f t="shared" ref="AZ43:BH43" si="133">AZ30/AZ26</f>
        <v>-7.777783340919428E-2</v>
      </c>
      <c r="BA43" s="9">
        <f t="shared" si="133"/>
        <v>-7.1485203044655762E-2</v>
      </c>
      <c r="BB43" s="9">
        <f t="shared" si="133"/>
        <v>-5.5317179221989365E-2</v>
      </c>
      <c r="BC43" s="9">
        <f t="shared" si="133"/>
        <v>-4.9271294484920257E-2</v>
      </c>
      <c r="BD43" s="9">
        <f t="shared" si="133"/>
        <v>-4.5197458732146409E-2</v>
      </c>
      <c r="BE43" s="9">
        <f t="shared" si="133"/>
        <v>-5.1240972766446367E-2</v>
      </c>
      <c r="BF43" s="9">
        <f t="shared" si="133"/>
        <v>-4.7404160345979933E-2</v>
      </c>
      <c r="BG43" s="9">
        <f t="shared" si="133"/>
        <v>-5.3689391243920158E-2</v>
      </c>
      <c r="BH43" s="9">
        <f t="shared" si="133"/>
        <v>-5.0099082159641269E-2</v>
      </c>
    </row>
    <row r="44" spans="2:98" x14ac:dyDescent="0.15">
      <c r="B44" t="s">
        <v>98</v>
      </c>
      <c r="G44" s="9">
        <f t="shared" ref="G44:N44" si="134">G33/G32</f>
        <v>-0.45487364620938614</v>
      </c>
      <c r="H44" s="9">
        <f t="shared" si="134"/>
        <v>-0.17294685990338171</v>
      </c>
      <c r="I44" s="9">
        <f t="shared" si="134"/>
        <v>0.57462686567164167</v>
      </c>
      <c r="J44" s="9">
        <f t="shared" si="134"/>
        <v>-3.2723004694835858</v>
      </c>
      <c r="K44" s="9">
        <f t="shared" si="134"/>
        <v>-2.003081664098617E-2</v>
      </c>
      <c r="L44" s="9">
        <f t="shared" si="134"/>
        <v>-5.2991452991453095E-2</v>
      </c>
      <c r="M44" s="9">
        <f t="shared" si="134"/>
        <v>-1.6393442622950841E-2</v>
      </c>
      <c r="N44" s="9">
        <f t="shared" si="134"/>
        <v>0.12500000000000006</v>
      </c>
      <c r="O44" s="9">
        <f>O33/O32</f>
        <v>-2.2668393782383424E-2</v>
      </c>
      <c r="P44" s="9">
        <f t="shared" ref="P44:R44" si="135">P33/P32</f>
        <v>-1.1428571428571432E-2</v>
      </c>
      <c r="Q44" s="9">
        <f t="shared" si="135"/>
        <v>-2.2678185745140429E-2</v>
      </c>
      <c r="R44" s="9">
        <f t="shared" si="135"/>
        <v>0</v>
      </c>
      <c r="S44" s="9">
        <f t="shared" ref="S44:V44" si="136">S33/S32</f>
        <v>1.9762845849802357E-3</v>
      </c>
      <c r="T44" s="9">
        <f t="shared" si="136"/>
        <v>-6.6666666666666152E-2</v>
      </c>
      <c r="U44" s="9">
        <f t="shared" si="136"/>
        <v>0.27906976744185752</v>
      </c>
      <c r="V44" s="9">
        <f t="shared" si="136"/>
        <v>0</v>
      </c>
      <c r="W44" s="9"/>
      <c r="X44" s="9"/>
      <c r="Y44" s="9"/>
      <c r="Z44" s="9"/>
      <c r="AP44" s="9">
        <f t="shared" ref="AP44" si="137">AP33/AP32</f>
        <v>0.28089005235602083</v>
      </c>
      <c r="AQ44" s="9">
        <f t="shared" ref="AQ44" si="138">AQ33/AQ32</f>
        <v>0.2813439665315729</v>
      </c>
      <c r="AR44" s="9">
        <f t="shared" ref="AR44:AX44" si="139">AR33/AR32</f>
        <v>0.28280773143438481</v>
      </c>
      <c r="AS44" s="9">
        <f t="shared" si="139"/>
        <v>0.21529060679266754</v>
      </c>
      <c r="AT44" s="9">
        <f t="shared" si="139"/>
        <v>0.29519230769230836</v>
      </c>
      <c r="AU44" s="9">
        <f t="shared" si="139"/>
        <v>0.15867579908675838</v>
      </c>
      <c r="AV44" s="9">
        <f t="shared" si="139"/>
        <v>-0.9126213592232959</v>
      </c>
      <c r="AW44" s="9">
        <f t="shared" si="139"/>
        <v>0.19281729428172875</v>
      </c>
      <c r="AX44" s="9">
        <f t="shared" si="139"/>
        <v>3.6274762027270417E-2</v>
      </c>
      <c r="AY44" s="9">
        <f>AY33/AY32</f>
        <v>0</v>
      </c>
      <c r="AZ44" s="9">
        <f t="shared" ref="AZ44:BH44" si="140">AZ33/AZ32</f>
        <v>0</v>
      </c>
      <c r="BA44" s="9">
        <f t="shared" si="140"/>
        <v>0</v>
      </c>
      <c r="BB44" s="9">
        <f t="shared" si="140"/>
        <v>0</v>
      </c>
      <c r="BC44" s="9">
        <f t="shared" si="140"/>
        <v>0.1</v>
      </c>
      <c r="BD44" s="9">
        <f t="shared" si="140"/>
        <v>0.1</v>
      </c>
      <c r="BE44" s="9">
        <f t="shared" si="140"/>
        <v>0.2</v>
      </c>
      <c r="BF44" s="9">
        <f t="shared" si="140"/>
        <v>0.2</v>
      </c>
      <c r="BG44" s="9">
        <f t="shared" si="140"/>
        <v>0.25</v>
      </c>
      <c r="BH44" s="9">
        <f t="shared" si="140"/>
        <v>0.25</v>
      </c>
    </row>
    <row r="46" spans="2:98" x14ac:dyDescent="0.15">
      <c r="B46" s="2" t="s">
        <v>3</v>
      </c>
      <c r="K46" s="6">
        <f>694.7+57.4+18.7</f>
        <v>770.80000000000007</v>
      </c>
      <c r="L46" s="6">
        <f>1720.4+36.7+18.5</f>
        <v>1775.6000000000001</v>
      </c>
      <c r="M46" s="6">
        <f>1413+39.5+15.6</f>
        <v>1468.1</v>
      </c>
      <c r="N46" s="6">
        <f>1271.4+33.1+15.4</f>
        <v>1319.9</v>
      </c>
      <c r="O46" s="6">
        <f>1035+33.3+15.3</f>
        <v>1083.5999999999999</v>
      </c>
      <c r="P46" s="6">
        <v>908.9</v>
      </c>
      <c r="Q46" s="6">
        <f>803.8+238.3</f>
        <v>1042.0999999999999</v>
      </c>
      <c r="R46" s="6"/>
      <c r="S46" s="6">
        <f>1057+253.1</f>
        <v>1310.0999999999999</v>
      </c>
      <c r="T46" s="6">
        <f>894.7+300</f>
        <v>1194.7</v>
      </c>
      <c r="U46" s="6">
        <f>909+300.5</f>
        <v>1209.5</v>
      </c>
      <c r="V46" s="6">
        <f>921.7+277.6</f>
        <v>1199.3000000000002</v>
      </c>
      <c r="W46" s="6"/>
      <c r="X46" s="6"/>
      <c r="Y46" s="6"/>
      <c r="Z46" s="6"/>
      <c r="AW46" s="6">
        <f>508.5+110+16.5</f>
        <v>635</v>
      </c>
      <c r="AX46" s="6"/>
      <c r="AY46" s="6"/>
      <c r="AZ46" s="6">
        <f>V46</f>
        <v>1199.3000000000002</v>
      </c>
      <c r="BA46" s="6"/>
      <c r="BB46" s="6"/>
      <c r="BC46" s="6"/>
      <c r="BD46" s="6"/>
      <c r="BE46" s="6"/>
      <c r="BF46" s="6"/>
      <c r="BG46" s="6"/>
      <c r="BH46" s="6"/>
    </row>
    <row r="47" spans="2:98" x14ac:dyDescent="0.15">
      <c r="B47" s="2" t="s">
        <v>51</v>
      </c>
      <c r="K47" s="6">
        <v>102.1</v>
      </c>
      <c r="L47" s="6">
        <v>68.5</v>
      </c>
      <c r="M47" s="6">
        <v>83.4</v>
      </c>
      <c r="N47" s="6">
        <v>141.1</v>
      </c>
      <c r="O47" s="6">
        <v>103.4</v>
      </c>
      <c r="P47" s="6">
        <v>99.6</v>
      </c>
      <c r="Q47" s="6">
        <v>125.3</v>
      </c>
      <c r="S47" s="6">
        <v>119.2</v>
      </c>
      <c r="T47" s="6">
        <v>75.599999999999994</v>
      </c>
      <c r="U47" s="6">
        <v>88.3</v>
      </c>
      <c r="V47" s="6">
        <v>91</v>
      </c>
      <c r="AW47" s="6">
        <v>105.3</v>
      </c>
      <c r="AX47" s="6"/>
    </row>
    <row r="48" spans="2:98" x14ac:dyDescent="0.15">
      <c r="B48" s="2" t="s">
        <v>54</v>
      </c>
      <c r="K48" s="6">
        <v>570.9</v>
      </c>
      <c r="L48" s="6">
        <v>596.4</v>
      </c>
      <c r="M48" s="6">
        <v>1140.9000000000001</v>
      </c>
      <c r="N48" s="6">
        <v>915</v>
      </c>
      <c r="O48" s="6">
        <v>917.6</v>
      </c>
      <c r="P48" s="6">
        <v>734.8</v>
      </c>
      <c r="Q48" s="6">
        <v>1131.3</v>
      </c>
      <c r="S48" s="6">
        <v>759.5</v>
      </c>
      <c r="T48" s="6">
        <v>676.9</v>
      </c>
      <c r="U48" s="6">
        <v>1021.3</v>
      </c>
      <c r="V48" s="6">
        <v>632.5</v>
      </c>
      <c r="AW48" s="6">
        <v>602.5</v>
      </c>
      <c r="AX48" s="6"/>
    </row>
    <row r="49" spans="2:60" x14ac:dyDescent="0.15">
      <c r="B49" s="2" t="s">
        <v>55</v>
      </c>
      <c r="K49" s="6">
        <v>232.1</v>
      </c>
      <c r="L49" s="6">
        <v>235</v>
      </c>
      <c r="M49" s="6">
        <v>236.3</v>
      </c>
      <c r="N49" s="6">
        <v>238.2</v>
      </c>
      <c r="O49" s="6">
        <v>240.3</v>
      </c>
      <c r="P49" s="6">
        <v>275.89999999999998</v>
      </c>
      <c r="Q49" s="6">
        <v>283.10000000000002</v>
      </c>
      <c r="S49" s="6">
        <v>65.8</v>
      </c>
      <c r="T49" s="6">
        <v>58</v>
      </c>
      <c r="U49" s="6">
        <v>57.7</v>
      </c>
      <c r="V49" s="6">
        <v>51.4</v>
      </c>
      <c r="AW49" s="6">
        <v>224.9</v>
      </c>
      <c r="AX49" s="6"/>
    </row>
    <row r="50" spans="2:60" x14ac:dyDescent="0.15">
      <c r="B50" s="2" t="s">
        <v>56</v>
      </c>
      <c r="K50" s="6">
        <v>192.6</v>
      </c>
      <c r="L50" s="6">
        <v>186.6</v>
      </c>
      <c r="M50" s="6">
        <v>179.6</v>
      </c>
      <c r="N50" s="6">
        <v>163.6</v>
      </c>
      <c r="O50" s="6">
        <v>157.4</v>
      </c>
      <c r="P50" s="6">
        <v>146.80000000000001</v>
      </c>
      <c r="Q50" s="6">
        <v>138.5</v>
      </c>
      <c r="S50" s="6">
        <v>123.6</v>
      </c>
      <c r="T50" s="6">
        <v>119.3</v>
      </c>
      <c r="U50" s="6">
        <v>114.5</v>
      </c>
      <c r="V50" s="6">
        <v>94.9</v>
      </c>
      <c r="AW50" s="6">
        <v>201.2</v>
      </c>
      <c r="AX50" s="6"/>
    </row>
    <row r="51" spans="2:60" x14ac:dyDescent="0.15">
      <c r="B51" s="2" t="s">
        <v>57</v>
      </c>
      <c r="K51" s="6">
        <v>654.20000000000005</v>
      </c>
      <c r="L51" s="6">
        <v>645.20000000000005</v>
      </c>
      <c r="M51" s="6">
        <f>615.8</f>
        <v>615.79999999999995</v>
      </c>
      <c r="N51" s="6">
        <v>586.6</v>
      </c>
      <c r="O51" s="6">
        <v>568.70000000000005</v>
      </c>
      <c r="P51" s="6">
        <v>554.29999999999995</v>
      </c>
      <c r="Q51" s="6">
        <v>523.20000000000005</v>
      </c>
      <c r="S51" s="6">
        <v>595.79999999999995</v>
      </c>
      <c r="T51" s="6">
        <v>583</v>
      </c>
      <c r="U51" s="6">
        <v>570.4</v>
      </c>
      <c r="V51" s="6">
        <v>555.79999999999995</v>
      </c>
      <c r="AW51" s="6">
        <v>662.1</v>
      </c>
      <c r="AX51" s="6"/>
    </row>
    <row r="52" spans="2:60" x14ac:dyDescent="0.15">
      <c r="B52" s="2" t="s">
        <v>58</v>
      </c>
      <c r="K52" s="6">
        <v>0</v>
      </c>
      <c r="L52" s="6">
        <v>0</v>
      </c>
      <c r="M52" s="6">
        <v>0</v>
      </c>
      <c r="N52" s="6">
        <v>16.3</v>
      </c>
      <c r="O52" s="6">
        <v>16.7</v>
      </c>
      <c r="P52" s="6">
        <v>16.7</v>
      </c>
      <c r="Q52" s="6">
        <v>14.3</v>
      </c>
      <c r="S52" s="6">
        <v>17.5</v>
      </c>
      <c r="T52" s="6">
        <v>17.600000000000001</v>
      </c>
      <c r="U52" s="6">
        <v>16.600000000000001</v>
      </c>
      <c r="V52" s="6">
        <v>17.3</v>
      </c>
      <c r="AW52" s="6">
        <v>0</v>
      </c>
      <c r="AX52" s="6"/>
    </row>
    <row r="53" spans="2:60" x14ac:dyDescent="0.15">
      <c r="B53" t="s">
        <v>52</v>
      </c>
      <c r="K53" s="6">
        <v>40</v>
      </c>
      <c r="L53" s="6">
        <v>38.5</v>
      </c>
      <c r="M53" s="6">
        <v>37.9</v>
      </c>
      <c r="N53" s="6">
        <v>118.6</v>
      </c>
      <c r="O53" s="6">
        <v>37.799999999999997</v>
      </c>
      <c r="P53" s="6">
        <v>62.5</v>
      </c>
      <c r="Q53" s="6">
        <v>64.7</v>
      </c>
      <c r="S53" s="6">
        <v>78.7</v>
      </c>
      <c r="T53" s="6">
        <v>78.599999999999994</v>
      </c>
      <c r="U53" s="6">
        <v>68.599999999999994</v>
      </c>
      <c r="V53" s="6">
        <v>66.8</v>
      </c>
      <c r="AW53" s="6">
        <v>41.6</v>
      </c>
      <c r="AX53" s="6"/>
    </row>
    <row r="54" spans="2:60" x14ac:dyDescent="0.15">
      <c r="B54" t="s">
        <v>53</v>
      </c>
      <c r="K54" s="6">
        <f>SUM(K46:K53)</f>
        <v>2562.6999999999998</v>
      </c>
      <c r="L54" s="6">
        <f t="shared" ref="L54" si="141">SUM(L46:L53)</f>
        <v>3545.8</v>
      </c>
      <c r="M54" s="6">
        <f t="shared" ref="M54" si="142">SUM(M46:M53)</f>
        <v>3762.0000000000005</v>
      </c>
      <c r="N54" s="6">
        <f t="shared" ref="N54" si="143">SUM(N46:N53)</f>
        <v>3499.2999999999997</v>
      </c>
      <c r="O54" s="6">
        <f>SUM(O46:O53)</f>
        <v>3125.5</v>
      </c>
      <c r="P54" s="6">
        <f>SUM(P46:P53)</f>
        <v>2799.5</v>
      </c>
      <c r="Q54" s="6">
        <f>SUM(Q46:Q53)</f>
        <v>3322.5</v>
      </c>
      <c r="S54" s="6">
        <f>SUM(S46:S53)</f>
        <v>3070.2</v>
      </c>
      <c r="T54" s="6">
        <f>SUM(T46:T53)</f>
        <v>2803.7</v>
      </c>
      <c r="U54" s="6">
        <f t="shared" ref="U54" si="144">SUM(U46:U53)</f>
        <v>3146.8999999999996</v>
      </c>
      <c r="V54" s="6">
        <f>SUM(V46:V53)</f>
        <v>2709.0000000000009</v>
      </c>
      <c r="AW54" s="6">
        <f>SUM(AW46:AW53)</f>
        <v>2472.6</v>
      </c>
      <c r="AX54" s="6"/>
    </row>
    <row r="55" spans="2:60" x14ac:dyDescent="0.15">
      <c r="K55" s="6"/>
      <c r="S55" s="6"/>
      <c r="T55" s="6"/>
      <c r="U55" s="6"/>
      <c r="V55" s="6"/>
    </row>
    <row r="56" spans="2:60" x14ac:dyDescent="0.15">
      <c r="B56" t="s">
        <v>59</v>
      </c>
      <c r="K56" s="6">
        <v>388.6</v>
      </c>
      <c r="L56" s="6">
        <v>409.7</v>
      </c>
      <c r="M56" s="6">
        <v>711.5</v>
      </c>
      <c r="N56" s="6">
        <v>471</v>
      </c>
      <c r="O56" s="6">
        <v>386.8</v>
      </c>
      <c r="P56" s="6">
        <v>217.4</v>
      </c>
      <c r="Q56" s="6">
        <v>888.4</v>
      </c>
      <c r="S56" s="6">
        <v>561.4</v>
      </c>
      <c r="T56" s="6">
        <v>378</v>
      </c>
      <c r="U56" s="6">
        <v>812.7</v>
      </c>
      <c r="V56" s="6">
        <v>324</v>
      </c>
      <c r="AW56" s="6">
        <v>341.8</v>
      </c>
      <c r="AX56" s="6"/>
    </row>
    <row r="57" spans="2:60" x14ac:dyDescent="0.15">
      <c r="B57" t="s">
        <v>60</v>
      </c>
      <c r="K57" s="6">
        <v>561.79999999999995</v>
      </c>
      <c r="L57" s="6">
        <v>563.1</v>
      </c>
      <c r="M57" s="6">
        <v>608.5</v>
      </c>
      <c r="N57" s="6">
        <v>668.9</v>
      </c>
      <c r="O57" s="6">
        <v>533.29999999999995</v>
      </c>
      <c r="P57" s="6">
        <v>512.1</v>
      </c>
      <c r="Q57" s="6">
        <v>504.2</v>
      </c>
      <c r="S57" s="6">
        <v>546.4</v>
      </c>
      <c r="T57" s="6">
        <v>487.5</v>
      </c>
      <c r="U57" s="6">
        <v>425.7</v>
      </c>
      <c r="V57" s="6">
        <v>412</v>
      </c>
      <c r="AW57" s="6">
        <v>626.79999999999995</v>
      </c>
      <c r="AX57" s="6"/>
    </row>
    <row r="58" spans="2:60" x14ac:dyDescent="0.15">
      <c r="B58" t="s">
        <v>57</v>
      </c>
      <c r="K58" s="6">
        <f>219.4+445</f>
        <v>664.4</v>
      </c>
      <c r="L58" s="6">
        <f>432+221.5</f>
        <v>653.5</v>
      </c>
      <c r="M58" s="6">
        <v>211.9</v>
      </c>
      <c r="N58" s="6">
        <f>210.7+393.7</f>
        <v>604.4</v>
      </c>
      <c r="O58" s="6">
        <f>200.3+374.5</f>
        <v>574.79999999999995</v>
      </c>
      <c r="P58" s="6">
        <f>194+367.4</f>
        <v>561.4</v>
      </c>
      <c r="Q58" s="6">
        <f>186.2+349.6</f>
        <v>535.79999999999995</v>
      </c>
      <c r="S58" s="6">
        <f>200.8+412.5</f>
        <v>613.29999999999995</v>
      </c>
      <c r="T58" s="6">
        <f>194.9+405.7</f>
        <v>600.6</v>
      </c>
      <c r="U58" s="6">
        <f>188.9+394.8</f>
        <v>583.70000000000005</v>
      </c>
      <c r="V58" s="6">
        <f>187.7+386.6</f>
        <v>574.29999999999995</v>
      </c>
      <c r="AW58" s="6">
        <f>227.4+456.7</f>
        <v>684.1</v>
      </c>
      <c r="AX58" s="6"/>
    </row>
    <row r="59" spans="2:60" x14ac:dyDescent="0.15">
      <c r="B59" t="s">
        <v>4</v>
      </c>
      <c r="K59" s="6">
        <f>48.1</f>
        <v>48.1</v>
      </c>
      <c r="L59" s="6">
        <v>47.5</v>
      </c>
      <c r="M59" s="6">
        <f>1.4+44.8</f>
        <v>46.199999999999996</v>
      </c>
      <c r="N59" s="6">
        <v>44.6</v>
      </c>
      <c r="O59" s="6">
        <f>6.5+35.7</f>
        <v>42.2</v>
      </c>
      <c r="P59" s="6">
        <f>8.9+32.1</f>
        <v>41</v>
      </c>
      <c r="Q59" s="6">
        <f>9.9+28.8</f>
        <v>38.700000000000003</v>
      </c>
      <c r="S59" s="6">
        <f>10.9+26.3</f>
        <v>37.200000000000003</v>
      </c>
      <c r="T59" s="6">
        <f>11+23.6</f>
        <v>34.6</v>
      </c>
      <c r="U59" s="6">
        <f>10.5+20</f>
        <v>30.5</v>
      </c>
      <c r="V59" s="6">
        <f>17.7+10.8</f>
        <v>28.5</v>
      </c>
      <c r="AW59" s="6">
        <f>121.7+216+25</f>
        <v>362.7</v>
      </c>
      <c r="AX59" s="6"/>
    </row>
    <row r="60" spans="2:60" x14ac:dyDescent="0.15">
      <c r="B60" t="s">
        <v>61</v>
      </c>
      <c r="K60" s="6">
        <v>20.3</v>
      </c>
      <c r="L60" s="6">
        <v>20</v>
      </c>
      <c r="M60" s="6">
        <f>19.3+409.7</f>
        <v>429</v>
      </c>
      <c r="N60" s="6">
        <v>107.9</v>
      </c>
      <c r="O60" s="6">
        <v>137.69999999999999</v>
      </c>
      <c r="P60" s="6">
        <v>124.1</v>
      </c>
      <c r="Q60" s="6">
        <v>110.4</v>
      </c>
      <c r="S60" s="6">
        <v>40.299999999999997</v>
      </c>
      <c r="T60" s="6">
        <v>35.799999999999997</v>
      </c>
      <c r="U60" s="6">
        <v>31.5</v>
      </c>
      <c r="V60" s="6">
        <v>31.6</v>
      </c>
      <c r="AW60" s="6">
        <v>20.5</v>
      </c>
      <c r="AX60" s="6"/>
    </row>
    <row r="61" spans="2:60" x14ac:dyDescent="0.15">
      <c r="B61" t="s">
        <v>62</v>
      </c>
      <c r="K61" s="6">
        <v>879.5</v>
      </c>
      <c r="L61" s="6">
        <v>1852</v>
      </c>
      <c r="M61" s="6">
        <v>1754.9</v>
      </c>
      <c r="N61" s="6">
        <v>1602.5</v>
      </c>
      <c r="O61" s="6">
        <v>1450.7</v>
      </c>
      <c r="P61" s="6">
        <v>1343.5</v>
      </c>
      <c r="Q61" s="6">
        <v>1245</v>
      </c>
      <c r="S61" s="6">
        <v>1271.5999999999999</v>
      </c>
      <c r="T61" s="6">
        <v>1267.2</v>
      </c>
      <c r="U61" s="6">
        <v>1262.8</v>
      </c>
      <c r="V61" s="6">
        <v>1338.6</v>
      </c>
      <c r="AW61" s="6">
        <v>436.7</v>
      </c>
      <c r="AX61" s="6"/>
    </row>
    <row r="62" spans="2:60" x14ac:dyDescent="0.15">
      <c r="B62" t="s">
        <v>63</v>
      </c>
      <c r="K62" s="6">
        <f>SUM(K56:K61)</f>
        <v>2562.6999999999998</v>
      </c>
      <c r="L62" s="6">
        <f>SUM(L56:L61)</f>
        <v>3545.8</v>
      </c>
      <c r="M62" s="6">
        <f>SUM(M56:M61)</f>
        <v>3762</v>
      </c>
      <c r="N62" s="6">
        <f t="shared" ref="N62" si="145">SUM(N56:N61)</f>
        <v>3499.3</v>
      </c>
      <c r="O62" s="6">
        <f>SUM(O56:O61)</f>
        <v>3125.5</v>
      </c>
      <c r="P62" s="6">
        <f>SUM(P56:P61)</f>
        <v>2799.5</v>
      </c>
      <c r="Q62" s="6">
        <f>SUM(Q56:Q61)</f>
        <v>3322.5</v>
      </c>
      <c r="S62" s="6">
        <f>SUM(S56:S61)</f>
        <v>3070.2</v>
      </c>
      <c r="T62" s="6">
        <f>SUM(T56:T61)</f>
        <v>2803.7</v>
      </c>
      <c r="U62" s="6">
        <f t="shared" ref="U62" si="146">SUM(U56:U61)</f>
        <v>3146.9</v>
      </c>
      <c r="V62" s="6">
        <f>SUM(V56:V61)</f>
        <v>2709</v>
      </c>
      <c r="AW62" s="6">
        <f>SUM(AW56:AW61)</f>
        <v>2472.6</v>
      </c>
      <c r="AX62" s="6"/>
    </row>
    <row r="63" spans="2:60" x14ac:dyDescent="0.15">
      <c r="K63" s="6"/>
      <c r="N63" s="6"/>
      <c r="O63" s="6"/>
    </row>
    <row r="64" spans="2:60" s="2" customFormat="1" x14ac:dyDescent="0.15">
      <c r="B64" s="2" t="s">
        <v>34</v>
      </c>
      <c r="C64" s="6"/>
      <c r="D64" s="6"/>
      <c r="E64" s="6"/>
      <c r="F64" s="6"/>
      <c r="G64" s="6"/>
      <c r="H64" s="6"/>
      <c r="I64" s="6"/>
      <c r="J64" s="6"/>
      <c r="K64" s="6">
        <f t="shared" ref="K64:Q64" si="147">K34</f>
        <v>-66.199999999999875</v>
      </c>
      <c r="L64" s="6">
        <f t="shared" si="147"/>
        <v>-61.599999999999888</v>
      </c>
      <c r="M64" s="6">
        <f t="shared" si="147"/>
        <v>-105.39999999999986</v>
      </c>
      <c r="N64" s="6">
        <f t="shared" si="147"/>
        <v>-141.39999999999995</v>
      </c>
      <c r="O64" s="6">
        <f t="shared" si="147"/>
        <v>-157.89999999999998</v>
      </c>
      <c r="P64" s="6">
        <f t="shared" si="147"/>
        <v>-106.19999999999996</v>
      </c>
      <c r="Q64" s="6">
        <f t="shared" si="147"/>
        <v>-94.699999999999832</v>
      </c>
      <c r="R64" s="6"/>
      <c r="S64" s="6">
        <f>S34</f>
        <v>-50.500000000000036</v>
      </c>
      <c r="T64" s="6">
        <f>T34</f>
        <v>-3.2000000000000233</v>
      </c>
      <c r="U64" s="6">
        <f>U34</f>
        <v>-3.1000000000000449</v>
      </c>
      <c r="V64" s="6">
        <f>+V34</f>
        <v>70.400000000000176</v>
      </c>
      <c r="W64" s="6"/>
      <c r="X64" s="6"/>
      <c r="Y64" s="6"/>
      <c r="Z64" s="6"/>
      <c r="AG64" s="6"/>
      <c r="AH64" s="6"/>
      <c r="AI64" s="6"/>
      <c r="AJ64" s="6"/>
      <c r="AK64" s="6"/>
      <c r="AL64" s="6"/>
      <c r="AM64" s="6"/>
      <c r="AN64" s="6"/>
      <c r="AP64" s="6"/>
      <c r="AQ64" s="6"/>
      <c r="AR64" s="6"/>
      <c r="AS64" s="6"/>
      <c r="AT64" s="6">
        <f t="shared" ref="AT64:BH64" si="148">AT34</f>
        <v>366.49999999999886</v>
      </c>
      <c r="AU64" s="6">
        <f t="shared" si="148"/>
        <v>221.0999999999994</v>
      </c>
      <c r="AV64" s="6">
        <f t="shared" si="148"/>
        <v>-78.800000000000239</v>
      </c>
      <c r="AW64" s="6">
        <f t="shared" si="148"/>
        <v>-231.50000000000097</v>
      </c>
      <c r="AX64" s="6">
        <f t="shared" si="148"/>
        <v>-374.59999999999968</v>
      </c>
      <c r="AY64" s="6">
        <f t="shared" si="148"/>
        <v>-329.2480000000005</v>
      </c>
      <c r="AZ64" s="6">
        <f t="shared" si="148"/>
        <v>-410.10695999999962</v>
      </c>
      <c r="BA64" s="6">
        <f t="shared" si="148"/>
        <v>-356.71045039999956</v>
      </c>
      <c r="BB64" s="6">
        <f t="shared" si="148"/>
        <v>-297.53911869599983</v>
      </c>
      <c r="BC64" s="6">
        <f t="shared" si="148"/>
        <v>-240.90282999813579</v>
      </c>
      <c r="BD64" s="6">
        <f t="shared" si="148"/>
        <v>-223.19441349032789</v>
      </c>
      <c r="BE64" s="6">
        <f t="shared" si="148"/>
        <v>-227.17237602757413</v>
      </c>
      <c r="BF64" s="6">
        <f t="shared" si="148"/>
        <v>-212.2638254031055</v>
      </c>
      <c r="BG64" s="6">
        <f t="shared" si="148"/>
        <v>-227.63584937773413</v>
      </c>
      <c r="BH64" s="6">
        <f t="shared" si="148"/>
        <v>-214.53755248088663</v>
      </c>
    </row>
    <row r="65" spans="2:64" s="2" customFormat="1" x14ac:dyDescent="0.15">
      <c r="B65" s="2" t="s">
        <v>35</v>
      </c>
      <c r="C65" s="6"/>
      <c r="D65" s="6"/>
      <c r="E65" s="6"/>
      <c r="F65" s="6"/>
      <c r="G65" s="6"/>
      <c r="H65" s="6"/>
      <c r="I65" s="6"/>
      <c r="J65" s="6"/>
      <c r="K65" s="6">
        <v>-66.8</v>
      </c>
      <c r="L65" s="6">
        <f>-128.4-K65</f>
        <v>-61.600000000000009</v>
      </c>
      <c r="M65" s="6">
        <f>-233.8-L65-K65</f>
        <v>-105.39999999999999</v>
      </c>
      <c r="N65" s="6">
        <f>-383.3-M65-L65-K65</f>
        <v>-149.5</v>
      </c>
      <c r="O65" s="6">
        <v>-157.9</v>
      </c>
      <c r="P65" s="6">
        <v>-108.7</v>
      </c>
      <c r="Q65" s="6"/>
      <c r="R65" s="6"/>
      <c r="S65" s="6">
        <v>-50.5</v>
      </c>
      <c r="T65" s="6">
        <f>-53.3-S65</f>
        <v>-2.7999999999999972</v>
      </c>
      <c r="U65" s="6">
        <f>-56.4-T65-S65</f>
        <v>-3.1000000000000014</v>
      </c>
      <c r="V65" s="6">
        <f>6.7-U65-T65-S65</f>
        <v>63.099999999999994</v>
      </c>
      <c r="W65" s="6"/>
      <c r="X65" s="6"/>
      <c r="Y65" s="6"/>
      <c r="Z65" s="6"/>
      <c r="AG65" s="6"/>
      <c r="AH65" s="6"/>
      <c r="AI65" s="6"/>
      <c r="AJ65" s="6"/>
      <c r="AK65" s="6"/>
      <c r="AL65" s="6"/>
      <c r="AM65" s="6"/>
      <c r="AN65" s="6"/>
      <c r="AP65" s="6"/>
      <c r="AQ65" s="6"/>
      <c r="AR65" s="6"/>
      <c r="AS65" s="6"/>
      <c r="AT65" s="2">
        <v>34.700000000000003</v>
      </c>
      <c r="AU65" s="2">
        <v>-673</v>
      </c>
      <c r="AV65" s="6">
        <v>-470.9</v>
      </c>
      <c r="AW65" s="6">
        <v>-215.3</v>
      </c>
      <c r="AX65" s="6">
        <v>-381.3</v>
      </c>
      <c r="AY65" s="6"/>
    </row>
    <row r="66" spans="2:64" s="2" customFormat="1" x14ac:dyDescent="0.15">
      <c r="B66" s="2" t="s">
        <v>36</v>
      </c>
      <c r="C66" s="6"/>
      <c r="D66" s="6"/>
      <c r="E66" s="6"/>
      <c r="F66" s="6"/>
      <c r="G66" s="6"/>
      <c r="H66" s="6"/>
      <c r="I66" s="6"/>
      <c r="J66" s="6"/>
      <c r="K66" s="6">
        <v>18.7</v>
      </c>
      <c r="L66" s="6">
        <f>36.3-K66</f>
        <v>17.599999999999998</v>
      </c>
      <c r="M66" s="6">
        <f>53.2-L66-K66</f>
        <v>16.900000000000009</v>
      </c>
      <c r="N66" s="6">
        <f>77.2-M66-L66-K66</f>
        <v>24.000000000000004</v>
      </c>
      <c r="O66" s="6">
        <v>17.100000000000001</v>
      </c>
      <c r="P66" s="6">
        <v>15.3</v>
      </c>
      <c r="Q66" s="6"/>
      <c r="R66" s="6"/>
      <c r="S66" s="6">
        <v>13.7</v>
      </c>
      <c r="T66" s="6">
        <f>26.3-S66</f>
        <v>12.600000000000001</v>
      </c>
      <c r="U66" s="6">
        <f>37.6-T66-S66</f>
        <v>11.3</v>
      </c>
      <c r="V66" s="6">
        <f>56.2-U66-T66-S66</f>
        <v>18.600000000000005</v>
      </c>
      <c r="W66" s="6"/>
      <c r="X66" s="6"/>
      <c r="Y66" s="6"/>
      <c r="Z66" s="6"/>
      <c r="AG66" s="6"/>
      <c r="AH66" s="6"/>
      <c r="AI66" s="6"/>
      <c r="AJ66" s="6"/>
      <c r="AK66" s="6"/>
      <c r="AL66" s="6"/>
      <c r="AM66" s="6"/>
      <c r="AN66" s="6"/>
      <c r="AP66" s="6"/>
      <c r="AQ66" s="6"/>
      <c r="AR66" s="6"/>
      <c r="AS66" s="6"/>
      <c r="AT66" s="2">
        <v>151.9</v>
      </c>
      <c r="AU66" s="2">
        <v>126.9</v>
      </c>
      <c r="AV66" s="6">
        <v>96.2</v>
      </c>
      <c r="AW66" s="6">
        <v>80.7</v>
      </c>
      <c r="AX66" s="6">
        <v>77.2</v>
      </c>
      <c r="AY66" s="6"/>
      <c r="BK66" s="10" t="s">
        <v>94</v>
      </c>
      <c r="BL66" s="14">
        <v>0.1</v>
      </c>
    </row>
    <row r="67" spans="2:64" s="2" customFormat="1" x14ac:dyDescent="0.15">
      <c r="B67" s="2" t="s">
        <v>84</v>
      </c>
      <c r="C67" s="6"/>
      <c r="D67" s="6"/>
      <c r="E67" s="6"/>
      <c r="F67" s="6"/>
      <c r="G67" s="6"/>
      <c r="H67" s="6"/>
      <c r="I67" s="6"/>
      <c r="J67" s="6"/>
      <c r="K67" s="6">
        <v>18.2</v>
      </c>
      <c r="L67" s="6">
        <f>18.2-K67</f>
        <v>0</v>
      </c>
      <c r="M67" s="6">
        <f>18.2-L67-K67</f>
        <v>0</v>
      </c>
      <c r="N67" s="6">
        <f>18.2-M67-L67-K67</f>
        <v>0</v>
      </c>
      <c r="O67" s="6">
        <v>0</v>
      </c>
      <c r="P67" s="6">
        <v>0</v>
      </c>
      <c r="Q67" s="6"/>
      <c r="R67" s="6"/>
      <c r="S67" s="6">
        <v>0</v>
      </c>
      <c r="T67" s="6">
        <v>0</v>
      </c>
      <c r="U67" s="6">
        <v>0</v>
      </c>
      <c r="V67" s="6">
        <v>0</v>
      </c>
      <c r="W67" s="6"/>
      <c r="X67" s="6"/>
      <c r="Y67" s="6"/>
      <c r="Z67" s="6"/>
      <c r="AG67" s="6"/>
      <c r="AH67" s="6"/>
      <c r="AI67" s="6"/>
      <c r="AJ67" s="6"/>
      <c r="AK67" s="6"/>
      <c r="AL67" s="6"/>
      <c r="AM67" s="6"/>
      <c r="AN67" s="6"/>
      <c r="AP67" s="6"/>
      <c r="AQ67" s="6"/>
      <c r="AR67" s="6"/>
      <c r="AS67" s="6"/>
      <c r="AT67" s="2">
        <v>0</v>
      </c>
      <c r="AU67" s="2">
        <v>0</v>
      </c>
      <c r="AV67" s="6">
        <v>0</v>
      </c>
      <c r="AW67" s="6">
        <v>0</v>
      </c>
      <c r="AX67" s="6">
        <v>18.2</v>
      </c>
      <c r="AY67" s="6"/>
      <c r="BK67" t="s">
        <v>95</v>
      </c>
      <c r="BL67" s="15">
        <v>0</v>
      </c>
    </row>
    <row r="68" spans="2:64" s="2" customFormat="1" x14ac:dyDescent="0.15">
      <c r="B68" s="2" t="s">
        <v>85</v>
      </c>
      <c r="C68" s="6"/>
      <c r="D68" s="6"/>
      <c r="E68" s="6"/>
      <c r="F68" s="6"/>
      <c r="G68" s="6"/>
      <c r="H68" s="6"/>
      <c r="I68" s="6"/>
      <c r="J68" s="6"/>
      <c r="K68" s="6">
        <v>0.6</v>
      </c>
      <c r="L68" s="6">
        <f>0.6-K68</f>
        <v>0</v>
      </c>
      <c r="M68" s="6">
        <f>0.6-L68-K68</f>
        <v>0</v>
      </c>
      <c r="N68" s="6">
        <f>6.7-M68-L68-K68</f>
        <v>6.1000000000000005</v>
      </c>
      <c r="O68" s="6">
        <v>0</v>
      </c>
      <c r="P68" s="6">
        <v>0</v>
      </c>
      <c r="Q68" s="6"/>
      <c r="R68" s="6"/>
      <c r="S68" s="6">
        <v>0</v>
      </c>
      <c r="T68" s="6">
        <v>0</v>
      </c>
      <c r="U68" s="6">
        <v>0</v>
      </c>
      <c r="V68" s="6">
        <v>0</v>
      </c>
      <c r="W68" s="6"/>
      <c r="X68" s="6"/>
      <c r="Y68" s="6"/>
      <c r="Z68" s="6"/>
      <c r="AG68" s="6"/>
      <c r="AH68" s="6"/>
      <c r="AI68" s="6"/>
      <c r="AJ68" s="6"/>
      <c r="AK68" s="6"/>
      <c r="AL68" s="6"/>
      <c r="AM68" s="6"/>
      <c r="AN68" s="6"/>
      <c r="AP68" s="6"/>
      <c r="AQ68" s="6"/>
      <c r="AR68" s="6"/>
      <c r="AS68" s="6"/>
      <c r="AT68" s="2">
        <v>0</v>
      </c>
      <c r="AU68" s="2">
        <v>0</v>
      </c>
      <c r="AV68" s="6">
        <v>0</v>
      </c>
      <c r="AW68" s="6">
        <v>0</v>
      </c>
      <c r="AX68" s="6">
        <v>6.7</v>
      </c>
      <c r="AY68" s="6"/>
      <c r="BK68" s="2" t="s">
        <v>100</v>
      </c>
      <c r="BL68" s="15">
        <v>0.02</v>
      </c>
    </row>
    <row r="69" spans="2:64" s="2" customFormat="1" x14ac:dyDescent="0.15">
      <c r="B69" s="2" t="s">
        <v>81</v>
      </c>
      <c r="C69" s="6"/>
      <c r="D69" s="6"/>
      <c r="E69" s="6"/>
      <c r="F69" s="6"/>
      <c r="G69" s="6"/>
      <c r="H69" s="6"/>
      <c r="I69" s="6"/>
      <c r="J69" s="6"/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/>
      <c r="R69" s="6"/>
      <c r="S69" s="6">
        <v>0</v>
      </c>
      <c r="T69" s="6">
        <v>0</v>
      </c>
      <c r="U69" s="6">
        <v>0</v>
      </c>
      <c r="V69" s="6">
        <v>0</v>
      </c>
      <c r="W69" s="6"/>
      <c r="X69" s="6"/>
      <c r="Y69" s="6"/>
      <c r="Z69" s="6"/>
      <c r="AG69" s="6"/>
      <c r="AH69" s="6"/>
      <c r="AI69" s="6"/>
      <c r="AJ69" s="6"/>
      <c r="AK69" s="6"/>
      <c r="AL69" s="6"/>
      <c r="AM69" s="6"/>
      <c r="AN69" s="6"/>
      <c r="AP69" s="6"/>
      <c r="AQ69" s="6"/>
      <c r="AR69" s="6"/>
      <c r="AS69" s="6"/>
      <c r="AT69" s="2">
        <v>59.1</v>
      </c>
      <c r="AU69" s="2">
        <v>57.3</v>
      </c>
      <c r="AV69" s="6">
        <v>0</v>
      </c>
      <c r="AW69" s="6">
        <v>0</v>
      </c>
      <c r="AX69" s="6">
        <v>0</v>
      </c>
      <c r="AY69" s="6"/>
      <c r="BK69" t="s">
        <v>96</v>
      </c>
      <c r="BL69" s="2">
        <f>NPV(BL66,AY34:CT34)+Main!M5-Main!M6</f>
        <v>-1581.5150474471795</v>
      </c>
    </row>
    <row r="70" spans="2:64" s="2" customFormat="1" x14ac:dyDescent="0.15">
      <c r="B70" s="2" t="s">
        <v>82</v>
      </c>
      <c r="C70" s="6"/>
      <c r="D70" s="6"/>
      <c r="E70" s="6"/>
      <c r="F70" s="6"/>
      <c r="G70" s="6"/>
      <c r="H70" s="6"/>
      <c r="I70" s="6"/>
      <c r="J70" s="6"/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/>
      <c r="R70" s="6"/>
      <c r="S70" s="6">
        <v>0</v>
      </c>
      <c r="T70" s="6">
        <v>0</v>
      </c>
      <c r="U70" s="6">
        <v>0</v>
      </c>
      <c r="V70" s="6">
        <v>0</v>
      </c>
      <c r="W70" s="6"/>
      <c r="X70" s="6"/>
      <c r="Y70" s="6"/>
      <c r="Z70" s="6"/>
      <c r="AG70" s="6"/>
      <c r="AH70" s="6"/>
      <c r="AI70" s="6"/>
      <c r="AJ70" s="6"/>
      <c r="AK70" s="6"/>
      <c r="AL70" s="6"/>
      <c r="AM70" s="6"/>
      <c r="AN70" s="6"/>
      <c r="AP70" s="6"/>
      <c r="AQ70" s="6"/>
      <c r="AR70" s="6"/>
      <c r="AS70" s="6"/>
      <c r="AT70" s="2">
        <v>395.1</v>
      </c>
      <c r="AU70" s="2">
        <v>1015.9</v>
      </c>
      <c r="AV70" s="6">
        <v>385.6</v>
      </c>
      <c r="AW70" s="6">
        <v>15.5</v>
      </c>
      <c r="AX70" s="6">
        <v>0</v>
      </c>
      <c r="AY70" s="6"/>
      <c r="BK70" s="7" t="s">
        <v>0</v>
      </c>
      <c r="BL70" s="16">
        <f>BL69/Main!M3</f>
        <v>-5.1924783929689333</v>
      </c>
    </row>
    <row r="71" spans="2:64" s="2" customFormat="1" x14ac:dyDescent="0.15">
      <c r="B71" s="2" t="s">
        <v>37</v>
      </c>
      <c r="C71" s="6"/>
      <c r="D71" s="6"/>
      <c r="E71" s="6"/>
      <c r="F71" s="6"/>
      <c r="G71" s="6"/>
      <c r="H71" s="6"/>
      <c r="I71" s="6"/>
      <c r="J71" s="6"/>
      <c r="K71" s="6">
        <v>5.7</v>
      </c>
      <c r="L71" s="6">
        <f>14.5-K71</f>
        <v>8.8000000000000007</v>
      </c>
      <c r="M71" s="6">
        <f>20.7-L71-K71</f>
        <v>6.1999999999999984</v>
      </c>
      <c r="N71" s="6">
        <f>30.5-M71-L71-K71</f>
        <v>9.8000000000000007</v>
      </c>
      <c r="O71" s="6">
        <v>11.1</v>
      </c>
      <c r="P71" s="6">
        <v>7.8</v>
      </c>
      <c r="Q71" s="6"/>
      <c r="R71" s="6"/>
      <c r="S71" s="6">
        <v>7.9</v>
      </c>
      <c r="T71" s="6">
        <f>7.6-S71</f>
        <v>-0.30000000000000071</v>
      </c>
      <c r="U71" s="6">
        <f>14-T71-S71</f>
        <v>6.4</v>
      </c>
      <c r="V71" s="6">
        <f>22.2-U71-T71-S71</f>
        <v>8.2000000000000011</v>
      </c>
      <c r="W71" s="6"/>
      <c r="X71" s="6"/>
      <c r="Y71" s="6"/>
      <c r="Z71" s="6"/>
      <c r="AG71" s="6"/>
      <c r="AH71" s="6"/>
      <c r="AI71" s="6"/>
      <c r="AJ71" s="6"/>
      <c r="AK71" s="6"/>
      <c r="AL71" s="6"/>
      <c r="AM71" s="6"/>
      <c r="AN71" s="6"/>
      <c r="AP71" s="6"/>
      <c r="AQ71" s="6"/>
      <c r="AR71" s="6"/>
      <c r="AS71" s="6"/>
      <c r="AT71" s="2">
        <v>25.6</v>
      </c>
      <c r="AU71" s="2">
        <v>10.7</v>
      </c>
      <c r="AV71" s="6">
        <v>8.9</v>
      </c>
      <c r="AW71" s="6">
        <v>7.9</v>
      </c>
      <c r="AX71" s="6">
        <v>30.5</v>
      </c>
      <c r="AY71" s="6"/>
      <c r="BK71" s="2" t="s">
        <v>97</v>
      </c>
      <c r="BL71" s="15">
        <f>BL70/Main!M2-1</f>
        <v>-1.2063783145059195</v>
      </c>
    </row>
    <row r="72" spans="2:64" s="2" customFormat="1" x14ac:dyDescent="0.15">
      <c r="B72" s="2" t="s">
        <v>58</v>
      </c>
      <c r="C72" s="6"/>
      <c r="D72" s="6"/>
      <c r="E72" s="6"/>
      <c r="F72" s="6"/>
      <c r="G72" s="6"/>
      <c r="H72" s="6"/>
      <c r="I72" s="6"/>
      <c r="J72" s="6"/>
      <c r="K72" s="6">
        <v>0</v>
      </c>
      <c r="L72" s="6">
        <v>0</v>
      </c>
      <c r="M72" s="6">
        <v>0</v>
      </c>
      <c r="N72" s="6">
        <f>-16.3-M72-L72-K72</f>
        <v>-16.3</v>
      </c>
      <c r="O72" s="6">
        <v>0</v>
      </c>
      <c r="P72" s="6">
        <v>0</v>
      </c>
      <c r="Q72" s="6"/>
      <c r="R72" s="6"/>
      <c r="S72" s="6">
        <v>0</v>
      </c>
      <c r="T72" s="6">
        <v>0</v>
      </c>
      <c r="U72" s="6">
        <v>0</v>
      </c>
      <c r="V72" s="6">
        <f>-0.1-U72-T72-S72</f>
        <v>-0.1</v>
      </c>
      <c r="W72" s="6"/>
      <c r="X72" s="6"/>
      <c r="Y72" s="6"/>
      <c r="Z72" s="6"/>
      <c r="AG72" s="6"/>
      <c r="AH72" s="6"/>
      <c r="AI72" s="6"/>
      <c r="AJ72" s="6"/>
      <c r="AK72" s="6"/>
      <c r="AL72" s="6"/>
      <c r="AM72" s="6"/>
      <c r="AN72" s="6"/>
      <c r="AP72" s="6"/>
      <c r="AQ72" s="6"/>
      <c r="AR72" s="6"/>
      <c r="AS72" s="6"/>
      <c r="AT72" s="2">
        <v>-107.9</v>
      </c>
      <c r="AU72" s="2">
        <v>-4.0999999999999996</v>
      </c>
      <c r="AV72" s="6">
        <v>61.4</v>
      </c>
      <c r="AW72" s="6">
        <v>80.3</v>
      </c>
      <c r="AX72" s="6">
        <v>-16.3</v>
      </c>
      <c r="AY72" s="6"/>
    </row>
    <row r="73" spans="2:64" s="2" customFormat="1" x14ac:dyDescent="0.15">
      <c r="B73" s="2" t="s">
        <v>38</v>
      </c>
      <c r="C73" s="6"/>
      <c r="D73" s="6"/>
      <c r="E73" s="6"/>
      <c r="F73" s="6"/>
      <c r="G73" s="6"/>
      <c r="H73" s="6"/>
      <c r="I73" s="6"/>
      <c r="J73" s="6"/>
      <c r="K73" s="6">
        <v>0.4</v>
      </c>
      <c r="L73" s="6">
        <f>0.5-K73</f>
        <v>9.9999999999999978E-2</v>
      </c>
      <c r="M73" s="6">
        <v>0</v>
      </c>
      <c r="N73" s="6">
        <f>5.4-M73-L73-K73</f>
        <v>4.9000000000000004</v>
      </c>
      <c r="O73" s="6">
        <v>-6.9</v>
      </c>
      <c r="P73" s="6">
        <v>0</v>
      </c>
      <c r="Q73" s="6"/>
      <c r="R73" s="6"/>
      <c r="S73" s="6">
        <v>0</v>
      </c>
      <c r="T73" s="6">
        <v>0</v>
      </c>
      <c r="U73" s="6">
        <f>-5-T73-S73</f>
        <v>-5</v>
      </c>
      <c r="V73" s="6">
        <f>4.8-U73-T73-S73</f>
        <v>9.8000000000000007</v>
      </c>
      <c r="W73" s="6"/>
      <c r="X73" s="6"/>
      <c r="Y73" s="6"/>
      <c r="Z73" s="6"/>
      <c r="AG73" s="6"/>
      <c r="AH73" s="6"/>
      <c r="AI73" s="6"/>
      <c r="AJ73" s="6"/>
      <c r="AK73" s="6"/>
      <c r="AL73" s="6"/>
      <c r="AM73" s="6"/>
      <c r="AN73" s="6"/>
      <c r="AP73" s="6"/>
      <c r="AQ73" s="6"/>
      <c r="AR73" s="6"/>
      <c r="AS73" s="6"/>
      <c r="AT73" s="2">
        <v>-6.4</v>
      </c>
      <c r="AU73" s="2">
        <v>-100.8</v>
      </c>
      <c r="AV73" s="6">
        <v>1.9</v>
      </c>
      <c r="AW73" s="6">
        <v>-27.3</v>
      </c>
      <c r="AX73" s="6">
        <v>0</v>
      </c>
      <c r="AY73" s="6"/>
    </row>
    <row r="74" spans="2:64" s="2" customFormat="1" x14ac:dyDescent="0.15">
      <c r="B74" s="2" t="s">
        <v>39</v>
      </c>
      <c r="C74" s="6"/>
      <c r="D74" s="6"/>
      <c r="E74" s="6"/>
      <c r="F74" s="6"/>
      <c r="G74" s="6"/>
      <c r="H74" s="6"/>
      <c r="I74" s="6"/>
      <c r="J74" s="6"/>
      <c r="K74" s="6">
        <v>0</v>
      </c>
      <c r="L74" s="6">
        <v>0</v>
      </c>
      <c r="M74" s="6">
        <v>0</v>
      </c>
      <c r="N74" s="6">
        <v>0</v>
      </c>
      <c r="O74" s="6">
        <v>33.700000000000003</v>
      </c>
      <c r="P74" s="6">
        <v>2.5</v>
      </c>
      <c r="Q74" s="6"/>
      <c r="R74" s="6"/>
      <c r="S74" s="6">
        <v>0</v>
      </c>
      <c r="T74" s="6">
        <v>0</v>
      </c>
      <c r="U74" s="6">
        <v>0</v>
      </c>
      <c r="V74" s="6">
        <v>0</v>
      </c>
      <c r="W74" s="6"/>
      <c r="X74" s="6"/>
      <c r="Y74" s="6"/>
      <c r="Z74" s="6"/>
      <c r="AG74" s="6"/>
      <c r="AH74" s="6"/>
      <c r="AI74" s="6"/>
      <c r="AJ74" s="6"/>
      <c r="AK74" s="6"/>
      <c r="AL74" s="6"/>
      <c r="AM74" s="6"/>
      <c r="AN74" s="6"/>
      <c r="AP74" s="6"/>
      <c r="AQ74" s="6"/>
      <c r="AR74" s="6"/>
      <c r="AS74" s="6"/>
      <c r="AT74" s="2">
        <v>0</v>
      </c>
      <c r="AU74" s="2">
        <v>0</v>
      </c>
      <c r="AV74" s="6">
        <v>0</v>
      </c>
      <c r="AW74" s="6">
        <v>0</v>
      </c>
      <c r="AX74" s="6">
        <v>0</v>
      </c>
      <c r="AY74" s="6"/>
    </row>
    <row r="75" spans="2:64" s="2" customFormat="1" x14ac:dyDescent="0.15">
      <c r="B75" s="2" t="s">
        <v>40</v>
      </c>
      <c r="C75" s="6"/>
      <c r="D75" s="6"/>
      <c r="E75" s="6"/>
      <c r="F75" s="6"/>
      <c r="G75" s="6"/>
      <c r="H75" s="6"/>
      <c r="I75" s="6"/>
      <c r="J75" s="6"/>
      <c r="K75" s="6">
        <v>0</v>
      </c>
      <c r="L75" s="6">
        <v>0</v>
      </c>
      <c r="M75" s="6">
        <f>1.9-L75-K75</f>
        <v>1.9</v>
      </c>
      <c r="N75" s="6">
        <v>0</v>
      </c>
      <c r="O75" s="6">
        <v>0.4</v>
      </c>
      <c r="P75" s="6">
        <v>1.2</v>
      </c>
      <c r="Q75" s="6"/>
      <c r="R75" s="6"/>
      <c r="S75" s="6">
        <v>0.6</v>
      </c>
      <c r="T75" s="6">
        <f>0.6-S75</f>
        <v>0</v>
      </c>
      <c r="U75" s="6">
        <v>0</v>
      </c>
      <c r="V75" s="6">
        <f>1.5-U75-T75-S75</f>
        <v>0.9</v>
      </c>
      <c r="W75" s="6"/>
      <c r="X75" s="6"/>
      <c r="Y75" s="6"/>
      <c r="Z75" s="6"/>
      <c r="AG75" s="6"/>
      <c r="AH75" s="6"/>
      <c r="AI75" s="6"/>
      <c r="AJ75" s="6"/>
      <c r="AK75" s="6"/>
      <c r="AL75" s="6"/>
      <c r="AM75" s="6"/>
      <c r="AN75" s="6"/>
      <c r="AP75" s="6"/>
      <c r="AQ75" s="6"/>
      <c r="AR75" s="6"/>
      <c r="AS75" s="6"/>
      <c r="AT75" s="2">
        <v>8.5</v>
      </c>
      <c r="AU75" s="2">
        <v>2</v>
      </c>
      <c r="AV75" s="6">
        <v>9.1</v>
      </c>
      <c r="AW75" s="6">
        <v>0</v>
      </c>
      <c r="AX75" s="6">
        <v>5.4</v>
      </c>
      <c r="AY75" s="6"/>
    </row>
    <row r="76" spans="2:64" s="2" customFormat="1" x14ac:dyDescent="0.15">
      <c r="B76" s="2" t="s">
        <v>41</v>
      </c>
      <c r="C76" s="6"/>
      <c r="D76" s="6"/>
      <c r="E76" s="6"/>
      <c r="F76" s="6"/>
      <c r="G76" s="6"/>
      <c r="H76" s="6"/>
      <c r="I76" s="6"/>
      <c r="J76" s="6"/>
      <c r="K76" s="6">
        <v>-0.5</v>
      </c>
      <c r="L76" s="6">
        <f>-0.6-K76</f>
        <v>-9.9999999999999978E-2</v>
      </c>
      <c r="M76" s="6">
        <f>-1.4-L76-K76</f>
        <v>-0.79999999999999982</v>
      </c>
      <c r="N76" s="6">
        <f>-3.5-M76-L76-K76</f>
        <v>-2.1</v>
      </c>
      <c r="O76" s="6">
        <v>-4.8</v>
      </c>
      <c r="P76" s="6">
        <v>-0.2</v>
      </c>
      <c r="Q76" s="6"/>
      <c r="R76" s="6"/>
      <c r="S76" s="6">
        <v>0.2</v>
      </c>
      <c r="T76" s="6">
        <f>-2.9-S76</f>
        <v>-3.1</v>
      </c>
      <c r="U76" s="6">
        <f>2.9-T76-S76</f>
        <v>5.8</v>
      </c>
      <c r="V76" s="6">
        <f>0.8-U76-T76-S76</f>
        <v>-2.1</v>
      </c>
      <c r="W76" s="6"/>
      <c r="X76" s="6"/>
      <c r="Y76" s="6"/>
      <c r="Z76" s="6"/>
      <c r="AG76" s="6"/>
      <c r="AH76" s="6"/>
      <c r="AI76" s="6"/>
      <c r="AJ76" s="6"/>
      <c r="AK76" s="6"/>
      <c r="AL76" s="6"/>
      <c r="AM76" s="6"/>
      <c r="AN76" s="6"/>
      <c r="AP76" s="6"/>
      <c r="AQ76" s="6"/>
      <c r="AR76" s="6"/>
      <c r="AS76" s="6"/>
      <c r="AT76" s="2">
        <v>-34.200000000000003</v>
      </c>
      <c r="AU76" s="2">
        <v>-36.200000000000003</v>
      </c>
      <c r="AV76" s="6">
        <v>4.0999999999999996</v>
      </c>
      <c r="AW76" s="6">
        <v>0.9</v>
      </c>
      <c r="AX76" s="6">
        <v>-3.5</v>
      </c>
      <c r="AY76" s="6"/>
    </row>
    <row r="77" spans="2:64" s="2" customFormat="1" x14ac:dyDescent="0.15">
      <c r="B77" s="2" t="s">
        <v>42</v>
      </c>
      <c r="C77" s="6"/>
      <c r="D77" s="6"/>
      <c r="E77" s="6"/>
      <c r="F77" s="6"/>
      <c r="G77" s="6"/>
      <c r="H77" s="6"/>
      <c r="I77" s="6"/>
      <c r="J77" s="6"/>
      <c r="K77" s="6">
        <f>3.1+32.4-2.9-1.2-11.4-15-0.1</f>
        <v>4.9000000000000004</v>
      </c>
      <c r="L77" s="6">
        <f>36.2+1.2-4-13.8+25.2-16.1-0.1-K77</f>
        <v>23.700000000000003</v>
      </c>
      <c r="M77" s="6">
        <f>21-545.2-5.1-12.9+376.9-18.1-L77-K77</f>
        <v>-212.00000000000009</v>
      </c>
      <c r="N77" s="6">
        <f>-38.4-329.6-6.5-21.7+224.4-0.9+1.5-M77-L77-K77</f>
        <v>12.200000000000093</v>
      </c>
      <c r="O77" s="6">
        <f>36.3-9.9-30.3+3.5-179.8-16.4</f>
        <v>-196.60000000000002</v>
      </c>
      <c r="P77" s="6">
        <f>3+179.5+2.9-2.6-204.2+0.6-0.5</f>
        <v>-21.299999999999976</v>
      </c>
      <c r="Q77" s="6"/>
      <c r="R77" s="6"/>
      <c r="S77" s="6">
        <f>35.6-83.1-4-0.2-22.3-0.6</f>
        <v>-74.599999999999994</v>
      </c>
      <c r="T77" s="6">
        <f>79+0.4+4-1.3-267.4-3.4-1.4-S77</f>
        <v>-115.49999999999997</v>
      </c>
      <c r="U77" s="6">
        <f>65.7-357.1+5.7-5.1+114.5-7.1-2.4-T77-S77</f>
        <v>4.2999999999998977</v>
      </c>
      <c r="V77" s="6">
        <f>65+39.9+10.4-2.4-397.7-8.1-2.9-U77-T77-S77</f>
        <v>-109.99999999999989</v>
      </c>
      <c r="W77" s="6"/>
      <c r="X77" s="6"/>
      <c r="Y77" s="6"/>
      <c r="Z77" s="6"/>
      <c r="AG77" s="6"/>
      <c r="AH77" s="6"/>
      <c r="AI77" s="6"/>
      <c r="AJ77" s="6"/>
      <c r="AK77" s="6"/>
      <c r="AL77" s="6"/>
      <c r="AM77" s="6"/>
      <c r="AN77" s="6"/>
      <c r="AP77" s="6"/>
      <c r="AQ77" s="6"/>
      <c r="AR77" s="6"/>
      <c r="AS77" s="6"/>
      <c r="AT77" s="2">
        <f>35.7-256.3-1.2-24.7+169.8-14.8</f>
        <v>-91.499999999999986</v>
      </c>
      <c r="AU77" s="2">
        <f>-34.4-44.7+2.2-18.7+17.1+4.9</f>
        <v>-73.599999999999994</v>
      </c>
      <c r="AV77" s="6">
        <f>-10.9+361.1+3.6-75.9-792.8+4.1</f>
        <v>-510.79999999999984</v>
      </c>
      <c r="AW77" s="6">
        <f>39.8+282.4+8.4-87-78.6+19-3</f>
        <v>180.99999999999997</v>
      </c>
      <c r="AX77" s="6">
        <f>-38.4-329.6-6.5-21.7+224.4-0.9+1.5</f>
        <v>-171.2</v>
      </c>
      <c r="AY77" s="6"/>
    </row>
    <row r="78" spans="2:64" s="2" customFormat="1" x14ac:dyDescent="0.15">
      <c r="B78" s="2" t="s">
        <v>43</v>
      </c>
      <c r="C78" s="6"/>
      <c r="D78" s="6"/>
      <c r="E78" s="6"/>
      <c r="F78" s="6"/>
      <c r="G78" s="6"/>
      <c r="H78" s="6"/>
      <c r="I78" s="6"/>
      <c r="J78" s="6"/>
      <c r="K78" s="6">
        <f>SUM(K65:K77)</f>
        <v>-18.799999999999997</v>
      </c>
      <c r="L78" s="6">
        <f>SUM(L65:L77)</f>
        <v>-11.500000000000014</v>
      </c>
      <c r="M78" s="6">
        <f t="shared" ref="M78:N78" si="149">SUM(M65:M77)</f>
        <v>-293.20000000000005</v>
      </c>
      <c r="N78" s="6">
        <f t="shared" si="149"/>
        <v>-110.89999999999991</v>
      </c>
      <c r="O78" s="6">
        <f>SUM(O65:O77)</f>
        <v>-303.90000000000003</v>
      </c>
      <c r="P78" s="6">
        <f>SUM(P65:P77)</f>
        <v>-103.39999999999998</v>
      </c>
      <c r="Q78" s="6"/>
      <c r="R78" s="6"/>
      <c r="S78" s="6">
        <f>SUM(S65:S77)</f>
        <v>-102.69999999999999</v>
      </c>
      <c r="T78" s="6">
        <f>SUM(T65:T77)</f>
        <v>-109.09999999999997</v>
      </c>
      <c r="U78" s="6">
        <f>SUM(U65:U77)</f>
        <v>19.699999999999896</v>
      </c>
      <c r="V78" s="6">
        <f>SUM(V65:V77)</f>
        <v>-11.599999999999866</v>
      </c>
      <c r="W78" s="6"/>
      <c r="X78" s="6"/>
      <c r="Y78" s="6"/>
      <c r="Z78" s="6"/>
      <c r="AG78" s="6"/>
      <c r="AH78" s="6"/>
      <c r="AI78" s="6"/>
      <c r="AJ78" s="6"/>
      <c r="AK78" s="6"/>
      <c r="AL78" s="6"/>
      <c r="AM78" s="6"/>
      <c r="AN78" s="6"/>
      <c r="AP78" s="6"/>
      <c r="AQ78" s="6"/>
      <c r="AR78" s="6"/>
      <c r="AS78" s="6"/>
      <c r="AT78" s="17">
        <f>SUM(AT65:AT77)</f>
        <v>434.90000000000009</v>
      </c>
      <c r="AU78" s="17">
        <f>SUM(AU65:AU77)</f>
        <v>325.09999999999991</v>
      </c>
      <c r="AV78" s="21">
        <f t="shared" ref="AV78:AY78" si="150">SUM(AV65:AV77)</f>
        <v>-414.49999999999983</v>
      </c>
      <c r="AW78" s="17">
        <f t="shared" si="150"/>
        <v>123.69999999999996</v>
      </c>
      <c r="AX78" s="17">
        <f t="shared" si="150"/>
        <v>-434.30000000000007</v>
      </c>
      <c r="AY78" s="17">
        <f t="shared" si="150"/>
        <v>0</v>
      </c>
      <c r="AZ78" s="17">
        <f t="shared" ref="AZ78" si="151">SUM(AZ65:AZ77)</f>
        <v>0</v>
      </c>
      <c r="BA78" s="17">
        <f t="shared" ref="BA78" si="152">SUM(BA65:BA77)</f>
        <v>0</v>
      </c>
      <c r="BB78" s="17">
        <f t="shared" ref="BB78" si="153">SUM(BB65:BB77)</f>
        <v>0</v>
      </c>
      <c r="BC78" s="17">
        <f t="shared" ref="BC78" si="154">SUM(BC65:BC77)</f>
        <v>0</v>
      </c>
      <c r="BD78" s="17">
        <f t="shared" ref="BD78" si="155">SUM(BD65:BD77)</f>
        <v>0</v>
      </c>
      <c r="BE78" s="17">
        <f t="shared" ref="BE78" si="156">SUM(BE65:BE77)</f>
        <v>0</v>
      </c>
      <c r="BF78" s="17">
        <f t="shared" ref="BF78" si="157">SUM(BF65:BF77)</f>
        <v>0</v>
      </c>
      <c r="BG78" s="17">
        <f t="shared" ref="BG78" si="158">SUM(BG65:BG77)</f>
        <v>0</v>
      </c>
      <c r="BH78" s="17">
        <f t="shared" ref="BH78" si="159">SUM(BH65:BH77)</f>
        <v>0</v>
      </c>
    </row>
    <row r="79" spans="2:64" s="2" customFormat="1" x14ac:dyDescent="0.15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G79" s="6"/>
      <c r="AH79" s="6"/>
      <c r="AI79" s="6"/>
      <c r="AJ79" s="6"/>
      <c r="AK79" s="6"/>
      <c r="AL79" s="6"/>
      <c r="AM79" s="6"/>
      <c r="AN79" s="6"/>
      <c r="AP79" s="6"/>
      <c r="AQ79" s="6"/>
      <c r="AR79" s="6"/>
      <c r="AS79" s="6"/>
      <c r="AV79" s="6"/>
      <c r="AW79" s="6"/>
      <c r="AX79" s="6"/>
      <c r="AY79" s="6"/>
    </row>
    <row r="80" spans="2:64" s="2" customFormat="1" x14ac:dyDescent="0.15">
      <c r="B80" s="2" t="s">
        <v>44</v>
      </c>
      <c r="C80" s="6"/>
      <c r="D80" s="6"/>
      <c r="E80" s="6"/>
      <c r="F80" s="6"/>
      <c r="G80" s="6"/>
      <c r="H80" s="6"/>
      <c r="I80" s="6"/>
      <c r="J80" s="6"/>
      <c r="K80" s="6">
        <v>-14.7</v>
      </c>
      <c r="L80" s="6">
        <f>-28.2-K80</f>
        <v>-13.5</v>
      </c>
      <c r="M80" s="6">
        <f>-40.7-L80-K80</f>
        <v>-12.500000000000004</v>
      </c>
      <c r="N80" s="6">
        <f>-62-M80-L80-K80</f>
        <v>-21.3</v>
      </c>
      <c r="O80" s="6">
        <v>76.900000000000006</v>
      </c>
      <c r="P80" s="6">
        <v>-20.5</v>
      </c>
      <c r="Q80" s="6"/>
      <c r="R80" s="6"/>
      <c r="S80" s="6">
        <v>-9.1</v>
      </c>
      <c r="T80" s="6">
        <f>-19.2-S80</f>
        <v>-10.1</v>
      </c>
      <c r="U80" s="6">
        <f>-27.2-T80-S80+13.1</f>
        <v>5.0999999999999979</v>
      </c>
      <c r="V80" s="6"/>
      <c r="W80" s="6"/>
      <c r="X80" s="6"/>
      <c r="Y80" s="6"/>
      <c r="Z80" s="6"/>
      <c r="AG80" s="6"/>
      <c r="AH80" s="6"/>
      <c r="AI80" s="6"/>
      <c r="AJ80" s="6"/>
      <c r="AK80" s="6"/>
      <c r="AL80" s="6"/>
      <c r="AM80" s="6"/>
      <c r="AN80" s="6"/>
      <c r="AP80" s="6"/>
      <c r="AQ80" s="6"/>
      <c r="AR80" s="6"/>
      <c r="AS80" s="6"/>
      <c r="AT80" s="2">
        <v>113.4</v>
      </c>
      <c r="AU80" s="2">
        <v>93.7</v>
      </c>
      <c r="AV80" s="6">
        <v>78.5</v>
      </c>
      <c r="AW80" s="6">
        <v>60</v>
      </c>
      <c r="AX80" s="6">
        <v>62</v>
      </c>
      <c r="AY80" s="13"/>
    </row>
    <row r="81" spans="2:51" s="2" customFormat="1" x14ac:dyDescent="0.15">
      <c r="B81" s="2" t="s">
        <v>45</v>
      </c>
      <c r="C81" s="6"/>
      <c r="D81" s="6"/>
      <c r="E81" s="6"/>
      <c r="F81" s="6"/>
      <c r="G81" s="6"/>
      <c r="H81" s="6"/>
      <c r="I81" s="6"/>
      <c r="J81" s="6"/>
      <c r="K81" s="6">
        <v>0</v>
      </c>
      <c r="L81" s="6">
        <v>0</v>
      </c>
      <c r="M81" s="6">
        <v>0</v>
      </c>
      <c r="N81" s="6">
        <v>0</v>
      </c>
      <c r="O81" s="6">
        <v>-10.8</v>
      </c>
      <c r="P81" s="6">
        <v>0.4</v>
      </c>
      <c r="Q81" s="6"/>
      <c r="R81" s="6"/>
      <c r="S81" s="6">
        <v>1.3</v>
      </c>
      <c r="T81" s="6">
        <f>2.8-S81</f>
        <v>1.4999999999999998</v>
      </c>
      <c r="U81" s="6">
        <f>2.8-T81-S81</f>
        <v>0</v>
      </c>
      <c r="V81" s="6"/>
      <c r="W81" s="6"/>
      <c r="X81" s="6"/>
      <c r="Y81" s="6"/>
      <c r="Z81" s="6"/>
      <c r="AG81" s="6"/>
      <c r="AH81" s="6"/>
      <c r="AI81" s="6"/>
      <c r="AJ81" s="6"/>
      <c r="AK81" s="6"/>
      <c r="AL81" s="6"/>
      <c r="AM81" s="6"/>
      <c r="AN81" s="6"/>
      <c r="AP81" s="6"/>
      <c r="AQ81" s="6"/>
      <c r="AR81" s="6"/>
      <c r="AS81" s="6"/>
      <c r="AV81" s="6"/>
      <c r="AW81" s="6"/>
      <c r="AX81" s="6"/>
      <c r="AY81" s="6"/>
    </row>
    <row r="82" spans="2:51" s="2" customFormat="1" x14ac:dyDescent="0.15">
      <c r="B82" s="2" t="s">
        <v>41</v>
      </c>
      <c r="C82" s="6"/>
      <c r="D82" s="6"/>
      <c r="E82" s="6"/>
      <c r="F82" s="6"/>
      <c r="G82" s="6"/>
      <c r="H82" s="6"/>
      <c r="I82" s="6"/>
      <c r="J82" s="6"/>
      <c r="K82" s="6">
        <v>0</v>
      </c>
      <c r="L82" s="6">
        <f>-0.1-K82</f>
        <v>-0.1</v>
      </c>
      <c r="M82" s="6">
        <f>-0.4-L82-K82</f>
        <v>-0.30000000000000004</v>
      </c>
      <c r="N82" s="6">
        <f>-2.8-M82-L82-K82</f>
        <v>-2.4</v>
      </c>
      <c r="O82" s="6">
        <v>0</v>
      </c>
      <c r="P82" s="6">
        <v>0</v>
      </c>
      <c r="Q82" s="6"/>
      <c r="R82" s="6"/>
      <c r="S82" s="6">
        <f>-211+212.2-0.1</f>
        <v>1.0999999999999885</v>
      </c>
      <c r="T82" s="6">
        <f>-313+270.5-S82</f>
        <v>-43.599999999999987</v>
      </c>
      <c r="U82" s="6">
        <f>-313+270.5-T82-S82</f>
        <v>0</v>
      </c>
      <c r="V82" s="6"/>
      <c r="W82" s="6"/>
      <c r="X82" s="6"/>
      <c r="Y82" s="6"/>
      <c r="Z82" s="6"/>
      <c r="AG82" s="6"/>
      <c r="AH82" s="6"/>
      <c r="AI82" s="6"/>
      <c r="AJ82" s="6"/>
      <c r="AK82" s="6"/>
      <c r="AL82" s="6"/>
      <c r="AM82" s="6"/>
      <c r="AN82" s="6"/>
      <c r="AP82" s="6"/>
      <c r="AQ82" s="6"/>
      <c r="AR82" s="6"/>
      <c r="AS82" s="6"/>
      <c r="AV82" s="6"/>
      <c r="AW82" s="6"/>
      <c r="AX82" s="6"/>
      <c r="AY82" s="6"/>
    </row>
    <row r="83" spans="2:51" s="2" customFormat="1" x14ac:dyDescent="0.15">
      <c r="B83" s="2" t="s">
        <v>46</v>
      </c>
      <c r="C83" s="6"/>
      <c r="D83" s="6"/>
      <c r="E83" s="6"/>
      <c r="F83" s="6"/>
      <c r="G83" s="6"/>
      <c r="H83" s="6"/>
      <c r="I83" s="6"/>
      <c r="J83" s="6"/>
      <c r="K83" s="6">
        <f>K80+K81+K82</f>
        <v>-14.7</v>
      </c>
      <c r="L83" s="6">
        <f>L80+L81+L82</f>
        <v>-13.6</v>
      </c>
      <c r="M83" s="6">
        <f t="shared" ref="M83:P83" si="160">M80+M81+M82</f>
        <v>-12.800000000000004</v>
      </c>
      <c r="N83" s="6">
        <f t="shared" si="160"/>
        <v>-23.7</v>
      </c>
      <c r="O83" s="6">
        <f t="shared" si="160"/>
        <v>66.100000000000009</v>
      </c>
      <c r="P83" s="6">
        <f t="shared" si="160"/>
        <v>-20.100000000000001</v>
      </c>
      <c r="Q83" s="6"/>
      <c r="R83" s="6"/>
      <c r="S83" s="6">
        <f>SUM(S80:S82)</f>
        <v>-6.7000000000000117</v>
      </c>
      <c r="T83" s="6">
        <f>SUM(T80:T82)</f>
        <v>-52.199999999999989</v>
      </c>
      <c r="U83" s="6">
        <f>SUM(U80:U82)</f>
        <v>5.0999999999999979</v>
      </c>
      <c r="V83" s="6"/>
      <c r="W83" s="6"/>
      <c r="X83" s="6"/>
      <c r="Y83" s="6"/>
      <c r="Z83" s="6"/>
      <c r="AG83" s="6"/>
      <c r="AH83" s="6"/>
      <c r="AI83" s="6"/>
      <c r="AJ83" s="6"/>
      <c r="AK83" s="6"/>
      <c r="AL83" s="6"/>
      <c r="AM83" s="6"/>
      <c r="AN83" s="6"/>
      <c r="AP83" s="6"/>
      <c r="AQ83" s="6"/>
      <c r="AR83" s="6"/>
      <c r="AS83" s="6"/>
      <c r="AV83" s="6"/>
      <c r="AW83" s="6"/>
      <c r="AX83" s="6"/>
      <c r="AY83" s="6"/>
    </row>
    <row r="84" spans="2:51" s="2" customFormat="1" x14ac:dyDescent="0.15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G84" s="6"/>
      <c r="AH84" s="6"/>
      <c r="AI84" s="6"/>
      <c r="AJ84" s="6"/>
      <c r="AK84" s="6"/>
      <c r="AL84" s="6"/>
      <c r="AM84" s="6"/>
      <c r="AN84" s="6"/>
      <c r="AP84" s="6"/>
      <c r="AQ84" s="6"/>
      <c r="AR84" s="6"/>
      <c r="AS84" s="6"/>
      <c r="AV84" s="6"/>
      <c r="AW84" s="6"/>
      <c r="AX84" s="6"/>
      <c r="AY84" s="6"/>
    </row>
    <row r="85" spans="2:51" s="2" customFormat="1" x14ac:dyDescent="0.15">
      <c r="B85" s="2" t="s">
        <v>115</v>
      </c>
      <c r="C85" s="6"/>
      <c r="D85" s="6"/>
      <c r="E85" s="6"/>
      <c r="F85" s="6"/>
      <c r="G85" s="6"/>
      <c r="H85" s="6"/>
      <c r="I85" s="6"/>
      <c r="J85" s="6"/>
      <c r="K85" s="6">
        <v>551.70000000000005</v>
      </c>
      <c r="L85" s="6">
        <f>1672.8-K85</f>
        <v>1121.0999999999999</v>
      </c>
      <c r="M85" s="6">
        <f>1672.8-L85-K85</f>
        <v>0</v>
      </c>
      <c r="N85" s="6">
        <f>1672.8-M85-L85-K85</f>
        <v>0</v>
      </c>
      <c r="O85" s="6">
        <v>0</v>
      </c>
      <c r="P85" s="6">
        <v>0</v>
      </c>
      <c r="Q85" s="6"/>
      <c r="R85" s="6"/>
      <c r="S85" s="6">
        <v>0</v>
      </c>
      <c r="T85" s="6">
        <v>0</v>
      </c>
      <c r="U85" s="6">
        <v>0</v>
      </c>
      <c r="V85" s="6"/>
      <c r="W85" s="6"/>
      <c r="X85" s="6"/>
      <c r="Y85" s="6"/>
      <c r="Z85" s="6"/>
      <c r="AG85" s="6"/>
      <c r="AH85" s="6"/>
      <c r="AI85" s="6"/>
      <c r="AJ85" s="6"/>
      <c r="AK85" s="6"/>
      <c r="AL85" s="6"/>
      <c r="AM85" s="6"/>
      <c r="AN85" s="6"/>
      <c r="AP85" s="6"/>
      <c r="AQ85" s="6"/>
      <c r="AR85" s="6"/>
      <c r="AS85" s="6"/>
      <c r="AV85" s="6"/>
      <c r="AW85" s="6"/>
      <c r="AX85" s="6"/>
      <c r="AY85" s="6"/>
    </row>
    <row r="86" spans="2:51" s="2" customFormat="1" x14ac:dyDescent="0.15">
      <c r="B86" s="2" t="s">
        <v>4</v>
      </c>
      <c r="C86" s="6"/>
      <c r="D86" s="6"/>
      <c r="E86" s="6"/>
      <c r="F86" s="6"/>
      <c r="G86" s="6"/>
      <c r="H86" s="6"/>
      <c r="I86" s="6"/>
      <c r="J86" s="6"/>
      <c r="K86" s="6">
        <f>-25-307.4-0.1</f>
        <v>-332.5</v>
      </c>
      <c r="L86" s="6">
        <v>0</v>
      </c>
      <c r="M86" s="6">
        <f>-25-307.4-0.1-L86-K86</f>
        <v>0</v>
      </c>
      <c r="N86" s="6">
        <f>-307.4-25-M86-L86-K86-3</f>
        <v>-2.8999999999999773</v>
      </c>
      <c r="O86" s="6">
        <v>0</v>
      </c>
      <c r="P86" s="6">
        <v>0</v>
      </c>
      <c r="Q86" s="6"/>
      <c r="R86" s="6"/>
      <c r="S86" s="6">
        <v>-2.7</v>
      </c>
      <c r="T86" s="6">
        <f>-5.4-S86</f>
        <v>-2.7</v>
      </c>
      <c r="U86" s="6">
        <f>-8-T86-S86</f>
        <v>-2.5999999999999996</v>
      </c>
      <c r="V86" s="6"/>
      <c r="W86" s="6"/>
      <c r="X86" s="6"/>
      <c r="Y86" s="6"/>
      <c r="Z86" s="6"/>
      <c r="AG86" s="6"/>
      <c r="AH86" s="6"/>
      <c r="AI86" s="6"/>
      <c r="AJ86" s="6"/>
      <c r="AK86" s="6"/>
      <c r="AL86" s="6"/>
      <c r="AM86" s="6"/>
      <c r="AN86" s="6"/>
      <c r="AP86" s="6"/>
      <c r="AQ86" s="6"/>
      <c r="AR86" s="6"/>
      <c r="AS86" s="6"/>
      <c r="AV86" s="6"/>
      <c r="AW86" s="6"/>
      <c r="AX86" s="6"/>
      <c r="AY86" s="6"/>
    </row>
    <row r="87" spans="2:51" s="2" customFormat="1" x14ac:dyDescent="0.15">
      <c r="B87" s="2" t="s">
        <v>47</v>
      </c>
      <c r="C87" s="6"/>
      <c r="D87" s="6"/>
      <c r="E87" s="6"/>
      <c r="F87" s="6"/>
      <c r="G87" s="6"/>
      <c r="H87" s="6"/>
      <c r="I87" s="6"/>
      <c r="J87" s="6"/>
      <c r="K87" s="6">
        <v>-49.9</v>
      </c>
      <c r="L87" s="6">
        <f>-136.6-K87</f>
        <v>-86.699999999999989</v>
      </c>
      <c r="M87" s="6">
        <f>-136.6-L87-K87</f>
        <v>0</v>
      </c>
      <c r="N87" s="6">
        <f>-136.8-M87-L87-K87</f>
        <v>-0.20000000000002416</v>
      </c>
      <c r="O87" s="6">
        <v>-1.1000000000000001</v>
      </c>
      <c r="P87" s="6">
        <v>-1.9</v>
      </c>
      <c r="Q87" s="6"/>
      <c r="R87" s="6"/>
      <c r="S87" s="6">
        <v>-0.1</v>
      </c>
      <c r="T87" s="6">
        <f>-0.1-S87</f>
        <v>0</v>
      </c>
      <c r="U87" s="6">
        <f>-0.1-T87-S87</f>
        <v>0</v>
      </c>
      <c r="V87" s="6"/>
      <c r="W87" s="6"/>
      <c r="X87" s="6"/>
      <c r="Y87" s="6"/>
      <c r="Z87" s="6"/>
      <c r="AG87" s="6"/>
      <c r="AH87" s="6"/>
      <c r="AI87" s="6"/>
      <c r="AJ87" s="6"/>
      <c r="AK87" s="6"/>
      <c r="AL87" s="6"/>
      <c r="AM87" s="6"/>
      <c r="AN87" s="6"/>
      <c r="AP87" s="6"/>
      <c r="AQ87" s="6"/>
      <c r="AR87" s="6"/>
      <c r="AS87" s="6"/>
      <c r="AV87" s="6"/>
      <c r="AW87" s="6"/>
      <c r="AX87" s="6"/>
      <c r="AY87" s="6"/>
    </row>
    <row r="88" spans="2:51" s="2" customFormat="1" x14ac:dyDescent="0.15">
      <c r="B88" s="2" t="s">
        <v>48</v>
      </c>
      <c r="C88" s="6"/>
      <c r="D88" s="6"/>
      <c r="E88" s="6"/>
      <c r="F88" s="6"/>
      <c r="G88" s="6"/>
      <c r="H88" s="6"/>
      <c r="I88" s="6"/>
      <c r="J88" s="6"/>
      <c r="K88" s="6">
        <f>SUM(K85:K87)</f>
        <v>169.30000000000004</v>
      </c>
      <c r="L88" s="6">
        <f>SUM(L85:L87)</f>
        <v>1034.3999999999999</v>
      </c>
      <c r="M88" s="6">
        <f>SUM(M85:M87)</f>
        <v>0</v>
      </c>
      <c r="N88" s="6">
        <f>SUM(N85:N87)</f>
        <v>-3.1000000000000014</v>
      </c>
      <c r="O88" s="6">
        <f>O87</f>
        <v>-1.1000000000000001</v>
      </c>
      <c r="P88" s="6">
        <f>P87</f>
        <v>-1.9</v>
      </c>
      <c r="Q88" s="6"/>
      <c r="R88" s="6"/>
      <c r="S88" s="6">
        <f>SUM(S85:S87)</f>
        <v>-2.8000000000000003</v>
      </c>
      <c r="T88" s="6">
        <f>SUM(T85:T87)</f>
        <v>-2.7</v>
      </c>
      <c r="U88" s="6">
        <f>SUM(U85:U87)</f>
        <v>-2.5999999999999996</v>
      </c>
      <c r="V88" s="6"/>
      <c r="W88" s="6"/>
      <c r="X88" s="6"/>
      <c r="Y88" s="6"/>
      <c r="Z88" s="6"/>
      <c r="AG88" s="6"/>
      <c r="AH88" s="6"/>
      <c r="AI88" s="6"/>
      <c r="AJ88" s="6"/>
      <c r="AK88" s="6"/>
      <c r="AL88" s="6"/>
      <c r="AM88" s="6"/>
      <c r="AN88" s="6"/>
      <c r="AP88" s="6"/>
      <c r="AQ88" s="6"/>
      <c r="AR88" s="6"/>
      <c r="AS88" s="6"/>
      <c r="AV88" s="6"/>
      <c r="AW88" s="6"/>
      <c r="AX88" s="6"/>
      <c r="AY88" s="6"/>
    </row>
    <row r="89" spans="2:51" s="2" customFormat="1" x14ac:dyDescent="0.15">
      <c r="B89" s="2" t="s">
        <v>49</v>
      </c>
      <c r="C89" s="6"/>
      <c r="D89" s="6"/>
      <c r="E89" s="6"/>
      <c r="F89" s="6"/>
      <c r="G89" s="6"/>
      <c r="H89" s="6"/>
      <c r="I89" s="6"/>
      <c r="J89" s="6"/>
      <c r="K89" s="6">
        <v>0</v>
      </c>
      <c r="L89" s="6">
        <f>-4.5-K89</f>
        <v>-4.5</v>
      </c>
      <c r="M89" s="6">
        <f>-5.5-L89-K89</f>
        <v>-1</v>
      </c>
      <c r="N89" s="6">
        <f>-16.6-M89-L89-K89</f>
        <v>-11.100000000000001</v>
      </c>
      <c r="O89" s="6">
        <v>2.6</v>
      </c>
      <c r="P89" s="6">
        <v>-1.2</v>
      </c>
      <c r="Q89" s="6"/>
      <c r="R89" s="6"/>
      <c r="S89" s="6">
        <v>-4</v>
      </c>
      <c r="T89" s="6">
        <f>-4.6-S89</f>
        <v>-0.59999999999999964</v>
      </c>
      <c r="U89" s="6">
        <f>-12.2-T89-S89</f>
        <v>-7.6</v>
      </c>
      <c r="V89" s="6"/>
      <c r="W89" s="6"/>
      <c r="X89" s="6"/>
      <c r="Y89" s="6"/>
      <c r="Z89" s="6"/>
      <c r="AG89" s="6"/>
      <c r="AH89" s="6"/>
      <c r="AI89" s="6"/>
      <c r="AJ89" s="6"/>
      <c r="AK89" s="6"/>
      <c r="AL89" s="6"/>
      <c r="AM89" s="6"/>
      <c r="AN89" s="6"/>
      <c r="AP89" s="6"/>
      <c r="AQ89" s="6"/>
      <c r="AR89" s="6"/>
      <c r="AS89" s="6"/>
      <c r="AV89" s="6"/>
      <c r="AW89" s="6"/>
      <c r="AX89" s="6"/>
      <c r="AY89" s="6"/>
    </row>
    <row r="90" spans="2:51" s="2" customFormat="1" x14ac:dyDescent="0.15">
      <c r="B90" s="2" t="s">
        <v>50</v>
      </c>
      <c r="C90" s="6"/>
      <c r="D90" s="6"/>
      <c r="E90" s="6"/>
      <c r="F90" s="6"/>
      <c r="G90" s="6"/>
      <c r="H90" s="6"/>
      <c r="I90" s="6"/>
      <c r="J90" s="6"/>
      <c r="K90" s="6">
        <f t="shared" ref="K90:P90" si="161">K88+K83+K78+K89</f>
        <v>135.80000000000007</v>
      </c>
      <c r="L90" s="6">
        <f t="shared" si="161"/>
        <v>1004.7999999999998</v>
      </c>
      <c r="M90" s="6">
        <f t="shared" si="161"/>
        <v>-307.00000000000006</v>
      </c>
      <c r="N90" s="6">
        <f t="shared" si="161"/>
        <v>-148.7999999999999</v>
      </c>
      <c r="O90" s="6">
        <f t="shared" si="161"/>
        <v>-236.30000000000004</v>
      </c>
      <c r="P90" s="6">
        <f t="shared" si="161"/>
        <v>-126.59999999999998</v>
      </c>
      <c r="Q90" s="6"/>
      <c r="R90" s="6"/>
      <c r="S90" s="6">
        <f>+S89+S88+S83+S78</f>
        <v>-116.2</v>
      </c>
      <c r="T90" s="6">
        <f>+T89+T88+T83+T78</f>
        <v>-164.59999999999997</v>
      </c>
      <c r="U90" s="6">
        <f>+U89+U88+U83+U78</f>
        <v>14.599999999999895</v>
      </c>
      <c r="V90" s="6"/>
      <c r="W90" s="6"/>
      <c r="X90" s="6"/>
      <c r="Y90" s="6"/>
      <c r="Z90" s="6"/>
      <c r="AG90" s="6"/>
      <c r="AH90" s="6"/>
      <c r="AI90" s="6"/>
      <c r="AJ90" s="6"/>
      <c r="AK90" s="6"/>
      <c r="AL90" s="6"/>
      <c r="AM90" s="6"/>
      <c r="AN90" s="6"/>
      <c r="AP90" s="6"/>
      <c r="AQ90" s="6"/>
      <c r="AR90" s="6"/>
      <c r="AS90" s="6"/>
      <c r="AV90" s="6"/>
      <c r="AW90" s="6"/>
      <c r="AX90" s="6"/>
      <c r="AY90" s="6"/>
    </row>
    <row r="91" spans="2:51" s="2" customFormat="1" x14ac:dyDescent="0.15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G91" s="6"/>
      <c r="AH91" s="6"/>
      <c r="AI91" s="6"/>
      <c r="AJ91" s="6"/>
      <c r="AK91" s="6"/>
      <c r="AL91" s="6"/>
      <c r="AM91" s="6"/>
      <c r="AN91" s="6"/>
      <c r="AP91" s="6"/>
      <c r="AQ91" s="6"/>
      <c r="AR91" s="6"/>
      <c r="AS91" s="6"/>
      <c r="AV91" s="6"/>
      <c r="AW91" s="6"/>
      <c r="AX91" s="6"/>
      <c r="AY91" s="6"/>
    </row>
    <row r="92" spans="2:51" s="2" customFormat="1" x14ac:dyDescent="0.15">
      <c r="B92" s="2" t="s">
        <v>83</v>
      </c>
      <c r="C92" s="6"/>
      <c r="D92" s="6"/>
      <c r="E92" s="6"/>
      <c r="F92" s="6"/>
      <c r="G92" s="6"/>
      <c r="H92" s="6"/>
      <c r="I92" s="6"/>
      <c r="J92" s="6"/>
      <c r="K92" s="6">
        <f>K78+K80</f>
        <v>-33.5</v>
      </c>
      <c r="L92" s="6">
        <f>L78+L80</f>
        <v>-25.000000000000014</v>
      </c>
      <c r="M92" s="6">
        <f t="shared" ref="M92:P92" si="162">M78+M80</f>
        <v>-305.70000000000005</v>
      </c>
      <c r="N92" s="6">
        <f t="shared" si="162"/>
        <v>-132.1999999999999</v>
      </c>
      <c r="O92" s="6">
        <f t="shared" si="162"/>
        <v>-227.00000000000003</v>
      </c>
      <c r="P92" s="6">
        <f t="shared" si="162"/>
        <v>-123.89999999999998</v>
      </c>
      <c r="Q92" s="6"/>
      <c r="R92" s="6"/>
      <c r="S92" s="6">
        <f t="shared" ref="S92:U92" si="163">S78+S80</f>
        <v>-111.79999999999998</v>
      </c>
      <c r="T92" s="6">
        <f t="shared" si="163"/>
        <v>-119.19999999999996</v>
      </c>
      <c r="U92" s="6">
        <f t="shared" si="163"/>
        <v>24.799999999999894</v>
      </c>
      <c r="V92" s="6"/>
      <c r="W92" s="6"/>
      <c r="X92" s="6"/>
      <c r="Y92" s="6"/>
      <c r="Z92" s="6"/>
      <c r="AG92" s="6"/>
      <c r="AH92" s="6"/>
      <c r="AI92" s="6"/>
      <c r="AJ92" s="6"/>
      <c r="AK92" s="6"/>
      <c r="AL92" s="6"/>
      <c r="AM92" s="6"/>
      <c r="AN92" s="6"/>
      <c r="AP92" s="6"/>
      <c r="AQ92" s="6"/>
      <c r="AR92" s="6"/>
      <c r="AS92" s="6"/>
      <c r="AT92" s="2">
        <f>AT78-AT80</f>
        <v>321.50000000000011</v>
      </c>
      <c r="AU92" s="2">
        <f>AU78-AU80</f>
        <v>231.39999999999992</v>
      </c>
      <c r="AV92" s="6">
        <f t="shared" ref="AV92:AX92" si="164">AV78-AV80</f>
        <v>-492.99999999999983</v>
      </c>
      <c r="AW92" s="2">
        <f t="shared" si="164"/>
        <v>63.69999999999996</v>
      </c>
      <c r="AX92" s="2">
        <f t="shared" si="164"/>
        <v>-496.30000000000007</v>
      </c>
      <c r="AY92" s="6"/>
    </row>
    <row r="93" spans="2:51" s="2" customFormat="1" x14ac:dyDescent="0.15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G93" s="6"/>
      <c r="AH93" s="6"/>
      <c r="AI93" s="6"/>
      <c r="AJ93" s="6"/>
      <c r="AK93" s="6"/>
      <c r="AL93" s="6"/>
      <c r="AM93" s="6"/>
      <c r="AN93" s="6"/>
      <c r="AP93" s="6"/>
      <c r="AQ93" s="6"/>
      <c r="AR93" s="6"/>
      <c r="AS93" s="6"/>
      <c r="AV93" s="6"/>
      <c r="AW93" s="6"/>
      <c r="AX93" s="6"/>
      <c r="AY93" s="6"/>
    </row>
    <row r="94" spans="2:51" s="2" customFormat="1" x14ac:dyDescent="0.15">
      <c r="B94" s="2" t="s">
        <v>79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>
        <v>163.1</v>
      </c>
      <c r="O94" s="6">
        <v>150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G94" s="6"/>
      <c r="AH94" s="6"/>
      <c r="AI94" s="6"/>
      <c r="AJ94" s="6"/>
      <c r="AK94" s="6"/>
      <c r="AL94" s="6"/>
      <c r="AM94" s="6"/>
      <c r="AN94" s="6"/>
      <c r="AP94" s="6"/>
      <c r="AQ94" s="6"/>
      <c r="AR94" s="6"/>
      <c r="AS94" s="6"/>
      <c r="AV94" s="6"/>
      <c r="AW94" s="6"/>
      <c r="AX94" s="6"/>
      <c r="AY94" s="6"/>
    </row>
    <row r="95" spans="2:51" s="2" customFormat="1" x14ac:dyDescent="0.15">
      <c r="B95" s="2" t="s">
        <v>66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>
        <v>590.29999999999995</v>
      </c>
      <c r="O95" s="6">
        <v>525.6</v>
      </c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G95" s="6"/>
      <c r="AH95" s="6"/>
      <c r="AI95" s="6"/>
      <c r="AJ95" s="6"/>
      <c r="AK95" s="6"/>
      <c r="AL95" s="6"/>
      <c r="AM95" s="6"/>
      <c r="AN95" s="6"/>
      <c r="AP95" s="6"/>
      <c r="AQ95" s="6"/>
      <c r="AR95" s="6"/>
      <c r="AS95" s="6"/>
      <c r="AV95" s="6"/>
      <c r="AW95" s="6"/>
      <c r="AX95" s="6"/>
      <c r="AY95" s="6"/>
    </row>
    <row r="96" spans="2:51" s="2" customFormat="1" x14ac:dyDescent="0.15">
      <c r="B96" s="2" t="s">
        <v>76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>
        <v>977.1</v>
      </c>
      <c r="O96" s="6">
        <v>810.4</v>
      </c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G96" s="6"/>
      <c r="AH96" s="6"/>
      <c r="AI96" s="6"/>
      <c r="AJ96" s="6"/>
      <c r="AK96" s="6"/>
      <c r="AL96" s="6"/>
      <c r="AM96" s="6"/>
      <c r="AN96" s="6"/>
      <c r="AP96" s="6"/>
      <c r="AQ96" s="6"/>
      <c r="AR96" s="6"/>
      <c r="AS96" s="6"/>
      <c r="AV96" s="6"/>
      <c r="AW96" s="6"/>
      <c r="AX96" s="6"/>
      <c r="AY96" s="6"/>
    </row>
    <row r="97" spans="2:52" s="2" customFormat="1" x14ac:dyDescent="0.15">
      <c r="B97" s="2" t="s">
        <v>77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>
        <v>255</v>
      </c>
      <c r="O97" s="6">
        <v>312.5</v>
      </c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G97" s="6"/>
      <c r="AH97" s="6"/>
      <c r="AI97" s="6"/>
      <c r="AJ97" s="6"/>
      <c r="AK97" s="6"/>
      <c r="AL97" s="6"/>
      <c r="AM97" s="6"/>
      <c r="AN97" s="6"/>
      <c r="AP97" s="6"/>
      <c r="AQ97" s="6"/>
      <c r="AR97" s="6"/>
      <c r="AS97" s="6"/>
      <c r="AV97" s="6"/>
      <c r="AW97" s="6"/>
      <c r="AX97" s="6"/>
      <c r="AY97" s="6"/>
    </row>
    <row r="98" spans="2:52" x14ac:dyDescent="0.15">
      <c r="B98" s="2" t="s">
        <v>78</v>
      </c>
      <c r="N98" s="6">
        <v>162.4</v>
      </c>
      <c r="O98" s="6">
        <v>171.6</v>
      </c>
    </row>
    <row r="99" spans="2:52" x14ac:dyDescent="0.15">
      <c r="B99" s="2" t="s">
        <v>67</v>
      </c>
      <c r="N99" s="6">
        <v>208.2</v>
      </c>
      <c r="O99" s="6">
        <v>233.3</v>
      </c>
    </row>
    <row r="100" spans="2:52" x14ac:dyDescent="0.15">
      <c r="B100" s="2" t="s">
        <v>41</v>
      </c>
      <c r="N100" s="6">
        <v>128.80000000000001</v>
      </c>
      <c r="O100" s="6">
        <v>104.7</v>
      </c>
    </row>
    <row r="101" spans="2:52" x14ac:dyDescent="0.15">
      <c r="B101" s="2" t="s">
        <v>80</v>
      </c>
      <c r="N101" s="6">
        <f>SUM(N94:N100)</f>
        <v>2484.9</v>
      </c>
      <c r="O101" s="6">
        <f>SUM(O94:O100)</f>
        <v>2308.1</v>
      </c>
    </row>
    <row r="103" spans="2:52" x14ac:dyDescent="0.15">
      <c r="B103" s="2" t="s">
        <v>149</v>
      </c>
      <c r="AW103" s="9">
        <v>0.31</v>
      </c>
    </row>
    <row r="104" spans="2:52" x14ac:dyDescent="0.15">
      <c r="B104" t="s">
        <v>153</v>
      </c>
      <c r="AW104" s="9">
        <v>0.22</v>
      </c>
    </row>
    <row r="105" spans="2:52" x14ac:dyDescent="0.15">
      <c r="B105" t="s">
        <v>152</v>
      </c>
      <c r="AW105" s="9">
        <v>0.09</v>
      </c>
    </row>
    <row r="106" spans="2:52" x14ac:dyDescent="0.15">
      <c r="B106" t="s">
        <v>151</v>
      </c>
      <c r="AW106" s="9">
        <v>0.03</v>
      </c>
    </row>
    <row r="107" spans="2:52" x14ac:dyDescent="0.15">
      <c r="B107" t="s">
        <v>150</v>
      </c>
      <c r="AW107" s="9">
        <v>0.03</v>
      </c>
    </row>
    <row r="110" spans="2:52" x14ac:dyDescent="0.15">
      <c r="B110" t="s">
        <v>154</v>
      </c>
      <c r="V110" s="6">
        <v>8000</v>
      </c>
      <c r="AW110" s="6">
        <v>12000</v>
      </c>
      <c r="AZ110" s="6">
        <v>8000</v>
      </c>
    </row>
    <row r="111" spans="2:52" x14ac:dyDescent="0.15">
      <c r="B111" t="s">
        <v>157</v>
      </c>
      <c r="AW111" s="6">
        <f>+AW26*1000/AW110</f>
        <v>424.14999999999992</v>
      </c>
      <c r="AZ111" s="6">
        <f>+AZ26*1000/AZ110</f>
        <v>659.1</v>
      </c>
    </row>
    <row r="112" spans="2:52" x14ac:dyDescent="0.15">
      <c r="B112" t="s">
        <v>158</v>
      </c>
      <c r="AV112" s="1"/>
      <c r="AW112" s="1">
        <f>AW110/AW4</f>
        <v>2.4916943521594686</v>
      </c>
      <c r="AZ112" s="1">
        <f>AZ110/AZ4</f>
        <v>1.9189254017750059</v>
      </c>
    </row>
  </sheetData>
  <phoneticPr fontId="2" type="noConversion"/>
  <hyperlinks>
    <hyperlink ref="A1" location="Main!A1" display="Main" xr:uid="{075751EE-11BF-4218-86BA-4C0A0B1F8F2F}"/>
  </hyperlink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64215-FFFD-AE44-B1D7-86E8F74D5338}">
  <dimension ref="A1:G4"/>
  <sheetViews>
    <sheetView zoomScale="170" zoomScaleNormal="170" workbookViewId="0"/>
  </sheetViews>
  <sheetFormatPr baseColWidth="10" defaultRowHeight="13" x14ac:dyDescent="0.15"/>
  <cols>
    <col min="1" max="1" width="4.83203125" bestFit="1" customWidth="1"/>
    <col min="2" max="2" width="10.83203125" style="23"/>
    <col min="3" max="7" width="10.83203125" style="4"/>
  </cols>
  <sheetData>
    <row r="1" spans="1:7" x14ac:dyDescent="0.15">
      <c r="A1" s="18" t="s">
        <v>7</v>
      </c>
    </row>
    <row r="3" spans="1:7" x14ac:dyDescent="0.15">
      <c r="B3" s="23" t="s">
        <v>159</v>
      </c>
      <c r="C3" s="4" t="s">
        <v>160</v>
      </c>
      <c r="D3" s="4" t="s">
        <v>162</v>
      </c>
      <c r="E3" s="4" t="s">
        <v>163</v>
      </c>
      <c r="F3" s="4" t="s">
        <v>161</v>
      </c>
      <c r="G3" s="4" t="s">
        <v>164</v>
      </c>
    </row>
    <row r="4" spans="1:7" x14ac:dyDescent="0.15">
      <c r="B4" s="24">
        <v>-50000</v>
      </c>
      <c r="C4" s="5">
        <v>-29.375499999999999</v>
      </c>
      <c r="D4" s="6">
        <f>C4*B4</f>
        <v>1468775</v>
      </c>
      <c r="E4" s="4">
        <v>29.35</v>
      </c>
      <c r="F4" s="6">
        <f>+E4*B4</f>
        <v>-1467500</v>
      </c>
      <c r="G4" s="5">
        <f>+D4+F4</f>
        <v>1275</v>
      </c>
    </row>
  </sheetData>
  <hyperlinks>
    <hyperlink ref="A1" location="Main!A1" display="Main" xr:uid="{CCB70DFB-C9B6-914B-8553-8A4B04D08EC9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2022-07-01T22:49:53Z</dcterms:created>
  <dcterms:modified xsi:type="dcterms:W3CDTF">2024-06-06T01:03:37Z</dcterms:modified>
</cp:coreProperties>
</file>