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1670AF10-F4FF-4D69-8507-0784130D22C4}" xr6:coauthVersionLast="47" xr6:coauthVersionMax="47" xr10:uidLastSave="{00000000-0000-0000-0000-000000000000}"/>
  <bookViews>
    <workbookView xWindow="6630" yWindow="3510" windowWidth="28455" windowHeight="16710" xr2:uid="{00000000-000D-0000-FFFF-FFFF00000000}"/>
  </bookViews>
  <sheets>
    <sheet name="Main" sheetId="1" r:id="rId1"/>
    <sheet name="Social" sheetId="9" r:id="rId2"/>
    <sheet name="Media-Games-Design" sheetId="8" r:id="rId3"/>
    <sheet name="Fintech" sheetId="7" r:id="rId4"/>
    <sheet name="Gig" sheetId="6" r:id="rId5"/>
    <sheet name="Ecommerce" sheetId="5" r:id="rId6"/>
    <sheet name="Security" sheetId="4" r:id="rId7"/>
    <sheet name="FX" sheetId="3" r:id="rId8"/>
    <sheet name="Private" sheetId="2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9" l="1"/>
  <c r="E3" i="9"/>
  <c r="O2" i="9"/>
  <c r="N2" i="9"/>
  <c r="M2" i="9"/>
  <c r="K2" i="9"/>
  <c r="L2" i="9" s="1"/>
  <c r="H2" i="9"/>
  <c r="F2" i="9"/>
  <c r="E2" i="9"/>
  <c r="G2" i="9" s="1"/>
  <c r="O7" i="1"/>
  <c r="N7" i="1"/>
  <c r="M7" i="1"/>
  <c r="G3" i="9" l="1"/>
  <c r="K7" i="1"/>
  <c r="L7" i="1" s="1"/>
  <c r="F7" i="5" l="1" a="1"/>
  <c r="F7" i="5" s="1"/>
  <c r="G7" i="5" s="1"/>
  <c r="E7" i="5"/>
  <c r="F13" i="5"/>
  <c r="E13" i="5"/>
  <c r="G13" i="5" s="1"/>
  <c r="F34" i="1"/>
  <c r="H34" i="1"/>
  <c r="E34" i="1" s="1"/>
  <c r="F25" i="1"/>
  <c r="H25" i="1"/>
  <c r="E25" i="1" s="1"/>
  <c r="F21" i="1"/>
  <c r="H21" i="1"/>
  <c r="E21" i="1" s="1"/>
  <c r="F24" i="1"/>
  <c r="H24" i="1"/>
  <c r="E24" i="1" s="1"/>
  <c r="E6" i="8" a="1"/>
  <c r="E6" i="8" s="1"/>
  <c r="F4" i="8"/>
  <c r="E4" i="8"/>
  <c r="H3" i="8"/>
  <c r="F3" i="8"/>
  <c r="E3" i="8"/>
  <c r="T6" i="1"/>
  <c r="V5" i="1"/>
  <c r="U5" i="1"/>
  <c r="T5" i="1"/>
  <c r="F15" i="1"/>
  <c r="H15" i="1"/>
  <c r="E15" i="1" s="1"/>
  <c r="G25" i="1" l="1"/>
  <c r="G34" i="1"/>
  <c r="G24" i="1"/>
  <c r="G4" i="8"/>
  <c r="G21" i="1"/>
  <c r="G15" i="1"/>
  <c r="G3" i="8"/>
  <c r="E30" i="1" a="1"/>
  <c r="E30" i="1" s="1"/>
  <c r="F16" i="1"/>
  <c r="H16" i="1"/>
  <c r="E16" i="1" s="1"/>
  <c r="F18" i="1"/>
  <c r="H18" i="1"/>
  <c r="E18" i="1" s="1"/>
  <c r="F20" i="1"/>
  <c r="H20" i="1"/>
  <c r="E20" i="1" s="1"/>
  <c r="G18" i="1" l="1"/>
  <c r="G16" i="1"/>
  <c r="G20" i="1"/>
  <c r="U6" i="1"/>
  <c r="V6" i="1" l="1"/>
  <c r="W6" i="1" l="1"/>
  <c r="O6" i="1" l="1"/>
  <c r="N6" i="1"/>
  <c r="M6" i="1"/>
  <c r="H6" i="1"/>
  <c r="H23" i="1" l="1"/>
  <c r="F23" i="1"/>
  <c r="E23" i="1"/>
  <c r="H7" i="1"/>
  <c r="G23" i="1" l="1"/>
  <c r="K6" i="1"/>
  <c r="L6" i="1" s="1"/>
  <c r="H19" i="1"/>
  <c r="F19" i="1"/>
  <c r="E19" i="1"/>
  <c r="G19" i="1" l="1"/>
  <c r="H26" i="1"/>
  <c r="F26" i="1"/>
  <c r="E26" i="1"/>
  <c r="O4" i="1"/>
  <c r="N4" i="1"/>
  <c r="M4" i="1"/>
  <c r="K4" i="1"/>
  <c r="L4" i="1" s="1"/>
  <c r="H4" i="1"/>
  <c r="G26" i="1" l="1"/>
  <c r="H5" i="1"/>
  <c r="W5" i="1"/>
  <c r="O5" i="1"/>
  <c r="N5" i="1"/>
  <c r="M5" i="1"/>
  <c r="K5" i="1"/>
  <c r="L5" i="1" s="1"/>
  <c r="L2" i="1" s="1"/>
  <c r="F22" i="1" l="1"/>
  <c r="E22" i="1"/>
  <c r="G22" i="1" l="1"/>
  <c r="F17" i="1"/>
  <c r="E17" i="1"/>
  <c r="G17" i="1" l="1"/>
  <c r="E6" i="1"/>
  <c r="E8" i="1" l="1"/>
  <c r="F9" i="1" l="1"/>
  <c r="E9" i="1"/>
  <c r="G9" i="1" l="1"/>
  <c r="F10" i="1"/>
  <c r="E10" i="1"/>
  <c r="F11" i="1" l="1"/>
  <c r="E11" i="1"/>
  <c r="F13" i="1"/>
  <c r="E13" i="1"/>
  <c r="E14" i="1" l="1"/>
  <c r="F14" i="1"/>
  <c r="G14" i="1" l="1"/>
  <c r="F3" i="5"/>
  <c r="G3" i="5" s="1"/>
  <c r="F8" i="5" a="1"/>
  <c r="F8" i="5" s="1"/>
  <c r="E8" i="5"/>
  <c r="F11" i="8"/>
  <c r="E11" i="8"/>
  <c r="F36" i="1"/>
  <c r="E36" i="1"/>
  <c r="F12" i="1"/>
  <c r="E12" i="1"/>
  <c r="F8" i="1"/>
  <c r="G8" i="1" s="1"/>
  <c r="F6" i="1"/>
  <c r="G6" i="1" s="1"/>
  <c r="R6" i="1" s="1"/>
  <c r="P6" i="1" l="1"/>
  <c r="Q6" i="1"/>
  <c r="S6" i="1"/>
  <c r="G8" i="5"/>
  <c r="G11" i="8"/>
  <c r="G36" i="1"/>
  <c r="G12" i="1"/>
  <c r="F5" i="1"/>
  <c r="E5" i="1"/>
  <c r="G5" i="1" l="1"/>
  <c r="F4" i="1"/>
  <c r="E4" i="1"/>
  <c r="G13" i="1"/>
  <c r="G11" i="1"/>
  <c r="F7" i="1"/>
  <c r="E7" i="1"/>
  <c r="F35" i="1"/>
  <c r="E35" i="1"/>
  <c r="S5" i="1" l="1"/>
  <c r="S2" i="1" s="1"/>
  <c r="R5" i="1"/>
  <c r="R2" i="1" s="1"/>
  <c r="Q5" i="1"/>
  <c r="Q2" i="1" s="1"/>
  <c r="P5" i="1"/>
  <c r="P2" i="1" s="1"/>
  <c r="G7" i="1"/>
  <c r="G4" i="1"/>
  <c r="G10" i="1"/>
  <c r="G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1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<sst xmlns="http://schemas.openxmlformats.org/spreadsheetml/2006/main" count="369" uniqueCount="260">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</sst>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2">
    <xf numFmtId="0" fontId="0" fillId="0" borderId="0" xfId="0"/>
    <xf numFmtId="0" fontId="19" fillId="0" borderId="0" xfId="0" applyFont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21" fillId="0" borderId="0" xfId="1" applyFont="1"/>
    <xf numFmtId="0" fontId="18" fillId="0" borderId="0" xfId="0" applyFont="1"/>
    <xf numFmtId="3" fontId="18" fillId="0" borderId="0" xfId="0" applyNumberFormat="1" applyFont="1" applyAlignment="1">
      <alignment horizontal="right"/>
    </xf>
    <xf numFmtId="0" fontId="17" fillId="0" borderId="0" xfId="0" applyFont="1"/>
    <xf numFmtId="3" fontId="22" fillId="0" borderId="0" xfId="0" applyNumberFormat="1" applyFont="1" applyAlignment="1">
      <alignment horizontal="right"/>
    </xf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3" xfId="0" applyFont="1" applyBorder="1"/>
    <xf numFmtId="0" fontId="13" fillId="0" borderId="4" xfId="0" applyFont="1" applyBorder="1"/>
    <xf numFmtId="2" fontId="13" fillId="0" borderId="4" xfId="0" applyNumberFormat="1" applyFont="1" applyBorder="1" applyAlignment="1">
      <alignment horizontal="right"/>
    </xf>
    <xf numFmtId="3" fontId="13" fillId="0" borderId="4" xfId="0" applyNumberFormat="1" applyFont="1" applyBorder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0" xfId="0" applyFont="1"/>
    <xf numFmtId="2" fontId="13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4" fontId="13" fillId="0" borderId="0" xfId="0" applyNumberFormat="1" applyFont="1" applyAlignment="1">
      <alignment horizontal="center"/>
    </xf>
    <xf numFmtId="9" fontId="13" fillId="0" borderId="0" xfId="0" applyNumberFormat="1" applyFont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4" fontId="13" fillId="0" borderId="1" xfId="0" applyNumberFormat="1" applyFont="1" applyBorder="1" applyAlignment="1">
      <alignment horizontal="center"/>
    </xf>
    <xf numFmtId="4" fontId="13" fillId="0" borderId="0" xfId="0" applyNumberFormat="1" applyFont="1" applyBorder="1" applyAlignment="1">
      <alignment horizontal="center"/>
    </xf>
    <xf numFmtId="4" fontId="13" fillId="0" borderId="2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9" fontId="11" fillId="0" borderId="0" xfId="0" applyNumberFormat="1" applyFont="1" applyAlignment="1">
      <alignment horizontal="center"/>
    </xf>
    <xf numFmtId="164" fontId="13" fillId="0" borderId="6" xfId="0" applyNumberFormat="1" applyFont="1" applyBorder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 applyAlignment="1">
      <alignment horizontal="right"/>
    </xf>
    <xf numFmtId="0" fontId="8" fillId="0" borderId="0" xfId="0" applyFont="1"/>
    <xf numFmtId="4" fontId="13" fillId="0" borderId="0" xfId="0" applyNumberFormat="1" applyFont="1" applyAlignment="1">
      <alignment horizontal="right"/>
    </xf>
    <xf numFmtId="0" fontId="7" fillId="0" borderId="4" xfId="0" applyFont="1" applyBorder="1" applyAlignment="1">
      <alignment horizontal="right"/>
    </xf>
    <xf numFmtId="14" fontId="13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3" fillId="0" borderId="5" xfId="0" applyFont="1" applyBorder="1"/>
    <xf numFmtId="3" fontId="16" fillId="0" borderId="0" xfId="0" applyNumberFormat="1" applyFont="1"/>
    <xf numFmtId="0" fontId="16" fillId="0" borderId="0" xfId="0" applyFont="1" applyBorder="1"/>
    <xf numFmtId="0" fontId="19" fillId="0" borderId="0" xfId="0" applyFont="1" applyBorder="1"/>
    <xf numFmtId="0" fontId="5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3" fontId="19" fillId="0" borderId="0" xfId="0" applyNumberFormat="1" applyFont="1"/>
    <xf numFmtId="3" fontId="22" fillId="0" borderId="0" xfId="0" applyNumberFormat="1" applyFont="1"/>
    <xf numFmtId="3" fontId="3" fillId="0" borderId="0" xfId="0" applyNumberFormat="1" applyFont="1"/>
    <xf numFmtId="4" fontId="16" fillId="0" borderId="0" xfId="0" applyNumberFormat="1" applyFont="1"/>
    <xf numFmtId="4" fontId="19" fillId="0" borderId="0" xfId="0" applyNumberFormat="1" applyFont="1" applyAlignment="1">
      <alignment horizontal="right"/>
    </xf>
    <xf numFmtId="4" fontId="22" fillId="0" borderId="0" xfId="0" applyNumberFormat="1" applyFont="1" applyAlignment="1">
      <alignment horizontal="right"/>
    </xf>
    <xf numFmtId="0" fontId="2" fillId="0" borderId="0" xfId="0" applyFont="1"/>
    <xf numFmtId="0" fontId="1" fillId="0" borderId="0" xfId="0" applyFont="1"/>
    <xf numFmtId="0" fontId="2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>
        <row r="47">
          <cell r="AT47">
            <v>7.0000000000000007E-2</v>
          </cell>
        </row>
        <row r="48">
          <cell r="AT48">
            <v>-0.05</v>
          </cell>
        </row>
        <row r="49">
          <cell r="AT49">
            <v>0.01</v>
          </cell>
        </row>
        <row r="50">
          <cell r="AT50">
            <v>260.93479765840237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MZN.xlsx" TargetMode="External"/><Relationship Id="rId13" Type="http://schemas.openxmlformats.org/officeDocument/2006/relationships/hyperlink" Target="DSY%20FP.xlsx" TargetMode="External"/><Relationship Id="rId18" Type="http://schemas.openxmlformats.org/officeDocument/2006/relationships/hyperlink" Target="ADSK.xls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FB.xlsx" TargetMode="External"/><Relationship Id="rId21" Type="http://schemas.openxmlformats.org/officeDocument/2006/relationships/hyperlink" Target="VMW.xlsx" TargetMode="External"/><Relationship Id="rId7" Type="http://schemas.openxmlformats.org/officeDocument/2006/relationships/hyperlink" Target="GOOG.xlsx" TargetMode="External"/><Relationship Id="rId12" Type="http://schemas.openxmlformats.org/officeDocument/2006/relationships/hyperlink" Target="NOW.xlsx" TargetMode="External"/><Relationship Id="rId17" Type="http://schemas.openxmlformats.org/officeDocument/2006/relationships/hyperlink" Target="SNOW.xlsx" TargetMode="External"/><Relationship Id="rId25" Type="http://schemas.openxmlformats.org/officeDocument/2006/relationships/hyperlink" Target="ANSS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TEAM.xlsx" TargetMode="External"/><Relationship Id="rId20" Type="http://schemas.openxmlformats.org/officeDocument/2006/relationships/hyperlink" Target="SNPS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PLTR.xlsx" TargetMode="External"/><Relationship Id="rId24" Type="http://schemas.openxmlformats.org/officeDocument/2006/relationships/hyperlink" Target="VEEV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BIDU.xlsx" TargetMode="External"/><Relationship Id="rId23" Type="http://schemas.openxmlformats.org/officeDocument/2006/relationships/hyperlink" Target="WDAY.xlsx" TargetMode="External"/><Relationship Id="rId10" Type="http://schemas.openxmlformats.org/officeDocument/2006/relationships/hyperlink" Target="INTU.xlsx" TargetMode="External"/><Relationship Id="rId19" Type="http://schemas.openxmlformats.org/officeDocument/2006/relationships/hyperlink" Target="CDNS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700%20HK.xlsx" TargetMode="External"/><Relationship Id="rId14" Type="http://schemas.openxmlformats.org/officeDocument/2006/relationships/hyperlink" Target="SHOP.xlsx" TargetMode="External"/><Relationship Id="rId22" Type="http://schemas.openxmlformats.org/officeDocument/2006/relationships/hyperlink" Target="CSU%20C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X78"/>
  <sheetViews>
    <sheetView tabSelected="1"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5703125" style="2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6"/>
    <col min="19" max="19" width="8.5703125" style="27"/>
    <col min="20" max="20" width="8.5703125" style="25"/>
    <col min="21" max="22" width="8.5703125" style="26"/>
    <col min="23" max="23" width="8.5703125" style="27"/>
    <col min="24" max="16384" width="8.5703125" style="20"/>
  </cols>
  <sheetData>
    <row r="2" spans="2:24" x14ac:dyDescent="0.2">
      <c r="L2" s="29">
        <f>AVERAGE(L4:L6)</f>
        <v>0.52233594707061515</v>
      </c>
      <c r="P2" s="30">
        <f>AVERAGE(P4:P6)</f>
        <v>44.442050288440583</v>
      </c>
      <c r="Q2" s="40">
        <f>AVERAGE(Q4:Q6)</f>
        <v>19.660943543977282</v>
      </c>
      <c r="R2" s="40">
        <f>AVERAGE(R4:R6)</f>
        <v>17.660243915877423</v>
      </c>
      <c r="S2" s="31">
        <f>AVERAGE(S4:S6)</f>
        <v>13.776215113939967</v>
      </c>
    </row>
    <row r="3" spans="2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6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52" t="s">
        <v>239</v>
      </c>
      <c r="Q3" s="53" t="s">
        <v>240</v>
      </c>
      <c r="R3" s="53" t="s">
        <v>241</v>
      </c>
      <c r="S3" s="19">
        <v>2025</v>
      </c>
      <c r="T3" s="52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2:24" x14ac:dyDescent="0.2">
      <c r="B4" s="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 t="shared" ref="G4:G10" si="0">+E4-F4</f>
        <v>1836894</v>
      </c>
      <c r="H4" s="22">
        <f>+[1]Main!$L$3</f>
        <v>7534</v>
      </c>
      <c r="I4" s="23" t="s">
        <v>14</v>
      </c>
      <c r="J4" s="47">
        <v>44794</v>
      </c>
      <c r="K4" s="28">
        <f>+[1]Model!$AJ$32</f>
        <v>240.35788054423469</v>
      </c>
      <c r="L4" s="29">
        <f>K4/D4-1</f>
        <v>-4.6198886729227451E-2</v>
      </c>
      <c r="M4" s="29">
        <f>+[1]Model!$AJ$29</f>
        <v>7.0000000000000007E-2</v>
      </c>
      <c r="N4" s="29">
        <f>+[1]Model!$AJ$28</f>
        <v>0</v>
      </c>
      <c r="O4" s="29">
        <f>+[1]Model!$AJ$30</f>
        <v>0.01</v>
      </c>
    </row>
    <row r="5" spans="2:24" x14ac:dyDescent="0.2">
      <c r="B5" s="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 t="shared" si="0"/>
        <v>1254992.1599999999</v>
      </c>
      <c r="H5" s="22">
        <f>[2]Main!$L$3</f>
        <v>13239</v>
      </c>
      <c r="I5" s="23" t="s">
        <v>210</v>
      </c>
      <c r="J5" s="47">
        <v>44789</v>
      </c>
      <c r="K5" s="28">
        <f>+[2]Model!$AM$32</f>
        <v>179.60004861383993</v>
      </c>
      <c r="L5" s="29">
        <f>K5/D5-1</f>
        <v>0.70333885255917994</v>
      </c>
      <c r="M5" s="29">
        <f>+[2]Model!$AM$29</f>
        <v>0.08</v>
      </c>
      <c r="N5" s="29">
        <f>+[2]Model!$AM$28</f>
        <v>-0.01</v>
      </c>
      <c r="O5" s="29">
        <f>+[2]Model!$AM$30</f>
        <v>0.01</v>
      </c>
      <c r="P5" s="30">
        <f t="shared" ref="P5:S6" si="1">+($G5/$H5)/T5</f>
        <v>16.876759090129248</v>
      </c>
      <c r="Q5" s="31">
        <f t="shared" si="1"/>
        <v>14.645179621110156</v>
      </c>
      <c r="R5" s="31">
        <f t="shared" si="1"/>
        <v>12.490319735060142</v>
      </c>
      <c r="S5" s="32">
        <f t="shared" si="1"/>
        <v>10.772106224349255</v>
      </c>
      <c r="T5" s="33">
        <f>+[2]Model!AB25</f>
        <v>5.6169011322607476</v>
      </c>
      <c r="U5" s="34">
        <f>+[2]Model!AC25</f>
        <v>6.4727841989453889</v>
      </c>
      <c r="V5" s="34">
        <f>+[2]Model!AD25</f>
        <v>7.5894844369876644</v>
      </c>
      <c r="W5" s="35">
        <f>+[2]Model!AE25</f>
        <v>8.800051286902848</v>
      </c>
    </row>
    <row r="6" spans="2:24" x14ac:dyDescent="0.2">
      <c r="B6" s="5" t="s">
        <v>11</v>
      </c>
      <c r="C6" s="20" t="s">
        <v>12</v>
      </c>
      <c r="D6" s="21">
        <v>121.12</v>
      </c>
      <c r="E6" s="22">
        <f>+D6*[3]Main!$K$3</f>
        <v>1233916.6395561602</v>
      </c>
      <c r="F6" s="22">
        <f>[3]Main!$K$5-[3]Main!$K$6</f>
        <v>2657</v>
      </c>
      <c r="G6" s="22">
        <f t="shared" si="0"/>
        <v>1231259.6395561602</v>
      </c>
      <c r="H6" s="22">
        <f>+[3]Main!$K$3</f>
        <v>10187.554818000001</v>
      </c>
      <c r="I6" s="23" t="s">
        <v>14</v>
      </c>
      <c r="J6" s="47">
        <v>44796</v>
      </c>
      <c r="K6" s="28">
        <f>+[3]Model!$BG$47</f>
        <v>231.32319706625486</v>
      </c>
      <c r="L6" s="29">
        <f>K6/D6-1</f>
        <v>0.90986787538189273</v>
      </c>
      <c r="M6" s="39">
        <f>+[3]Model!$BG$43</f>
        <v>7.0000000000000007E-2</v>
      </c>
      <c r="N6" s="29">
        <f>+[3]Model!$BG$45</f>
        <v>0</v>
      </c>
      <c r="O6" s="29">
        <f>+[3]Model!$BG$44</f>
        <v>0.01</v>
      </c>
      <c r="P6" s="30">
        <f t="shared" si="1"/>
        <v>72.007341486751912</v>
      </c>
      <c r="Q6" s="31">
        <f t="shared" si="1"/>
        <v>24.676707466844412</v>
      </c>
      <c r="R6" s="31">
        <f t="shared" si="1"/>
        <v>22.830168096694702</v>
      </c>
      <c r="S6" s="32">
        <f t="shared" si="1"/>
        <v>16.78032400353068</v>
      </c>
      <c r="T6" s="33">
        <f>+[3]Model!$AV$34</f>
        <v>1.6784287420147448</v>
      </c>
      <c r="U6" s="34">
        <f>+[3]Model!$AW$34</f>
        <v>4.897703299754288</v>
      </c>
      <c r="V6" s="34">
        <f>+[3]Model!$AX$34</f>
        <v>5.2938371314459518</v>
      </c>
      <c r="W6" s="35">
        <f>+[3]Model!$AY$34</f>
        <v>7.2024349209232001</v>
      </c>
    </row>
    <row r="7" spans="2:24" x14ac:dyDescent="0.2">
      <c r="B7" s="5" t="s">
        <v>13</v>
      </c>
      <c r="C7" s="20" t="s">
        <v>205</v>
      </c>
      <c r="D7" s="21">
        <v>165</v>
      </c>
      <c r="E7" s="22">
        <f>+D7*[4]Main!$M$3</f>
        <v>452430</v>
      </c>
      <c r="F7" s="22">
        <f>+[4]Main!$M$5-[4]Main!$M$6</f>
        <v>43890</v>
      </c>
      <c r="G7" s="22">
        <f t="shared" si="0"/>
        <v>408540</v>
      </c>
      <c r="H7" s="22">
        <f>+[4]Main!$M$3</f>
        <v>2742</v>
      </c>
      <c r="I7" s="23" t="s">
        <v>14</v>
      </c>
      <c r="J7" s="47">
        <v>44798</v>
      </c>
      <c r="K7" s="28">
        <f>+[4]Model!$AT$50</f>
        <v>260.93479765840237</v>
      </c>
      <c r="L7" s="29">
        <f>K7/D7-1</f>
        <v>0.58142301611152947</v>
      </c>
      <c r="M7" s="29">
        <f>+[4]Model!$AT$47</f>
        <v>7.0000000000000007E-2</v>
      </c>
      <c r="N7" s="29">
        <f>+[4]Model!$AT$48</f>
        <v>-0.05</v>
      </c>
      <c r="O7" s="29">
        <f>+[4]Model!$AT$49</f>
        <v>0.01</v>
      </c>
      <c r="X7" s="20">
        <v>2004</v>
      </c>
    </row>
    <row r="8" spans="2:24" x14ac:dyDescent="0.2">
      <c r="B8" s="5" t="s">
        <v>15</v>
      </c>
      <c r="C8" s="20" t="s">
        <v>16</v>
      </c>
      <c r="D8" s="21">
        <v>391.4</v>
      </c>
      <c r="E8" s="22">
        <f>+D8*[5]Main!$L$3*1000/HKD</f>
        <v>475575.58154347877</v>
      </c>
      <c r="F8" s="22">
        <f>([5]Main!$L$5-[5]Main!$L$6)/HKD*1000</f>
        <v>97072.536879920503</v>
      </c>
      <c r="G8" s="22">
        <f t="shared" si="0"/>
        <v>378503.04466355825</v>
      </c>
      <c r="H8" s="22"/>
      <c r="I8" s="23" t="s">
        <v>14</v>
      </c>
    </row>
    <row r="9" spans="2:24" x14ac:dyDescent="0.2">
      <c r="B9" s="5" t="s">
        <v>23</v>
      </c>
      <c r="C9" s="20" t="s">
        <v>24</v>
      </c>
      <c r="D9" s="21">
        <v>71.02</v>
      </c>
      <c r="E9" s="22">
        <f>+D9*[6]Main!$G$3</f>
        <v>194736.84</v>
      </c>
      <c r="F9" s="22">
        <f>+[6]Main!$G$5-[6]Main!$G$6</f>
        <v>-53957</v>
      </c>
      <c r="G9" s="22">
        <f t="shared" si="0"/>
        <v>248693.84</v>
      </c>
      <c r="H9" s="22"/>
      <c r="I9" s="23" t="s">
        <v>14</v>
      </c>
    </row>
    <row r="10" spans="2:24" x14ac:dyDescent="0.2">
      <c r="B10" s="5" t="s">
        <v>19</v>
      </c>
      <c r="C10" s="20" t="s">
        <v>20</v>
      </c>
      <c r="D10" s="21">
        <v>393.84</v>
      </c>
      <c r="E10" s="22">
        <f>+D10*[7]Main!$N$3</f>
        <v>186089.4</v>
      </c>
      <c r="F10" s="22">
        <f>+[7]Main!$N$5-[7]Main!$N$6</f>
        <v>1173</v>
      </c>
      <c r="G10" s="22">
        <f t="shared" si="0"/>
        <v>184916.4</v>
      </c>
      <c r="H10" s="22"/>
      <c r="I10" s="23" t="s">
        <v>210</v>
      </c>
    </row>
    <row r="11" spans="2:24" x14ac:dyDescent="0.2">
      <c r="B11" s="5" t="s">
        <v>21</v>
      </c>
      <c r="C11" s="20" t="s">
        <v>22</v>
      </c>
      <c r="D11" s="21">
        <v>189</v>
      </c>
      <c r="E11" s="22">
        <f>+D11*[8]Main!$M$3</f>
        <v>188055</v>
      </c>
      <c r="F11" s="22">
        <f>+[8]Main!$M$5-[8]Main!$M$6</f>
        <v>7842</v>
      </c>
      <c r="G11" s="22">
        <f t="shared" ref="G11:G26" si="2">E11-F11</f>
        <v>180213</v>
      </c>
      <c r="H11" s="22"/>
      <c r="I11" s="23" t="s">
        <v>14</v>
      </c>
    </row>
    <row r="12" spans="2:24" x14ac:dyDescent="0.2">
      <c r="B12" s="5" t="s">
        <v>26</v>
      </c>
      <c r="C12" s="20" t="s">
        <v>27</v>
      </c>
      <c r="D12" s="21">
        <v>413.72</v>
      </c>
      <c r="E12" s="22">
        <f>D12*[9]Main!$L$3</f>
        <v>118323.92000000001</v>
      </c>
      <c r="F12" s="22">
        <f>[9]Main!$L$5-[9]Main!$L$6</f>
        <v>-2851</v>
      </c>
      <c r="G12" s="22">
        <f t="shared" si="2"/>
        <v>121174.92000000001</v>
      </c>
      <c r="H12" s="22"/>
      <c r="I12" s="23" t="s">
        <v>14</v>
      </c>
    </row>
    <row r="13" spans="2:24" x14ac:dyDescent="0.2">
      <c r="B13" s="5" t="s">
        <v>25</v>
      </c>
      <c r="C13" s="20" t="s">
        <v>25</v>
      </c>
      <c r="D13" s="21">
        <v>99.86</v>
      </c>
      <c r="E13" s="22">
        <f>+D13*[10]Main!$L$3</f>
        <v>117834.8</v>
      </c>
      <c r="F13" s="22">
        <f>+[10]Main!$L$5-[10]Main!$L$6</f>
        <v>870</v>
      </c>
      <c r="G13" s="22">
        <f t="shared" si="2"/>
        <v>116964.8</v>
      </c>
      <c r="H13" s="22"/>
      <c r="I13" s="23" t="s">
        <v>14</v>
      </c>
    </row>
    <row r="14" spans="2:24" x14ac:dyDescent="0.2">
      <c r="B14" s="5" t="s">
        <v>29</v>
      </c>
      <c r="C14" s="20" t="s">
        <v>30</v>
      </c>
      <c r="D14" s="21">
        <v>440</v>
      </c>
      <c r="E14" s="22">
        <f>+D14*[11]Main!$L$3</f>
        <v>88000</v>
      </c>
      <c r="F14" s="22">
        <f>+[11]Main!$L$5-[11]Main!$L$6</f>
        <v>3926</v>
      </c>
      <c r="G14" s="22">
        <f t="shared" si="2"/>
        <v>84074</v>
      </c>
      <c r="H14" s="22"/>
      <c r="I14" s="23" t="s">
        <v>14</v>
      </c>
    </row>
    <row r="15" spans="2:24" x14ac:dyDescent="0.2">
      <c r="B15" s="5" t="s">
        <v>187</v>
      </c>
      <c r="C15" s="20" t="s">
        <v>188</v>
      </c>
      <c r="D15" s="21">
        <v>122.42</v>
      </c>
      <c r="E15" s="22">
        <f>+D15*H15</f>
        <v>51593.343664439999</v>
      </c>
      <c r="F15" s="22">
        <f>+[12]Main!$M$5-[12]Main!$M$6</f>
        <v>-8207</v>
      </c>
      <c r="G15" s="22">
        <f t="shared" si="2"/>
        <v>59800.343664439999</v>
      </c>
      <c r="H15" s="22">
        <f>+[12]Main!$M$3</f>
        <v>421.445382</v>
      </c>
      <c r="I15" s="51" t="s">
        <v>14</v>
      </c>
    </row>
    <row r="16" spans="2:24" x14ac:dyDescent="0.2">
      <c r="B16" s="5" t="s">
        <v>189</v>
      </c>
      <c r="C16" s="20" t="s">
        <v>190</v>
      </c>
      <c r="D16" s="21">
        <v>375.71</v>
      </c>
      <c r="E16" s="22">
        <f>+D16*H16</f>
        <v>57472.452251789997</v>
      </c>
      <c r="F16" s="22">
        <f>+[13]Main!$N$5-[13]Main!$N$6</f>
        <v>1696.7459999999999</v>
      </c>
      <c r="G16" s="22">
        <f t="shared" si="2"/>
        <v>55775.706251789998</v>
      </c>
      <c r="H16" s="22">
        <f>+[13]Main!$N$3</f>
        <v>152.970249</v>
      </c>
      <c r="I16" s="48" t="s">
        <v>14</v>
      </c>
      <c r="J16" s="47">
        <v>44783</v>
      </c>
    </row>
    <row r="17" spans="2:24" x14ac:dyDescent="0.2">
      <c r="B17" s="5" t="s">
        <v>185</v>
      </c>
      <c r="C17" s="20" t="s">
        <v>186</v>
      </c>
      <c r="D17" s="21">
        <v>39.74</v>
      </c>
      <c r="E17" s="22">
        <f>+D17*[14]Main!$L$3*EUR</f>
        <v>53089.738980000009</v>
      </c>
      <c r="F17" s="22">
        <f>+([14]Main!$L$5-[14]Main!$L$6)*EUR</f>
        <v>-490.25400000000008</v>
      </c>
      <c r="G17" s="22">
        <f t="shared" si="2"/>
        <v>53579.99298000001</v>
      </c>
      <c r="H17" s="22"/>
      <c r="I17" s="23" t="s">
        <v>210</v>
      </c>
    </row>
    <row r="18" spans="2:24" x14ac:dyDescent="0.2">
      <c r="B18" s="5" t="s">
        <v>48</v>
      </c>
      <c r="C18" s="20" t="s">
        <v>49</v>
      </c>
      <c r="D18" s="21">
        <v>186</v>
      </c>
      <c r="E18" s="22">
        <f>+D18*H18</f>
        <v>51584.495999999999</v>
      </c>
      <c r="F18" s="22">
        <f>+[15]Main!$K$5-[15]Main!$K$6</f>
        <v>741.35200000000009</v>
      </c>
      <c r="G18" s="22">
        <f t="shared" si="2"/>
        <v>50843.144</v>
      </c>
      <c r="H18" s="22">
        <f>+[15]Main!$K$3</f>
        <v>277.33600000000001</v>
      </c>
      <c r="I18" s="43" t="s">
        <v>231</v>
      </c>
      <c r="J18" s="43"/>
    </row>
    <row r="19" spans="2:24" x14ac:dyDescent="0.2">
      <c r="B19" s="5" t="s">
        <v>40</v>
      </c>
      <c r="C19" s="20" t="s">
        <v>41</v>
      </c>
      <c r="D19" s="21">
        <v>200.8</v>
      </c>
      <c r="E19" s="22">
        <f>+D19*[16]Main!$L$3</f>
        <v>50947.578400000006</v>
      </c>
      <c r="F19" s="22">
        <f>+[16]Main!$L$5-[16]Main!$L$6</f>
        <v>432.39900000000011</v>
      </c>
      <c r="G19" s="22">
        <f t="shared" si="2"/>
        <v>50515.179400000008</v>
      </c>
      <c r="H19" s="22">
        <f>+[16]Main!$L$3</f>
        <v>253.72300000000001</v>
      </c>
      <c r="I19" s="36" t="s">
        <v>14</v>
      </c>
      <c r="J19" s="36"/>
    </row>
    <row r="20" spans="2:24" x14ac:dyDescent="0.2">
      <c r="B20" s="5" t="s">
        <v>46</v>
      </c>
      <c r="C20" s="20" t="s">
        <v>47</v>
      </c>
      <c r="D20" s="21">
        <v>203.73</v>
      </c>
      <c r="E20" s="22">
        <f>+D20*H20</f>
        <v>44264.86632465</v>
      </c>
      <c r="F20" s="22">
        <f>+[17]Main!$L$5-[17]Main!$L$6</f>
        <v>-1005</v>
      </c>
      <c r="G20" s="22">
        <f t="shared" si="2"/>
        <v>45269.86632465</v>
      </c>
      <c r="H20" s="22">
        <f>+[17]Main!$L$3</f>
        <v>217.27220500000001</v>
      </c>
      <c r="I20" s="41" t="s">
        <v>14</v>
      </c>
      <c r="J20" s="41"/>
      <c r="X20" s="20">
        <v>1982</v>
      </c>
    </row>
    <row r="21" spans="2:24" x14ac:dyDescent="0.2">
      <c r="B21" s="5" t="s">
        <v>50</v>
      </c>
      <c r="C21" s="20" t="s">
        <v>51</v>
      </c>
      <c r="D21" s="21">
        <v>168</v>
      </c>
      <c r="E21" s="22">
        <f>+D21*H21</f>
        <v>42336</v>
      </c>
      <c r="F21" s="22">
        <f>+[18]Main!$P$5-[18]Main!$P$6</f>
        <v>2134</v>
      </c>
      <c r="G21" s="22">
        <f t="shared" si="2"/>
        <v>40202</v>
      </c>
      <c r="H21" s="23">
        <f>+[18]Main!$P$3</f>
        <v>252</v>
      </c>
      <c r="I21" s="51" t="s">
        <v>14</v>
      </c>
      <c r="J21" s="47">
        <v>44793</v>
      </c>
    </row>
    <row r="22" spans="2:24" x14ac:dyDescent="0.2">
      <c r="B22" s="5" t="s">
        <v>36</v>
      </c>
      <c r="C22" s="20" t="s">
        <v>37</v>
      </c>
      <c r="D22" s="21">
        <v>36.71</v>
      </c>
      <c r="E22" s="22">
        <f>+D22*[19]Main!$M$3</f>
        <v>46254.6</v>
      </c>
      <c r="F22" s="22">
        <f>+[19]Main!$M$5-[19]Main!$M$6</f>
        <v>6335.1410000000005</v>
      </c>
      <c r="G22" s="22">
        <f t="shared" si="2"/>
        <v>39919.458999999995</v>
      </c>
      <c r="H22" s="22"/>
      <c r="I22" s="23" t="s">
        <v>14</v>
      </c>
    </row>
    <row r="23" spans="2:24" x14ac:dyDescent="0.2">
      <c r="B23" s="5" t="s">
        <v>44</v>
      </c>
      <c r="C23" s="20" t="s">
        <v>45</v>
      </c>
      <c r="D23" s="21">
        <v>135.57</v>
      </c>
      <c r="E23" s="22">
        <f>+D23*[20]Main!$M$3</f>
        <v>42617.920769999997</v>
      </c>
      <c r="F23" s="22">
        <f>+[20]Main!$M$5-[20]Main!$M$6</f>
        <v>5027.4579999999996</v>
      </c>
      <c r="G23" s="22">
        <f t="shared" si="2"/>
        <v>37590.462769999998</v>
      </c>
      <c r="H23" s="22">
        <f>+[20]Main!$M$3</f>
        <v>314.36099999999999</v>
      </c>
      <c r="I23" s="38" t="s">
        <v>14</v>
      </c>
      <c r="J23" s="38"/>
    </row>
    <row r="24" spans="2:24" x14ac:dyDescent="0.2">
      <c r="B24" s="5" t="s">
        <v>182</v>
      </c>
      <c r="C24" s="20" t="s">
        <v>183</v>
      </c>
      <c r="D24" s="21">
        <v>2189.48</v>
      </c>
      <c r="E24" s="22">
        <f>D24*H24/CAD</f>
        <v>35713.078128386704</v>
      </c>
      <c r="F24" s="22">
        <f>[21]Main!$O$5-[21]Main!$O$6</f>
        <v>-1206</v>
      </c>
      <c r="G24" s="22">
        <f t="shared" si="2"/>
        <v>36919.078128386704</v>
      </c>
      <c r="H24" s="22">
        <f>+[21]Main!$O$3</f>
        <v>21.19153</v>
      </c>
      <c r="I24" s="51" t="s">
        <v>210</v>
      </c>
      <c r="J24" s="47">
        <v>44792</v>
      </c>
    </row>
    <row r="25" spans="2:24" x14ac:dyDescent="0.2">
      <c r="B25" s="5" t="s">
        <v>180</v>
      </c>
      <c r="C25" s="20" t="s">
        <v>181</v>
      </c>
      <c r="D25" s="21">
        <v>228.96</v>
      </c>
      <c r="E25" s="22">
        <f>+D25*H25</f>
        <v>35453.770264799998</v>
      </c>
      <c r="F25" s="22">
        <f>+[22]Main!$M$5-[22]Main!$M$6</f>
        <v>2838.5529999999999</v>
      </c>
      <c r="G25" s="22">
        <f t="shared" si="2"/>
        <v>32615.217264799998</v>
      </c>
      <c r="H25" s="22">
        <f>+[22]Main!$M$3</f>
        <v>154.847005</v>
      </c>
      <c r="I25" s="60" t="s">
        <v>14</v>
      </c>
      <c r="J25" s="47">
        <v>44794</v>
      </c>
    </row>
    <row r="26" spans="2:24" x14ac:dyDescent="0.2">
      <c r="B26" s="5" t="s">
        <v>38</v>
      </c>
      <c r="C26" s="20" t="s">
        <v>39</v>
      </c>
      <c r="D26" s="21">
        <v>152.88</v>
      </c>
      <c r="E26" s="22">
        <f>+D26*[23]Main!$L$3</f>
        <v>52877.369999999995</v>
      </c>
      <c r="F26" s="22">
        <f>([23]Main!$L$5-[23]Main!$L$6)/RMB</f>
        <v>25459.792284866468</v>
      </c>
      <c r="G26" s="22">
        <f t="shared" si="2"/>
        <v>27417.577715133528</v>
      </c>
      <c r="H26" s="22">
        <f>+[23]Main!$L$3</f>
        <v>345.875</v>
      </c>
      <c r="I26" s="23" t="s">
        <v>14</v>
      </c>
      <c r="X26" s="20">
        <v>2000</v>
      </c>
    </row>
    <row r="27" spans="2:24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2:24" x14ac:dyDescent="0.2">
      <c r="B28" s="20" t="s">
        <v>52</v>
      </c>
      <c r="C28" s="20" t="s">
        <v>53</v>
      </c>
      <c r="D28" s="21">
        <v>107.93</v>
      </c>
      <c r="E28" s="22">
        <v>34000</v>
      </c>
    </row>
    <row r="29" spans="2:24" x14ac:dyDescent="0.2">
      <c r="B29" s="20" t="s">
        <v>79</v>
      </c>
      <c r="C29" s="20" t="s">
        <v>184</v>
      </c>
      <c r="D29" s="21">
        <v>113.23</v>
      </c>
      <c r="E29" s="22">
        <v>33330</v>
      </c>
    </row>
    <row r="30" spans="2:24" x14ac:dyDescent="0.2">
      <c r="B30" s="42" t="s">
        <v>229</v>
      </c>
      <c r="C30" s="42" t="s">
        <v>230</v>
      </c>
      <c r="D30" s="21">
        <v>121.2</v>
      </c>
      <c r="E30" s="22" cm="1">
        <f t="array" ref="E30">327904/SEK</f>
        <v>31700.842058451039</v>
      </c>
    </row>
    <row r="31" spans="2:24" x14ac:dyDescent="0.2">
      <c r="B31" s="20" t="s">
        <v>56</v>
      </c>
      <c r="C31" s="20" t="s">
        <v>57</v>
      </c>
      <c r="D31" s="21">
        <v>54.71</v>
      </c>
      <c r="E31" s="22">
        <v>28410</v>
      </c>
    </row>
    <row r="32" spans="2:24" x14ac:dyDescent="0.2">
      <c r="B32" s="20" t="s">
        <v>193</v>
      </c>
      <c r="C32" s="20" t="s">
        <v>194</v>
      </c>
      <c r="D32" s="21">
        <v>375.92</v>
      </c>
      <c r="E32" s="22">
        <v>25610</v>
      </c>
    </row>
    <row r="33" spans="2:10" x14ac:dyDescent="0.2">
      <c r="B33" s="20" t="s">
        <v>191</v>
      </c>
      <c r="C33" s="20" t="s">
        <v>192</v>
      </c>
      <c r="D33" s="21">
        <v>181.71</v>
      </c>
      <c r="E33" s="22">
        <v>25220</v>
      </c>
    </row>
    <row r="34" spans="2:10" x14ac:dyDescent="0.2">
      <c r="B34" s="5" t="s">
        <v>62</v>
      </c>
      <c r="C34" s="20" t="s">
        <v>63</v>
      </c>
      <c r="D34" s="21">
        <v>236.61</v>
      </c>
      <c r="E34" s="22">
        <f>+D34*H34</f>
        <v>20601.316825649999</v>
      </c>
      <c r="F34" s="22">
        <f>+[24]Main!$M$5-[24]Main!$M$6</f>
        <v>-235.76700000000005</v>
      </c>
      <c r="G34" s="22">
        <f>E34-F34</f>
        <v>20837.083825649999</v>
      </c>
      <c r="H34" s="22">
        <f>+[24]Main!$M$3</f>
        <v>87.068664999999996</v>
      </c>
      <c r="I34" s="61" t="s">
        <v>210</v>
      </c>
      <c r="J34" s="47">
        <v>44795</v>
      </c>
    </row>
    <row r="35" spans="2:10" x14ac:dyDescent="0.2">
      <c r="B35" s="5" t="s">
        <v>75</v>
      </c>
      <c r="C35" s="20" t="s">
        <v>76</v>
      </c>
      <c r="D35" s="21">
        <v>102.23</v>
      </c>
      <c r="E35" s="22">
        <f>+D35*[25]Main!$K$3</f>
        <v>20147.20788088</v>
      </c>
      <c r="F35" s="22">
        <f>+[25]Main!$K$5-[25]Main!$K$6</f>
        <v>3155</v>
      </c>
      <c r="G35" s="22">
        <f>E35-F35</f>
        <v>16992.20788088</v>
      </c>
      <c r="H35" s="22"/>
      <c r="I35" s="23" t="s">
        <v>14</v>
      </c>
    </row>
    <row r="36" spans="2:10" x14ac:dyDescent="0.2">
      <c r="B36" s="5" t="s">
        <v>154</v>
      </c>
      <c r="C36" s="20" t="s">
        <v>155</v>
      </c>
      <c r="D36" s="21">
        <v>9.35</v>
      </c>
      <c r="E36" s="22">
        <f>D36*[26]Main!$L$3</f>
        <v>19036.599999999999</v>
      </c>
      <c r="F36" s="22">
        <f>[26]Main!$L$5-[26]Main!$L$6</f>
        <v>2585</v>
      </c>
      <c r="G36" s="22">
        <f>E36-F36</f>
        <v>16451.599999999999</v>
      </c>
      <c r="H36" s="22"/>
      <c r="I36" s="23" t="s">
        <v>14</v>
      </c>
    </row>
    <row r="37" spans="2:10" x14ac:dyDescent="0.2">
      <c r="B37" s="20" t="s">
        <v>65</v>
      </c>
      <c r="C37" s="20" t="s">
        <v>66</v>
      </c>
      <c r="D37" s="21">
        <v>312</v>
      </c>
      <c r="E37" s="22">
        <v>19090</v>
      </c>
    </row>
    <row r="38" spans="2:10" x14ac:dyDescent="0.2">
      <c r="B38" s="20" t="s">
        <v>67</v>
      </c>
      <c r="C38" s="20" t="s">
        <v>68</v>
      </c>
      <c r="D38" s="21">
        <v>90.1</v>
      </c>
      <c r="E38" s="22">
        <v>18840</v>
      </c>
    </row>
    <row r="39" spans="2:10" x14ac:dyDescent="0.2">
      <c r="B39" s="20" t="s">
        <v>69</v>
      </c>
      <c r="C39" s="20" t="s">
        <v>70</v>
      </c>
      <c r="D39" s="21">
        <v>360.34</v>
      </c>
      <c r="E39" s="22">
        <v>18140</v>
      </c>
    </row>
    <row r="40" spans="2:10" x14ac:dyDescent="0.2">
      <c r="B40" s="20" t="s">
        <v>195</v>
      </c>
      <c r="C40" s="20" t="s">
        <v>196</v>
      </c>
      <c r="D40" s="21">
        <v>114.84</v>
      </c>
      <c r="E40" s="22">
        <v>17930</v>
      </c>
    </row>
    <row r="41" spans="2:10" x14ac:dyDescent="0.2">
      <c r="B41" s="20" t="s">
        <v>73</v>
      </c>
      <c r="C41" s="20" t="s">
        <v>74</v>
      </c>
      <c r="D41" s="21">
        <v>43.75</v>
      </c>
      <c r="E41" s="22">
        <v>17180</v>
      </c>
    </row>
    <row r="42" spans="2:10" x14ac:dyDescent="0.2">
      <c r="B42" s="20" t="s">
        <v>79</v>
      </c>
      <c r="C42" s="20" t="s">
        <v>80</v>
      </c>
      <c r="D42" s="21">
        <v>40.44</v>
      </c>
      <c r="E42" s="22">
        <v>16810</v>
      </c>
    </row>
    <row r="43" spans="2:10" x14ac:dyDescent="0.2">
      <c r="B43" s="20" t="s">
        <v>83</v>
      </c>
      <c r="C43" s="20" t="s">
        <v>84</v>
      </c>
      <c r="D43" s="21">
        <v>63.5</v>
      </c>
      <c r="E43" s="22">
        <v>16440</v>
      </c>
    </row>
    <row r="44" spans="2:10" x14ac:dyDescent="0.2">
      <c r="B44" s="20" t="s">
        <v>85</v>
      </c>
      <c r="C44" s="20" t="s">
        <v>86</v>
      </c>
      <c r="D44" s="21">
        <v>363.45</v>
      </c>
      <c r="E44" s="22">
        <v>15250</v>
      </c>
    </row>
    <row r="45" spans="2:10" x14ac:dyDescent="0.2">
      <c r="B45" s="20" t="s">
        <v>197</v>
      </c>
      <c r="C45" s="20" t="s">
        <v>198</v>
      </c>
      <c r="D45" s="21">
        <v>87.46</v>
      </c>
      <c r="E45" s="22">
        <v>16020</v>
      </c>
    </row>
    <row r="46" spans="2:10" x14ac:dyDescent="0.2">
      <c r="B46" s="20" t="s">
        <v>203</v>
      </c>
      <c r="C46" s="20" t="s">
        <v>204</v>
      </c>
      <c r="D46" s="21">
        <v>97.08</v>
      </c>
      <c r="E46" s="22">
        <v>15070</v>
      </c>
    </row>
    <row r="47" spans="2:10" x14ac:dyDescent="0.2">
      <c r="B47" s="20" t="s">
        <v>201</v>
      </c>
      <c r="C47" s="20" t="s">
        <v>202</v>
      </c>
      <c r="D47" s="21">
        <v>107.11</v>
      </c>
      <c r="E47" s="22">
        <v>16630</v>
      </c>
    </row>
    <row r="48" spans="2:10" x14ac:dyDescent="0.2">
      <c r="B48" s="20" t="s">
        <v>90</v>
      </c>
      <c r="C48" s="20" t="s">
        <v>91</v>
      </c>
      <c r="D48" s="21">
        <v>135.02000000000001</v>
      </c>
      <c r="E48" s="22">
        <v>14050</v>
      </c>
    </row>
    <row r="49" spans="2:5" x14ac:dyDescent="0.2">
      <c r="B49" s="20" t="s">
        <v>92</v>
      </c>
      <c r="C49" s="20" t="s">
        <v>93</v>
      </c>
      <c r="D49" s="21">
        <v>206.61</v>
      </c>
      <c r="E49" s="22">
        <v>13880</v>
      </c>
    </row>
    <row r="50" spans="2:5" x14ac:dyDescent="0.2">
      <c r="B50" s="20" t="s">
        <v>94</v>
      </c>
      <c r="C50" s="20" t="s">
        <v>94</v>
      </c>
      <c r="D50" s="21">
        <v>115.52</v>
      </c>
      <c r="E50" s="22">
        <v>13640</v>
      </c>
    </row>
    <row r="51" spans="2:5" x14ac:dyDescent="0.2">
      <c r="B51" s="20" t="s">
        <v>95</v>
      </c>
      <c r="C51" s="20" t="s">
        <v>95</v>
      </c>
      <c r="D51" s="21">
        <v>206.68</v>
      </c>
      <c r="E51" s="22">
        <v>12990</v>
      </c>
    </row>
    <row r="52" spans="2:5" x14ac:dyDescent="0.2">
      <c r="B52" s="20" t="s">
        <v>96</v>
      </c>
      <c r="C52" s="20" t="s">
        <v>97</v>
      </c>
      <c r="D52" s="21">
        <v>43.77</v>
      </c>
      <c r="E52" s="22">
        <v>12660</v>
      </c>
    </row>
    <row r="53" spans="2:5" x14ac:dyDescent="0.2">
      <c r="B53" s="20" t="s">
        <v>100</v>
      </c>
      <c r="C53" s="20" t="s">
        <v>101</v>
      </c>
      <c r="D53" s="21">
        <v>98.74</v>
      </c>
      <c r="E53" s="22">
        <v>12490</v>
      </c>
    </row>
    <row r="54" spans="2:5" x14ac:dyDescent="0.2">
      <c r="B54" s="20" t="s">
        <v>102</v>
      </c>
      <c r="C54" s="20" t="s">
        <v>103</v>
      </c>
      <c r="D54" s="21">
        <v>40.369999999999997</v>
      </c>
      <c r="E54" s="22">
        <v>11000</v>
      </c>
    </row>
    <row r="55" spans="2:5" x14ac:dyDescent="0.2">
      <c r="B55" s="20" t="s">
        <v>104</v>
      </c>
      <c r="C55" s="20" t="s">
        <v>105</v>
      </c>
      <c r="D55" s="21">
        <v>408.48</v>
      </c>
      <c r="E55" s="22">
        <v>10570</v>
      </c>
    </row>
    <row r="56" spans="2:5" x14ac:dyDescent="0.2">
      <c r="B56" s="20" t="s">
        <v>108</v>
      </c>
      <c r="C56" s="20" t="s">
        <v>109</v>
      </c>
      <c r="D56" s="21">
        <v>80.52</v>
      </c>
      <c r="E56" s="22">
        <v>10310</v>
      </c>
    </row>
    <row r="57" spans="2:5" x14ac:dyDescent="0.2">
      <c r="B57" s="20" t="s">
        <v>110</v>
      </c>
      <c r="C57" s="20" t="s">
        <v>111</v>
      </c>
      <c r="D57" s="21">
        <v>35.200000000000003</v>
      </c>
      <c r="E57" s="22">
        <v>10210</v>
      </c>
    </row>
    <row r="58" spans="2:5" x14ac:dyDescent="0.2">
      <c r="B58" s="20" t="s">
        <v>113</v>
      </c>
      <c r="C58" s="20" t="s">
        <v>114</v>
      </c>
      <c r="D58" s="21">
        <v>8.17</v>
      </c>
      <c r="E58" s="22">
        <v>9320</v>
      </c>
    </row>
    <row r="59" spans="2:5" x14ac:dyDescent="0.2">
      <c r="B59" s="20" t="s">
        <v>115</v>
      </c>
      <c r="C59" s="20" t="s">
        <v>116</v>
      </c>
      <c r="D59" s="21">
        <v>14.73</v>
      </c>
      <c r="E59" s="22">
        <v>9140</v>
      </c>
    </row>
    <row r="60" spans="2:5" x14ac:dyDescent="0.2">
      <c r="B60" s="20" t="s">
        <v>117</v>
      </c>
      <c r="C60" s="20" t="s">
        <v>118</v>
      </c>
      <c r="D60" s="21">
        <v>56.9</v>
      </c>
      <c r="E60" s="22">
        <v>9000</v>
      </c>
    </row>
    <row r="61" spans="2:5" x14ac:dyDescent="0.2">
      <c r="B61" s="20" t="s">
        <v>119</v>
      </c>
      <c r="C61" s="20" t="s">
        <v>120</v>
      </c>
      <c r="D61" s="21">
        <v>203.42</v>
      </c>
      <c r="E61" s="22">
        <v>8580</v>
      </c>
    </row>
    <row r="62" spans="2:5" x14ac:dyDescent="0.2">
      <c r="B62" s="20" t="s">
        <v>122</v>
      </c>
      <c r="C62" s="20" t="s">
        <v>123</v>
      </c>
      <c r="D62" s="21">
        <v>126.81</v>
      </c>
      <c r="E62" s="22">
        <v>8200</v>
      </c>
    </row>
    <row r="63" spans="2:5" x14ac:dyDescent="0.2">
      <c r="B63" s="20" t="s">
        <v>124</v>
      </c>
      <c r="C63" s="20" t="s">
        <v>125</v>
      </c>
      <c r="D63" s="21">
        <v>50.35</v>
      </c>
      <c r="E63" s="22">
        <v>8150</v>
      </c>
    </row>
    <row r="64" spans="2:5" x14ac:dyDescent="0.2">
      <c r="B64" s="20" t="s">
        <v>127</v>
      </c>
      <c r="C64" s="20" t="s">
        <v>128</v>
      </c>
      <c r="D64" s="21">
        <v>88.7</v>
      </c>
      <c r="E64" s="22">
        <v>7910</v>
      </c>
    </row>
    <row r="65" spans="2:5" x14ac:dyDescent="0.2">
      <c r="B65" s="20" t="s">
        <v>129</v>
      </c>
      <c r="C65" s="20" t="s">
        <v>130</v>
      </c>
      <c r="D65" s="21">
        <v>78.3</v>
      </c>
      <c r="E65" s="22">
        <v>7580</v>
      </c>
    </row>
    <row r="66" spans="2:5" x14ac:dyDescent="0.2">
      <c r="B66" s="20" t="s">
        <v>131</v>
      </c>
      <c r="C66" s="20" t="s">
        <v>132</v>
      </c>
      <c r="D66" s="21">
        <v>50.36</v>
      </c>
      <c r="E66" s="22">
        <v>7140</v>
      </c>
    </row>
    <row r="67" spans="2:5" x14ac:dyDescent="0.2">
      <c r="B67" s="20" t="s">
        <v>133</v>
      </c>
      <c r="C67" s="20" t="s">
        <v>134</v>
      </c>
      <c r="D67" s="21">
        <v>80.58</v>
      </c>
      <c r="E67" s="22">
        <v>6930</v>
      </c>
    </row>
    <row r="68" spans="2:5" x14ac:dyDescent="0.2">
      <c r="B68" s="20" t="s">
        <v>135</v>
      </c>
      <c r="C68" s="20" t="s">
        <v>136</v>
      </c>
      <c r="D68" s="21">
        <v>32.869999999999997</v>
      </c>
      <c r="E68" s="22">
        <v>6880</v>
      </c>
    </row>
    <row r="69" spans="2:5" x14ac:dyDescent="0.2">
      <c r="B69" s="20" t="s">
        <v>137</v>
      </c>
      <c r="C69" s="20" t="s">
        <v>138</v>
      </c>
      <c r="D69" s="21">
        <v>17.63</v>
      </c>
      <c r="E69" s="22">
        <v>6480</v>
      </c>
    </row>
    <row r="70" spans="2:5" x14ac:dyDescent="0.2">
      <c r="B70" s="20" t="s">
        <v>139</v>
      </c>
      <c r="C70" s="20" t="s">
        <v>140</v>
      </c>
      <c r="D70" s="21">
        <v>54.6</v>
      </c>
      <c r="E70" s="22">
        <v>6370</v>
      </c>
    </row>
    <row r="71" spans="2:5" x14ac:dyDescent="0.2">
      <c r="B71" s="20" t="s">
        <v>141</v>
      </c>
      <c r="C71" s="20" t="s">
        <v>142</v>
      </c>
      <c r="D71" s="21">
        <v>62.59</v>
      </c>
      <c r="E71" s="22">
        <v>6350</v>
      </c>
    </row>
    <row r="72" spans="2:5" x14ac:dyDescent="0.2">
      <c r="B72" s="20" t="s">
        <v>143</v>
      </c>
      <c r="C72" s="20" t="s">
        <v>143</v>
      </c>
      <c r="D72" s="21">
        <v>62.71</v>
      </c>
      <c r="E72" s="22">
        <v>3603</v>
      </c>
    </row>
    <row r="73" spans="2:5" x14ac:dyDescent="0.2">
      <c r="B73" s="20" t="s">
        <v>144</v>
      </c>
      <c r="C73" s="20" t="s">
        <v>145</v>
      </c>
      <c r="D73" s="21">
        <v>21.19</v>
      </c>
      <c r="E73" s="22">
        <v>2965</v>
      </c>
    </row>
    <row r="74" spans="2:5" x14ac:dyDescent="0.2">
      <c r="B74" s="20" t="s">
        <v>149</v>
      </c>
      <c r="C74" s="20" t="s">
        <v>150</v>
      </c>
      <c r="D74" s="21">
        <v>26.99</v>
      </c>
      <c r="E74" s="22">
        <v>1400</v>
      </c>
    </row>
    <row r="75" spans="2:5" x14ac:dyDescent="0.2">
      <c r="B75" s="44" t="s">
        <v>232</v>
      </c>
      <c r="C75" s="44" t="s">
        <v>233</v>
      </c>
      <c r="D75" s="45">
        <v>31.44</v>
      </c>
      <c r="E75" s="22">
        <v>2220</v>
      </c>
    </row>
    <row r="76" spans="2:5" x14ac:dyDescent="0.2">
      <c r="B76" s="37" t="s">
        <v>225</v>
      </c>
      <c r="C76" s="37" t="s">
        <v>226</v>
      </c>
      <c r="D76" s="21">
        <v>13.95</v>
      </c>
      <c r="E76" s="22">
        <v>2030</v>
      </c>
    </row>
    <row r="77" spans="2:5" x14ac:dyDescent="0.2">
      <c r="B77" s="37" t="s">
        <v>227</v>
      </c>
      <c r="C77" s="37" t="s">
        <v>228</v>
      </c>
      <c r="D77" s="21">
        <v>19.95</v>
      </c>
      <c r="E77" s="22">
        <v>2560</v>
      </c>
    </row>
    <row r="78" spans="2:5" x14ac:dyDescent="0.2">
      <c r="B78" s="50" t="s">
        <v>236</v>
      </c>
      <c r="C78" s="50" t="s">
        <v>237</v>
      </c>
    </row>
  </sheetData>
  <hyperlinks>
    <hyperlink ref="B35" r:id="rId1" xr:uid="{B43B07AD-918B-4E3C-B6FF-2D0A1726D08C}"/>
    <hyperlink ref="B10" r:id="rId2" xr:uid="{28EBE119-EF9F-470C-849F-27EA6116229F}"/>
    <hyperlink ref="B7" r:id="rId3" xr:uid="{56FB4D51-12B3-48A8-96E9-6D3FB77E2D06}"/>
    <hyperlink ref="B11" r:id="rId4" xr:uid="{2F922258-68B1-42ED-ABCA-72C5091FFD3C}"/>
    <hyperlink ref="B9" r:id="rId5" xr:uid="{8490DBEA-18EF-431F-AAE9-5080FB55647A}"/>
    <hyperlink ref="B13" r:id="rId6" xr:uid="{F9C613E1-1B52-417A-BBCE-88AAEB91F9C1}"/>
    <hyperlink ref="B5" r:id="rId7" xr:uid="{3019DEB6-D8CA-4815-8BF6-407E9419A3F9}"/>
    <hyperlink ref="B6" r:id="rId8" xr:uid="{D0A6A308-9256-4523-8FDF-BCE2AFB11B6E}"/>
    <hyperlink ref="B8" r:id="rId9" xr:uid="{AFA39CB9-3127-4BCA-A3CE-D903EA36E6C7}"/>
    <hyperlink ref="B12" r:id="rId10" xr:uid="{B2FAC7EC-CB56-42A3-96CC-14E909698321}"/>
    <hyperlink ref="B36" r:id="rId11" xr:uid="{5A1A0BF1-1F9D-453A-8615-32812BE41A68}"/>
    <hyperlink ref="B14" r:id="rId12" xr:uid="{8967E115-2924-419A-9BD1-6441F95A80FF}"/>
    <hyperlink ref="B17" r:id="rId13" xr:uid="{A7E983F7-BC7A-4B3D-8444-6070EF708DDF}"/>
    <hyperlink ref="B22" r:id="rId14" xr:uid="{CB288269-AD44-4B2E-90F5-6FB8081BF962}"/>
    <hyperlink ref="B26" r:id="rId15" xr:uid="{831B52E7-EF7A-4831-8425-59EAD7D0F934}"/>
    <hyperlink ref="B19" r:id="rId16" xr:uid="{2AE55E96-1BEF-428E-AB42-3AD9978D13D8}"/>
    <hyperlink ref="B23" r:id="rId17" xr:uid="{DC9040DF-9172-464B-9C24-1B175E7FEE7E}"/>
    <hyperlink ref="B20" r:id="rId18" xr:uid="{C691107C-F03A-4EB9-887D-F480D084DC80}"/>
    <hyperlink ref="B18" r:id="rId19" xr:uid="{C9E770CD-C0F9-437F-A1F8-A5EC0DD0B08B}"/>
    <hyperlink ref="B16" r:id="rId20" xr:uid="{8CA64543-CFB9-4EFA-93C4-C766402037C3}"/>
    <hyperlink ref="B15" r:id="rId21" xr:uid="{93329B43-C086-451A-8C5D-926BC03B37E3}"/>
    <hyperlink ref="B24" r:id="rId22" xr:uid="{BF4E9546-147A-4F10-92B1-A91E9292F4F6}"/>
    <hyperlink ref="B21" r:id="rId23" xr:uid="{6A9A0D99-E31D-4912-BA28-CE74F64477AA}"/>
    <hyperlink ref="B25" r:id="rId24" xr:uid="{E41196C7-8286-472A-BD67-D77EFA7CA515}"/>
    <hyperlink ref="B34" r:id="rId25" xr:uid="{3FA63595-4D83-4815-90B6-28C534796235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9"/>
  <sheetViews>
    <sheetView workbookViewId="0">
      <selection activeCell="A4" sqref="A4:XFD4"/>
    </sheetView>
  </sheetViews>
  <sheetFormatPr defaultRowHeight="12.75" x14ac:dyDescent="0.2"/>
  <cols>
    <col min="1" max="16384" width="9.140625" style="70"/>
  </cols>
  <sheetData>
    <row r="1" spans="1:24" x14ac:dyDescent="0.2">
      <c r="A1" s="70" t="s">
        <v>148</v>
      </c>
    </row>
    <row r="2" spans="1:24" s="20" customFormat="1" x14ac:dyDescent="0.2">
      <c r="B2" s="5" t="s">
        <v>13</v>
      </c>
      <c r="C2" s="20" t="s">
        <v>205</v>
      </c>
      <c r="D2" s="21">
        <v>165</v>
      </c>
      <c r="E2" s="22">
        <f>+D2*[4]Main!$M$3</f>
        <v>452430</v>
      </c>
      <c r="F2" s="22">
        <f>+[4]Main!$M$5-[4]Main!$M$6</f>
        <v>43890</v>
      </c>
      <c r="G2" s="22">
        <f t="shared" ref="G2:G3" si="0">+E2-F2</f>
        <v>408540</v>
      </c>
      <c r="H2" s="22">
        <f>+[4]Main!$M$3</f>
        <v>2742</v>
      </c>
      <c r="I2" s="23" t="s">
        <v>14</v>
      </c>
      <c r="J2" s="47">
        <v>44798</v>
      </c>
      <c r="K2" s="28">
        <f>+[4]Model!$AT$50</f>
        <v>260.93479765840237</v>
      </c>
      <c r="L2" s="29">
        <f>K2/D2-1</f>
        <v>0.58142301611152947</v>
      </c>
      <c r="M2" s="29">
        <f>+[4]Model!$AT$47</f>
        <v>7.0000000000000007E-2</v>
      </c>
      <c r="N2" s="29">
        <f>+[4]Model!$AT$48</f>
        <v>-0.05</v>
      </c>
      <c r="O2" s="29">
        <f>+[4]Model!$AT$49</f>
        <v>0.01</v>
      </c>
      <c r="P2" s="25"/>
      <c r="Q2" s="26"/>
      <c r="R2" s="26"/>
      <c r="S2" s="27"/>
      <c r="T2" s="25"/>
      <c r="U2" s="26"/>
      <c r="V2" s="26"/>
      <c r="W2" s="27"/>
      <c r="X2" s="20">
        <v>2004</v>
      </c>
    </row>
    <row r="3" spans="1:24" s="20" customFormat="1" x14ac:dyDescent="0.2">
      <c r="B3" s="5" t="s">
        <v>15</v>
      </c>
      <c r="C3" s="20" t="s">
        <v>16</v>
      </c>
      <c r="D3" s="21">
        <v>391.4</v>
      </c>
      <c r="E3" s="22">
        <f>+D3*[5]Main!$L$3*1000/HKD</f>
        <v>475575.58154347877</v>
      </c>
      <c r="F3" s="22">
        <f>([5]Main!$L$5-[5]Main!$L$6)/HKD*1000</f>
        <v>97072.536879920503</v>
      </c>
      <c r="G3" s="22">
        <f t="shared" si="0"/>
        <v>378503.04466355825</v>
      </c>
      <c r="H3" s="22"/>
      <c r="I3" s="23" t="s">
        <v>14</v>
      </c>
      <c r="J3" s="23"/>
      <c r="K3" s="24"/>
      <c r="L3" s="24"/>
      <c r="M3" s="24"/>
      <c r="N3" s="24"/>
      <c r="O3" s="24"/>
      <c r="P3" s="25"/>
      <c r="Q3" s="26"/>
      <c r="R3" s="26"/>
      <c r="S3" s="27"/>
      <c r="T3" s="25"/>
      <c r="U3" s="26"/>
      <c r="V3" s="26"/>
      <c r="W3" s="27"/>
    </row>
    <row r="4" spans="1:24" s="20" customFormat="1" x14ac:dyDescent="0.2">
      <c r="B4" s="20" t="s">
        <v>171</v>
      </c>
      <c r="C4" s="20" t="s">
        <v>172</v>
      </c>
      <c r="D4" s="21">
        <v>44.5</v>
      </c>
      <c r="E4" s="22">
        <v>34050</v>
      </c>
      <c r="F4" s="23"/>
      <c r="G4" s="23"/>
      <c r="H4" s="23"/>
      <c r="I4" s="23"/>
      <c r="J4" s="23"/>
      <c r="K4" s="24"/>
      <c r="L4" s="24"/>
      <c r="M4" s="24"/>
      <c r="N4" s="24"/>
      <c r="O4" s="24"/>
      <c r="P4" s="25"/>
      <c r="Q4" s="26"/>
      <c r="R4" s="26"/>
      <c r="S4" s="27"/>
      <c r="T4" s="25"/>
      <c r="U4" s="26"/>
      <c r="V4" s="26"/>
      <c r="W4" s="27"/>
    </row>
    <row r="5" spans="1:24" s="20" customFormat="1" x14ac:dyDescent="0.2">
      <c r="B5" s="5"/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6"/>
      <c r="Q5" s="26"/>
      <c r="R5" s="26"/>
      <c r="S5" s="26"/>
      <c r="T5" s="26"/>
      <c r="U5" s="26"/>
      <c r="V5" s="26"/>
      <c r="W5" s="26"/>
    </row>
    <row r="6" spans="1:24" x14ac:dyDescent="0.2">
      <c r="B6" s="71" t="s">
        <v>258</v>
      </c>
    </row>
    <row r="7" spans="1:24" x14ac:dyDescent="0.2">
      <c r="B7" s="70" t="s">
        <v>257</v>
      </c>
    </row>
    <row r="8" spans="1:24" x14ac:dyDescent="0.2">
      <c r="B8" s="70" t="s">
        <v>256</v>
      </c>
    </row>
    <row r="9" spans="1:24" x14ac:dyDescent="0.2">
      <c r="B9" s="70" t="s">
        <v>255</v>
      </c>
    </row>
  </sheetData>
  <hyperlinks>
    <hyperlink ref="B2" r:id="rId1" xr:uid="{06D5809E-72A9-41D7-974F-FA58D1ED15C4}"/>
    <hyperlink ref="B3" r:id="rId2" xr:uid="{29919CCF-0924-4FDD-BCCD-7B5AA19C4B1D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5" sqref="B15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6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52" t="s">
        <v>239</v>
      </c>
      <c r="Q2" s="54" t="s">
        <v>240</v>
      </c>
      <c r="R2" s="54" t="s">
        <v>241</v>
      </c>
      <c r="S2" s="19">
        <v>2025</v>
      </c>
      <c r="T2" s="52" t="s">
        <v>238</v>
      </c>
      <c r="U2" s="18">
        <v>2023</v>
      </c>
      <c r="V2" s="18">
        <v>2024</v>
      </c>
      <c r="W2" s="19">
        <v>2025</v>
      </c>
      <c r="X2" s="55" t="s">
        <v>224</v>
      </c>
    </row>
    <row r="3" spans="1:24" x14ac:dyDescent="0.2"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B4" s="5" t="s">
        <v>15</v>
      </c>
      <c r="C4" s="20" t="s">
        <v>16</v>
      </c>
      <c r="D4" s="21">
        <v>391.4</v>
      </c>
      <c r="E4" s="22">
        <f>+D4*[5]Main!$L$3*1000/HKD</f>
        <v>475575.58154347877</v>
      </c>
      <c r="F4" s="22">
        <f>([5]Main!$L$5-[5]Main!$L$6)/HKD*1000</f>
        <v>97072.536879920503</v>
      </c>
      <c r="G4" s="22">
        <f>+E4-F4</f>
        <v>378503.04466355825</v>
      </c>
      <c r="H4" s="22"/>
      <c r="I4" s="23" t="s">
        <v>14</v>
      </c>
    </row>
    <row r="5" spans="1:24" x14ac:dyDescent="0.2">
      <c r="B5" s="10" t="s">
        <v>177</v>
      </c>
      <c r="C5" s="10" t="s">
        <v>178</v>
      </c>
      <c r="D5" s="10">
        <v>80.27</v>
      </c>
      <c r="E5" s="56">
        <v>62800</v>
      </c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</row>
    <row r="6" spans="1:24" x14ac:dyDescent="0.2">
      <c r="B6" s="10" t="s">
        <v>179</v>
      </c>
      <c r="C6" s="50" t="s">
        <v>242</v>
      </c>
      <c r="D6" s="56">
        <v>59910</v>
      </c>
      <c r="E6" s="56" cm="1">
        <f t="array" ref="E6">6975000/JPY</f>
        <v>50938.435697071494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</row>
    <row r="7" spans="1:24" x14ac:dyDescent="0.2">
      <c r="B7" s="10" t="s">
        <v>173</v>
      </c>
      <c r="C7" s="10" t="s">
        <v>174</v>
      </c>
      <c r="D7" s="10">
        <v>130.47999999999999</v>
      </c>
      <c r="E7" s="56">
        <v>36280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8" spans="1:24" x14ac:dyDescent="0.2">
      <c r="B8" s="1" t="s">
        <v>54</v>
      </c>
      <c r="C8" s="1"/>
      <c r="D8" s="2"/>
      <c r="E8" s="3">
        <v>31500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4" s="20" customFormat="1" x14ac:dyDescent="0.2">
      <c r="B9" s="20" t="s">
        <v>58</v>
      </c>
      <c r="D9" s="21"/>
      <c r="E9" s="22">
        <v>27000</v>
      </c>
      <c r="F9" s="23"/>
      <c r="G9" s="23"/>
      <c r="H9" s="23"/>
      <c r="I9" s="23"/>
      <c r="J9" s="23"/>
      <c r="K9" s="24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4" x14ac:dyDescent="0.2">
      <c r="B10" s="10" t="s">
        <v>175</v>
      </c>
      <c r="C10" s="10" t="s">
        <v>176</v>
      </c>
      <c r="D10" s="10">
        <v>127.74</v>
      </c>
      <c r="E10" s="56">
        <v>21290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4" s="1" customFormat="1" x14ac:dyDescent="0.2">
      <c r="B11" s="5" t="s">
        <v>77</v>
      </c>
      <c r="C11" s="1" t="s">
        <v>78</v>
      </c>
      <c r="D11" s="2">
        <v>27.7</v>
      </c>
      <c r="E11" s="3">
        <f>+D11*[27]Main!$K$3</f>
        <v>16302.031699999998</v>
      </c>
      <c r="F11" s="3">
        <f>+[27]Main!$K$5-[27]Main!$K$6</f>
        <v>2144.9299999999998</v>
      </c>
      <c r="G11" s="3">
        <f>+E11-F11</f>
        <v>14157.101699999997</v>
      </c>
      <c r="H11" s="4" t="s">
        <v>14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</row>
    <row r="12" spans="1:24" s="1" customFormat="1" x14ac:dyDescent="0.2">
      <c r="B12" s="1" t="s">
        <v>88</v>
      </c>
      <c r="C12" s="1" t="s">
        <v>89</v>
      </c>
      <c r="D12" s="2">
        <v>45.8</v>
      </c>
      <c r="E12" s="3">
        <v>14330</v>
      </c>
      <c r="F12" s="4"/>
      <c r="G12" s="4"/>
      <c r="H12" s="4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</row>
    <row r="13" spans="1:24" s="20" customFormat="1" x14ac:dyDescent="0.2">
      <c r="B13" s="20" t="s">
        <v>112</v>
      </c>
      <c r="D13" s="21"/>
      <c r="E13" s="22">
        <v>10000</v>
      </c>
      <c r="F13" s="23"/>
      <c r="G13" s="23"/>
      <c r="H13" s="23"/>
      <c r="I13" s="23"/>
      <c r="J13" s="23"/>
      <c r="K13" s="24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4" x14ac:dyDescent="0.2">
      <c r="B14" s="70" t="s">
        <v>259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</row>
    <row r="15" spans="1:24" x14ac:dyDescent="0.2"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</sheetData>
  <hyperlinks>
    <hyperlink ref="A1" location="Main!A1" display="Main" xr:uid="{B2E999A0-B9C6-426F-B868-4B47C66D3C76}"/>
    <hyperlink ref="B11" r:id="rId1" xr:uid="{4D4AAA00-BFE8-4498-9D01-136889AF20D4}"/>
    <hyperlink ref="B3" r:id="rId2" xr:uid="{3976EBF1-944B-4446-8A82-A83B8F045357}"/>
    <hyperlink ref="B4" r:id="rId3" xr:uid="{F038AE55-03C6-4C11-AB9A-E55BDED9EA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5" sqref="B15"/>
    </sheetView>
  </sheetViews>
  <sheetFormatPr defaultRowHeight="12.75" x14ac:dyDescent="0.2"/>
  <cols>
    <col min="1" max="1" width="5" style="10" bestFit="1" customWidth="1"/>
    <col min="2" max="2" width="12" style="10" customWidth="1"/>
    <col min="3" max="16384" width="9.140625" style="10"/>
  </cols>
  <sheetData>
    <row r="1" spans="1:5" x14ac:dyDescent="0.2">
      <c r="A1" s="5" t="s">
        <v>148</v>
      </c>
    </row>
    <row r="2" spans="1:5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5" s="56" customFormat="1" x14ac:dyDescent="0.2">
      <c r="B3" s="56" t="s">
        <v>168</v>
      </c>
      <c r="C3" s="56" t="s">
        <v>169</v>
      </c>
      <c r="D3" s="66">
        <v>206.8</v>
      </c>
      <c r="E3" s="56">
        <v>427830</v>
      </c>
    </row>
    <row r="4" spans="1:5" s="56" customFormat="1" x14ac:dyDescent="0.2">
      <c r="B4" s="56" t="s">
        <v>170</v>
      </c>
      <c r="C4" s="56" t="s">
        <v>3</v>
      </c>
      <c r="D4" s="66">
        <v>340.89</v>
      </c>
      <c r="E4" s="56">
        <v>329430</v>
      </c>
    </row>
    <row r="5" spans="1:5" s="56" customFormat="1" x14ac:dyDescent="0.2">
      <c r="B5" s="63" t="s">
        <v>31</v>
      </c>
      <c r="C5" s="63" t="s">
        <v>32</v>
      </c>
      <c r="D5" s="67">
        <v>87.2</v>
      </c>
      <c r="E5" s="3">
        <v>100981</v>
      </c>
    </row>
    <row r="6" spans="1:5" s="56" customFormat="1" x14ac:dyDescent="0.2">
      <c r="B6" s="64" t="s">
        <v>33</v>
      </c>
      <c r="C6" s="64" t="s">
        <v>156</v>
      </c>
      <c r="D6" s="68">
        <v>0</v>
      </c>
      <c r="E6" s="9">
        <v>100000</v>
      </c>
    </row>
    <row r="7" spans="1:5" s="56" customFormat="1" x14ac:dyDescent="0.2">
      <c r="B7" s="65" t="s">
        <v>253</v>
      </c>
      <c r="C7" s="56" t="s">
        <v>167</v>
      </c>
      <c r="D7" s="66">
        <v>70.94</v>
      </c>
      <c r="E7" s="56">
        <v>41870</v>
      </c>
    </row>
    <row r="8" spans="1:5" s="56" customFormat="1" x14ac:dyDescent="0.2">
      <c r="B8" s="63" t="s">
        <v>59</v>
      </c>
      <c r="C8" s="63"/>
      <c r="D8" s="68">
        <v>0</v>
      </c>
      <c r="E8" s="3">
        <v>26000</v>
      </c>
    </row>
    <row r="9" spans="1:5" s="56" customFormat="1" x14ac:dyDescent="0.2">
      <c r="B9" s="63" t="s">
        <v>71</v>
      </c>
      <c r="C9" s="63" t="s">
        <v>72</v>
      </c>
      <c r="D9" s="67">
        <v>68.930000000000007</v>
      </c>
      <c r="E9" s="3">
        <v>18053</v>
      </c>
    </row>
    <row r="10" spans="1:5" s="56" customFormat="1" x14ac:dyDescent="0.2">
      <c r="B10" s="63" t="s">
        <v>87</v>
      </c>
      <c r="C10" s="63"/>
      <c r="D10" s="68">
        <v>0</v>
      </c>
      <c r="E10" s="3">
        <v>15000</v>
      </c>
    </row>
    <row r="11" spans="1:5" s="56" customFormat="1" x14ac:dyDescent="0.2">
      <c r="B11" s="56" t="s">
        <v>83</v>
      </c>
      <c r="C11" s="56" t="s">
        <v>84</v>
      </c>
      <c r="D11" s="66">
        <v>58.75</v>
      </c>
      <c r="E11" s="56">
        <v>14980</v>
      </c>
    </row>
    <row r="12" spans="1:5" s="56" customFormat="1" x14ac:dyDescent="0.2">
      <c r="B12" s="63" t="s">
        <v>106</v>
      </c>
      <c r="C12" s="63" t="s">
        <v>107</v>
      </c>
      <c r="D12" s="67">
        <v>184.44</v>
      </c>
      <c r="E12" s="3">
        <v>10400</v>
      </c>
    </row>
    <row r="13" spans="1:5" x14ac:dyDescent="0.2">
      <c r="B13" s="62" t="s">
        <v>252</v>
      </c>
      <c r="D13" s="68">
        <v>0</v>
      </c>
      <c r="E13" s="10">
        <v>75</v>
      </c>
    </row>
    <row r="14" spans="1:5" x14ac:dyDescent="0.2">
      <c r="B14" s="69" t="s">
        <v>254</v>
      </c>
      <c r="D14" s="68">
        <v>0</v>
      </c>
    </row>
  </sheetData>
  <hyperlinks>
    <hyperlink ref="A1" location="Main!A1" display="Main" xr:uid="{A1A6C7BE-B827-4E66-8B30-A4C4FF1A4224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16384" width="9.140625" style="10"/>
  </cols>
  <sheetData>
    <row r="1" spans="1:5" x14ac:dyDescent="0.2">
      <c r="A1" s="5" t="s">
        <v>148</v>
      </c>
    </row>
    <row r="2" spans="1:5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5" x14ac:dyDescent="0.2">
      <c r="B3" s="10" t="s">
        <v>42</v>
      </c>
      <c r="C3" s="10" t="s">
        <v>43</v>
      </c>
    </row>
    <row r="4" spans="1:5" x14ac:dyDescent="0.2">
      <c r="B4" s="10" t="s">
        <v>34</v>
      </c>
      <c r="C4" s="10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W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defaultRowHeight="12.75" x14ac:dyDescent="0.2"/>
  <cols>
    <col min="1" max="1" width="5" style="10" bestFit="1" customWidth="1"/>
    <col min="2" max="16384" width="9.140625" style="10"/>
  </cols>
  <sheetData>
    <row r="1" spans="1:23" x14ac:dyDescent="0.2">
      <c r="A1" s="5" t="s">
        <v>148</v>
      </c>
    </row>
    <row r="2" spans="1:23" x14ac:dyDescent="0.2">
      <c r="B2" s="10" t="s">
        <v>0</v>
      </c>
      <c r="C2" s="10" t="s">
        <v>1</v>
      </c>
      <c r="D2" s="10" t="s">
        <v>2</v>
      </c>
      <c r="E2" s="10" t="s">
        <v>3</v>
      </c>
      <c r="H2" s="69" t="s">
        <v>223</v>
      </c>
      <c r="I2" s="69" t="s">
        <v>6</v>
      </c>
    </row>
    <row r="3" spans="1:23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2657</v>
      </c>
      <c r="G3" s="3">
        <f>+E3-F3</f>
        <v>1229343</v>
      </c>
      <c r="I3" s="4" t="s">
        <v>14</v>
      </c>
    </row>
    <row r="4" spans="1:23" x14ac:dyDescent="0.2">
      <c r="B4" s="10" t="s">
        <v>163</v>
      </c>
      <c r="C4" s="10" t="s">
        <v>164</v>
      </c>
    </row>
    <row r="5" spans="1:23" x14ac:dyDescent="0.2">
      <c r="B5" s="10" t="s">
        <v>165</v>
      </c>
      <c r="C5" s="10" t="s">
        <v>166</v>
      </c>
    </row>
    <row r="6" spans="1:23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23" s="20" customFormat="1" x14ac:dyDescent="0.2">
      <c r="B7" s="5" t="s">
        <v>17</v>
      </c>
      <c r="C7" s="20" t="s">
        <v>18</v>
      </c>
      <c r="D7" s="21">
        <v>115.9</v>
      </c>
      <c r="E7" s="22">
        <f>D7*[28]Main!$L$3</f>
        <v>310046.98749999999</v>
      </c>
      <c r="F7" s="22" cm="1">
        <f t="array" ref="F7">([28]Main!$L$5-[28]Main!$L$6)/RMB</f>
        <v>119719.43620178041</v>
      </c>
      <c r="G7" s="22">
        <f>+E7-F7</f>
        <v>190327.55129821959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6"/>
      <c r="R7" s="26"/>
      <c r="S7" s="27"/>
      <c r="T7" s="25"/>
      <c r="U7" s="26"/>
      <c r="V7" s="26"/>
      <c r="W7" s="27"/>
    </row>
    <row r="8" spans="1:23" x14ac:dyDescent="0.2">
      <c r="B8" s="5" t="s">
        <v>17</v>
      </c>
      <c r="C8" s="1" t="s">
        <v>18</v>
      </c>
      <c r="D8" s="2">
        <v>115.9</v>
      </c>
      <c r="E8" s="3">
        <f>D8*[28]Main!$L$3</f>
        <v>310046.98749999999</v>
      </c>
      <c r="F8" s="3" cm="1">
        <f t="array" ref="F8">([28]Main!$L$5-[28]Main!$L$6)/RMB</f>
        <v>119719.43620178041</v>
      </c>
      <c r="G8" s="3">
        <f>+E8-F8</f>
        <v>190327.55129821959</v>
      </c>
      <c r="I8" s="4" t="s">
        <v>14</v>
      </c>
    </row>
    <row r="9" spans="1:23" x14ac:dyDescent="0.2">
      <c r="B9" s="11" t="s">
        <v>206</v>
      </c>
      <c r="C9" s="11" t="s">
        <v>207</v>
      </c>
    </row>
    <row r="10" spans="1:23" x14ac:dyDescent="0.2">
      <c r="B10" s="11" t="s">
        <v>208</v>
      </c>
      <c r="C10" s="11" t="s">
        <v>209</v>
      </c>
    </row>
    <row r="11" spans="1:23" s="20" customFormat="1" x14ac:dyDescent="0.2">
      <c r="B11" s="20" t="s">
        <v>64</v>
      </c>
      <c r="D11" s="21"/>
      <c r="E11" s="22">
        <v>22000</v>
      </c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5"/>
      <c r="Q11" s="26"/>
      <c r="R11" s="26"/>
      <c r="S11" s="27"/>
      <c r="T11" s="25"/>
      <c r="U11" s="26"/>
      <c r="V11" s="26"/>
      <c r="W11" s="27"/>
    </row>
    <row r="12" spans="1:23" s="20" customFormat="1" x14ac:dyDescent="0.2">
      <c r="B12" s="20" t="s">
        <v>55</v>
      </c>
      <c r="D12" s="21"/>
      <c r="E12" s="22">
        <v>30000</v>
      </c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5"/>
      <c r="Q12" s="26"/>
      <c r="R12" s="26"/>
      <c r="S12" s="27"/>
      <c r="T12" s="25"/>
      <c r="U12" s="26"/>
      <c r="V12" s="26"/>
      <c r="W12" s="27"/>
    </row>
    <row r="13" spans="1:23" s="20" customFormat="1" x14ac:dyDescent="0.2">
      <c r="B13" s="5" t="s">
        <v>36</v>
      </c>
      <c r="C13" s="20" t="s">
        <v>37</v>
      </c>
      <c r="D13" s="21">
        <v>36.71</v>
      </c>
      <c r="E13" s="22">
        <f>+D13*[19]Main!$M$3</f>
        <v>46254.6</v>
      </c>
      <c r="F13" s="22">
        <f>+[19]Main!$M$5-[19]Main!$M$6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6"/>
      <c r="R13" s="26"/>
      <c r="S13" s="27"/>
      <c r="T13" s="25"/>
      <c r="U13" s="26"/>
      <c r="V13" s="26"/>
      <c r="W13" s="27"/>
    </row>
  </sheetData>
  <hyperlinks>
    <hyperlink ref="A1" location="Main!A1" display="Main" xr:uid="{5E6A4119-6CB3-4DE8-85D8-71624588AB5F}"/>
    <hyperlink ref="B8" r:id="rId1" xr:uid="{1DBE1AD0-E144-4B11-A369-C38208461D50}"/>
    <hyperlink ref="B3" r:id="rId2" xr:uid="{9E979F32-3FB9-4155-8C38-6368365757C8}"/>
    <hyperlink ref="B13" r:id="rId3" xr:uid="{7B3BF246-9F57-4E65-999A-345E6DC43A15}"/>
    <hyperlink ref="B7" r:id="rId4" xr:uid="{EBAD1208-6B7E-4686-85C8-90DFDB7B9D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B3" s="10" t="s">
        <v>157</v>
      </c>
      <c r="C3" s="10" t="s">
        <v>158</v>
      </c>
    </row>
    <row r="4" spans="1:8" x14ac:dyDescent="0.2">
      <c r="B4" s="10" t="s">
        <v>159</v>
      </c>
      <c r="C4" s="10" t="s">
        <v>160</v>
      </c>
    </row>
    <row r="5" spans="1:8" x14ac:dyDescent="0.2">
      <c r="B5" s="10" t="s">
        <v>162</v>
      </c>
      <c r="C5" s="10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0" t="s">
        <v>199</v>
      </c>
      <c r="C7" s="10" t="s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9" bestFit="1" customWidth="1"/>
    <col min="2" max="16384" width="9.140625" style="49"/>
  </cols>
  <sheetData>
    <row r="1" spans="1:3" x14ac:dyDescent="0.2">
      <c r="A1" s="5" t="s">
        <v>148</v>
      </c>
    </row>
    <row r="2" spans="1:3" x14ac:dyDescent="0.2">
      <c r="B2" s="49" t="s">
        <v>152</v>
      </c>
      <c r="C2" s="49">
        <v>7.8498000000000001</v>
      </c>
    </row>
    <row r="3" spans="1:3" x14ac:dyDescent="0.2">
      <c r="B3" s="49" t="s">
        <v>153</v>
      </c>
      <c r="C3" s="49">
        <v>6.74</v>
      </c>
    </row>
    <row r="4" spans="1:3" x14ac:dyDescent="0.2">
      <c r="B4" s="49" t="s">
        <v>217</v>
      </c>
      <c r="C4" s="49">
        <v>1.01</v>
      </c>
    </row>
    <row r="5" spans="1:3" x14ac:dyDescent="0.2">
      <c r="B5" s="49" t="s">
        <v>235</v>
      </c>
      <c r="C5" s="49">
        <v>10.3437</v>
      </c>
    </row>
    <row r="6" spans="1:3" x14ac:dyDescent="0.2">
      <c r="B6" s="50" t="s">
        <v>243</v>
      </c>
      <c r="C6" s="49">
        <v>136.93</v>
      </c>
    </row>
    <row r="7" spans="1:3" x14ac:dyDescent="0.2">
      <c r="B7" s="50" t="s">
        <v>244</v>
      </c>
      <c r="C7" s="49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50" t="s">
        <v>224</v>
      </c>
      <c r="F2" s="50" t="s">
        <v>246</v>
      </c>
      <c r="G2" s="59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50" t="s">
        <v>245</v>
      </c>
      <c r="D9" s="50" t="s">
        <v>214</v>
      </c>
      <c r="E9" s="6">
        <v>2021</v>
      </c>
      <c r="F9" s="50" t="s">
        <v>247</v>
      </c>
      <c r="G9" s="59" t="s">
        <v>251</v>
      </c>
    </row>
    <row r="10" spans="1:7" x14ac:dyDescent="0.2">
      <c r="B10" s="59" t="s">
        <v>248</v>
      </c>
      <c r="D10" s="59" t="s">
        <v>249</v>
      </c>
      <c r="E10" s="6">
        <v>2021</v>
      </c>
      <c r="G10" s="59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Main</vt:lpstr>
      <vt:lpstr>Social</vt:lpstr>
      <vt:lpstr>Media-Games-Design</vt:lpstr>
      <vt:lpstr>Fintech</vt:lpstr>
      <vt:lpstr>Gig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2022-08-26T13:16:50Z</dcterms:modified>
  <cp:category/>
  <cp:contentStatus/>
</cp:coreProperties>
</file>