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B4A1030-D888-4FAA-9D6B-33E526C5200C}" xr6:coauthVersionLast="47" xr6:coauthVersionMax="47" xr10:uidLastSave="{00000000-0000-0000-0000-000000000000}"/>
  <bookViews>
    <workbookView xWindow="-20625" yWindow="135" windowWidth="20670" windowHeight="20700" tabRatio="524" firstSheet="24" activeTab="30" xr2:uid="{00000000-000D-0000-FFFF-FFFF00000000}"/>
  </bookViews>
  <sheets>
    <sheet name="Master" sheetId="32" r:id="rId1"/>
    <sheet name="Main" sheetId="1" r:id="rId2"/>
    <sheet name="Model" sheetId="7" r:id="rId3"/>
    <sheet name="Ultomiris" sheetId="45" r:id="rId4"/>
    <sheet name="Saphnelo" sheetId="49" r:id="rId5"/>
    <sheet name="Tagrisso" sheetId="34" r:id="rId6"/>
    <sheet name="Strensiq" sheetId="46" r:id="rId7"/>
    <sheet name="Imfinzi" sheetId="36" r:id="rId8"/>
    <sheet name="Imjudo" sheetId="47" r:id="rId9"/>
    <sheet name="Tezspire" sheetId="43" r:id="rId10"/>
    <sheet name="Breztri" sheetId="42" r:id="rId11"/>
    <sheet name="Truqap" sheetId="39" r:id="rId12"/>
    <sheet name="Beyfortus" sheetId="44" r:id="rId13"/>
    <sheet name="Calquence" sheetId="37" r:id="rId14"/>
    <sheet name="Soliris" sheetId="33" r:id="rId15"/>
    <sheet name="Enhertu" sheetId="38" r:id="rId16"/>
    <sheet name="Fasenra" sheetId="41" r:id="rId17"/>
    <sheet name="Farxiga" sheetId="29" r:id="rId18"/>
    <sheet name="Lynparza" sheetId="35" r:id="rId19"/>
    <sheet name="Symbicort" sheetId="10" r:id="rId20"/>
    <sheet name="Koselugo" sheetId="26" r:id="rId21"/>
    <sheet name="Nexium" sheetId="3" r:id="rId22"/>
    <sheet name="Seroquel" sheetId="4" r:id="rId23"/>
    <sheet name="Crestor" sheetId="2" r:id="rId24"/>
    <sheet name="Brilinta" sheetId="14" r:id="rId25"/>
    <sheet name="datopotamab" sheetId="40" r:id="rId26"/>
    <sheet name="0780" sheetId="48" r:id="rId27"/>
    <sheet name="2171" sheetId="25" r:id="rId28"/>
    <sheet name="Iressa" sheetId="30" r:id="rId29"/>
    <sheet name="Zactima" sheetId="11" r:id="rId30"/>
    <sheet name="5004" sheetId="50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M96" i="7" l="1"/>
  <c r="EL96" i="7"/>
  <c r="EK96" i="7"/>
  <c r="EJ96" i="7"/>
  <c r="EI96" i="7"/>
  <c r="EH96" i="7"/>
  <c r="EG96" i="7"/>
  <c r="EF96" i="7"/>
  <c r="EE96" i="7"/>
  <c r="ED96" i="7"/>
  <c r="EC96" i="7"/>
  <c r="ED100" i="7"/>
  <c r="EE100" i="7" s="1"/>
  <c r="EH38" i="7"/>
  <c r="EI38" i="7" s="1"/>
  <c r="EJ38" i="7" s="1"/>
  <c r="EK38" i="7" s="1"/>
  <c r="EL38" i="7" s="1"/>
  <c r="EM38" i="7" s="1"/>
  <c r="EB38" i="7"/>
  <c r="EH39" i="7"/>
  <c r="EI39" i="7" s="1"/>
  <c r="EJ39" i="7" s="1"/>
  <c r="EK39" i="7" s="1"/>
  <c r="EL39" i="7" s="1"/>
  <c r="EM39" i="7" s="1"/>
  <c r="EB39" i="7"/>
  <c r="EH37" i="7"/>
  <c r="EI37" i="7" s="1"/>
  <c r="EJ37" i="7" s="1"/>
  <c r="EK37" i="7" s="1"/>
  <c r="EL37" i="7" s="1"/>
  <c r="EM37" i="7" s="1"/>
  <c r="EB37" i="7"/>
  <c r="EB40" i="7"/>
  <c r="EB36" i="7"/>
  <c r="EB35" i="7"/>
  <c r="EB34" i="7"/>
  <c r="EF100" i="7" l="1"/>
  <c r="EG100" i="7" l="1"/>
  <c r="CS100" i="7"/>
  <c r="CT100" i="7" s="1"/>
  <c r="CS92" i="7"/>
  <c r="CT92" i="7" s="1"/>
  <c r="EB92" i="7" s="1"/>
  <c r="CS91" i="7"/>
  <c r="CT91" i="7" s="1"/>
  <c r="CS90" i="7"/>
  <c r="EH36" i="7"/>
  <c r="EI36" i="7" s="1"/>
  <c r="EJ36" i="7" s="1"/>
  <c r="EK36" i="7" s="1"/>
  <c r="EL36" i="7" s="1"/>
  <c r="EM36" i="7" s="1"/>
  <c r="EH35" i="7"/>
  <c r="EI35" i="7" s="1"/>
  <c r="EJ35" i="7" s="1"/>
  <c r="EK35" i="7" s="1"/>
  <c r="EL35" i="7" s="1"/>
  <c r="EM35" i="7" s="1"/>
  <c r="EH34" i="7"/>
  <c r="EI34" i="7" s="1"/>
  <c r="EJ34" i="7" s="1"/>
  <c r="EK34" i="7" s="1"/>
  <c r="EL34" i="7" s="1"/>
  <c r="EM34" i="7" s="1"/>
  <c r="CN170" i="7"/>
  <c r="CN167" i="7"/>
  <c r="CN165" i="7"/>
  <c r="CN166" i="7"/>
  <c r="CN168" i="7"/>
  <c r="CN164" i="7"/>
  <c r="CN158" i="7"/>
  <c r="CN161" i="7"/>
  <c r="CN160" i="7"/>
  <c r="CN156" i="7"/>
  <c r="CN157" i="7"/>
  <c r="CN153" i="7"/>
  <c r="CN152" i="7"/>
  <c r="CN150" i="7"/>
  <c r="CN149" i="7"/>
  <c r="CN148" i="7"/>
  <c r="CN147" i="7"/>
  <c r="CN146" i="7"/>
  <c r="CN145" i="7"/>
  <c r="CN144" i="7"/>
  <c r="CN143" i="7"/>
  <c r="CR170" i="7"/>
  <c r="CR168" i="7"/>
  <c r="CR166" i="7"/>
  <c r="CR167" i="7"/>
  <c r="CR165" i="7"/>
  <c r="CR159" i="7"/>
  <c r="CR158" i="7"/>
  <c r="CR157" i="7"/>
  <c r="CR156" i="7"/>
  <c r="CR160" i="7"/>
  <c r="CR161" i="7"/>
  <c r="CR153" i="7"/>
  <c r="CR152" i="7"/>
  <c r="CR150" i="7"/>
  <c r="CR149" i="7"/>
  <c r="CR148" i="7"/>
  <c r="CR147" i="7"/>
  <c r="CR146" i="7"/>
  <c r="CR145" i="7"/>
  <c r="CR144" i="7"/>
  <c r="CR143" i="7"/>
  <c r="CN138" i="7"/>
  <c r="CN132" i="7"/>
  <c r="CN136" i="7"/>
  <c r="CN121" i="7"/>
  <c r="CN124" i="7"/>
  <c r="CN122" i="7"/>
  <c r="CN127" i="7"/>
  <c r="CP138" i="7"/>
  <c r="CP135" i="7"/>
  <c r="CP136" i="7"/>
  <c r="CP132" i="7"/>
  <c r="CP127" i="7"/>
  <c r="CP124" i="7"/>
  <c r="CP122" i="7"/>
  <c r="CP121" i="7"/>
  <c r="C13" i="46"/>
  <c r="C14" i="33"/>
  <c r="C18" i="33" s="1"/>
  <c r="C19" i="45"/>
  <c r="C18" i="45"/>
  <c r="C17" i="45"/>
  <c r="C20" i="45"/>
  <c r="C15" i="45"/>
  <c r="EH100" i="7" l="1"/>
  <c r="CU91" i="7"/>
  <c r="CU100" i="7"/>
  <c r="CV100" i="7" s="1"/>
  <c r="CW100" i="7" s="1"/>
  <c r="CX100" i="7" s="1"/>
  <c r="EB100" i="7"/>
  <c r="CT90" i="7"/>
  <c r="EB91" i="7"/>
  <c r="CU92" i="7"/>
  <c r="CV92" i="7" s="1"/>
  <c r="CW92" i="7" s="1"/>
  <c r="CX92" i="7" s="1"/>
  <c r="CU90" i="7"/>
  <c r="CN162" i="7"/>
  <c r="CN169" i="7"/>
  <c r="CN151" i="7"/>
  <c r="CN154" i="7" s="1"/>
  <c r="CR169" i="7"/>
  <c r="C16" i="33"/>
  <c r="C17" i="33"/>
  <c r="C19" i="33"/>
  <c r="CR162" i="7"/>
  <c r="CR151" i="7"/>
  <c r="CR154" i="7" s="1"/>
  <c r="CP141" i="7"/>
  <c r="CN141" i="7"/>
  <c r="CP130" i="7"/>
  <c r="CN130" i="7"/>
  <c r="CN120" i="7"/>
  <c r="CP120" i="7"/>
  <c r="CS50" i="7"/>
  <c r="CV28" i="7"/>
  <c r="CU28" i="7"/>
  <c r="CT28" i="7"/>
  <c r="CX28" i="7" s="1"/>
  <c r="CS28" i="7"/>
  <c r="C22" i="10"/>
  <c r="C20" i="43"/>
  <c r="C11" i="42"/>
  <c r="C14" i="41"/>
  <c r="EI100" i="7" l="1"/>
  <c r="CN171" i="7"/>
  <c r="EB90" i="7"/>
  <c r="CV91" i="7"/>
  <c r="CT50" i="7"/>
  <c r="CU50" i="7" s="1"/>
  <c r="CV50" i="7" s="1"/>
  <c r="CW50" i="7" s="1"/>
  <c r="CX50" i="7" s="1"/>
  <c r="CV90" i="7"/>
  <c r="CR171" i="7"/>
  <c r="CW28" i="7"/>
  <c r="EB28" i="7"/>
  <c r="CS33" i="7"/>
  <c r="C25" i="29"/>
  <c r="C29" i="29" s="1"/>
  <c r="CV4" i="7"/>
  <c r="C28" i="38"/>
  <c r="C41" i="35"/>
  <c r="C46" i="35" s="1"/>
  <c r="C26" i="37"/>
  <c r="C28" i="37" s="1"/>
  <c r="C35" i="36"/>
  <c r="C40" i="36" s="1"/>
  <c r="C35" i="34"/>
  <c r="C34" i="34"/>
  <c r="C33" i="34"/>
  <c r="C32" i="34"/>
  <c r="C30" i="34"/>
  <c r="CV10" i="7"/>
  <c r="CV113" i="7" s="1"/>
  <c r="CU10" i="7"/>
  <c r="CU113" i="7" s="1"/>
  <c r="CT10" i="7"/>
  <c r="CS10" i="7"/>
  <c r="CS57" i="7"/>
  <c r="CV56" i="7"/>
  <c r="CU56" i="7"/>
  <c r="CT56" i="7"/>
  <c r="CX56" i="7" s="1"/>
  <c r="CS56" i="7"/>
  <c r="CS55" i="7"/>
  <c r="CT55" i="7" s="1"/>
  <c r="CU55" i="7" s="1"/>
  <c r="CV55" i="7" s="1"/>
  <c r="CW55" i="7" s="1"/>
  <c r="CX55" i="7" s="1"/>
  <c r="CV51" i="7"/>
  <c r="CU51" i="7"/>
  <c r="CT51" i="7"/>
  <c r="CX51" i="7" s="1"/>
  <c r="CS51" i="7"/>
  <c r="CV52" i="7"/>
  <c r="CU52" i="7"/>
  <c r="CT52" i="7"/>
  <c r="CX52" i="7" s="1"/>
  <c r="CS52" i="7"/>
  <c r="CS32" i="7"/>
  <c r="CS31" i="7"/>
  <c r="CS30" i="7"/>
  <c r="CS29" i="7"/>
  <c r="DT26" i="7"/>
  <c r="CS26" i="7"/>
  <c r="CS24" i="7"/>
  <c r="CS23" i="7"/>
  <c r="CS22" i="7"/>
  <c r="CS19" i="7"/>
  <c r="CV18" i="7"/>
  <c r="CU18" i="7"/>
  <c r="CT18" i="7"/>
  <c r="CX18" i="7" s="1"/>
  <c r="CS18" i="7"/>
  <c r="CV15" i="7"/>
  <c r="CU15" i="7"/>
  <c r="CT15" i="7"/>
  <c r="CX15" i="7" s="1"/>
  <c r="CS15" i="7"/>
  <c r="CS20" i="7"/>
  <c r="CV14" i="7"/>
  <c r="CU14" i="7"/>
  <c r="CT14" i="7"/>
  <c r="CX14" i="7" s="1"/>
  <c r="CS14" i="7"/>
  <c r="CV13" i="7"/>
  <c r="CU13" i="7"/>
  <c r="CT13" i="7"/>
  <c r="CX13" i="7" s="1"/>
  <c r="CS13" i="7"/>
  <c r="CV12" i="7"/>
  <c r="CU12" i="7"/>
  <c r="CT12" i="7"/>
  <c r="CX12" i="7" s="1"/>
  <c r="CS12" i="7"/>
  <c r="CV11" i="7"/>
  <c r="CU11" i="7"/>
  <c r="CT11" i="7"/>
  <c r="CX11" i="7" s="1"/>
  <c r="CS11" i="7"/>
  <c r="CV8" i="7"/>
  <c r="CU8" i="7"/>
  <c r="CT8" i="7"/>
  <c r="CX8" i="7" s="1"/>
  <c r="CS8" i="7"/>
  <c r="CR94" i="7"/>
  <c r="CS94" i="7" s="1"/>
  <c r="CN180" i="7"/>
  <c r="CR180" i="7"/>
  <c r="CN179" i="7"/>
  <c r="CR179" i="7"/>
  <c r="CS21" i="7"/>
  <c r="CS25" i="7"/>
  <c r="CS9" i="7"/>
  <c r="CS4" i="7"/>
  <c r="CW4" i="7" s="1"/>
  <c r="CV17" i="7"/>
  <c r="CU17" i="7"/>
  <c r="CT17" i="7"/>
  <c r="CX17" i="7" s="1"/>
  <c r="CS17" i="7"/>
  <c r="CU7" i="7"/>
  <c r="CT7" i="7"/>
  <c r="CX7" i="7" s="1"/>
  <c r="CS7" i="7"/>
  <c r="CS27" i="7"/>
  <c r="CV16" i="7"/>
  <c r="CU16" i="7"/>
  <c r="CT16" i="7"/>
  <c r="CS16" i="7"/>
  <c r="CL113" i="7"/>
  <c r="CK113" i="7"/>
  <c r="CQ113" i="7"/>
  <c r="CP113" i="7"/>
  <c r="CO113" i="7"/>
  <c r="CN113" i="7"/>
  <c r="CM113" i="7"/>
  <c r="CR113" i="7"/>
  <c r="CR87" i="7"/>
  <c r="DQ87" i="7"/>
  <c r="DT86" i="7"/>
  <c r="DT85" i="7"/>
  <c r="DT84" i="7"/>
  <c r="DT83" i="7"/>
  <c r="DT82" i="7"/>
  <c r="DT81" i="7"/>
  <c r="DT80" i="7"/>
  <c r="DT79" i="7"/>
  <c r="DT78" i="7"/>
  <c r="DT77" i="7"/>
  <c r="DT76" i="7"/>
  <c r="DT75" i="7"/>
  <c r="DT74" i="7"/>
  <c r="DT73" i="7"/>
  <c r="DT72" i="7"/>
  <c r="DT71" i="7"/>
  <c r="DT70" i="7"/>
  <c r="DT69" i="7"/>
  <c r="DT68" i="7"/>
  <c r="DT67" i="7"/>
  <c r="DT66" i="7"/>
  <c r="DT65" i="7"/>
  <c r="DT15" i="7"/>
  <c r="DT20" i="7"/>
  <c r="DT21" i="7"/>
  <c r="DT22" i="7"/>
  <c r="DT23" i="7"/>
  <c r="DT16" i="7"/>
  <c r="DT24" i="7"/>
  <c r="DT45" i="7"/>
  <c r="DT17" i="7"/>
  <c r="DT47" i="7"/>
  <c r="DT49" i="7"/>
  <c r="DT25" i="7"/>
  <c r="DT48" i="7"/>
  <c r="DT27" i="7"/>
  <c r="DT30" i="7"/>
  <c r="DT31" i="7"/>
  <c r="DT32" i="7"/>
  <c r="DT33" i="7"/>
  <c r="DT41" i="7"/>
  <c r="DT42" i="7"/>
  <c r="DT43" i="7"/>
  <c r="DT44" i="7"/>
  <c r="DT29" i="7"/>
  <c r="DT28" i="7"/>
  <c r="DT50" i="7"/>
  <c r="DT51" i="7"/>
  <c r="DT52" i="7"/>
  <c r="DT53" i="7"/>
  <c r="DT54" i="7"/>
  <c r="DT55" i="7"/>
  <c r="DT56" i="7"/>
  <c r="DT57" i="7"/>
  <c r="DT58" i="7"/>
  <c r="DT59" i="7"/>
  <c r="DT60" i="7"/>
  <c r="DT61" i="7"/>
  <c r="DT62" i="7"/>
  <c r="DT63" i="7"/>
  <c r="DT64" i="7"/>
  <c r="DT19" i="7"/>
  <c r="DT6" i="7"/>
  <c r="DT7" i="7"/>
  <c r="DT8" i="7"/>
  <c r="DT46" i="7"/>
  <c r="DT40" i="7"/>
  <c r="DT9" i="7"/>
  <c r="DT10" i="7"/>
  <c r="DT11" i="7"/>
  <c r="DT18" i="7"/>
  <c r="DT12" i="7"/>
  <c r="DT13" i="7"/>
  <c r="DT5" i="7"/>
  <c r="DT4" i="7"/>
  <c r="DT3" i="7"/>
  <c r="DU86" i="7"/>
  <c r="DU65" i="7"/>
  <c r="DU64" i="7"/>
  <c r="DU63" i="7"/>
  <c r="DU24" i="7"/>
  <c r="DU45" i="7"/>
  <c r="DU17" i="7"/>
  <c r="DU47" i="7"/>
  <c r="DU49" i="7"/>
  <c r="DU25" i="7"/>
  <c r="DU48" i="7"/>
  <c r="DU26" i="7"/>
  <c r="DU27" i="7"/>
  <c r="DU30" i="7"/>
  <c r="DU31" i="7"/>
  <c r="DU32" i="7"/>
  <c r="DU33" i="7"/>
  <c r="DU41" i="7"/>
  <c r="DU42" i="7"/>
  <c r="DU43" i="7"/>
  <c r="DU44" i="7"/>
  <c r="DU29" i="7"/>
  <c r="DU28" i="7"/>
  <c r="DU50" i="7"/>
  <c r="DU51" i="7"/>
  <c r="DU52" i="7"/>
  <c r="DU53" i="7"/>
  <c r="DU54" i="7"/>
  <c r="DU55" i="7"/>
  <c r="DU56" i="7"/>
  <c r="DU57" i="7"/>
  <c r="DU58" i="7"/>
  <c r="DU59" i="7"/>
  <c r="DU60" i="7"/>
  <c r="DU61" i="7"/>
  <c r="DU5" i="7"/>
  <c r="DU6" i="7"/>
  <c r="DU7" i="7"/>
  <c r="DU8" i="7"/>
  <c r="DU46" i="7"/>
  <c r="DU40" i="7"/>
  <c r="DU9" i="7"/>
  <c r="DU10" i="7"/>
  <c r="DU11" i="7"/>
  <c r="DU18" i="7"/>
  <c r="DU12" i="7"/>
  <c r="DU13" i="7"/>
  <c r="DU14" i="7"/>
  <c r="DU19" i="7"/>
  <c r="DU15" i="7"/>
  <c r="DU20" i="7"/>
  <c r="DU21" i="7"/>
  <c r="DU22" i="7"/>
  <c r="DU23" i="7"/>
  <c r="DU16" i="7"/>
  <c r="DU4" i="7"/>
  <c r="DU3" i="7"/>
  <c r="DV31" i="7"/>
  <c r="DV32" i="7"/>
  <c r="DV33" i="7"/>
  <c r="DV41" i="7"/>
  <c r="DV42" i="7"/>
  <c r="DV43" i="7"/>
  <c r="DV44" i="7"/>
  <c r="DV29" i="7"/>
  <c r="DV28" i="7"/>
  <c r="DV50" i="7"/>
  <c r="DV51" i="7"/>
  <c r="DV52" i="7"/>
  <c r="DV53" i="7"/>
  <c r="DV54" i="7"/>
  <c r="DV55" i="7"/>
  <c r="DV56" i="7"/>
  <c r="DV57" i="7"/>
  <c r="DV58" i="7"/>
  <c r="DV59" i="7"/>
  <c r="DV60" i="7"/>
  <c r="DV61" i="7"/>
  <c r="DV62" i="7"/>
  <c r="DV63" i="7"/>
  <c r="DV64" i="7"/>
  <c r="DV65" i="7"/>
  <c r="DV45" i="7"/>
  <c r="DV17" i="7"/>
  <c r="DV47" i="7"/>
  <c r="DV49" i="7"/>
  <c r="DV25" i="7"/>
  <c r="DV48" i="7"/>
  <c r="DV26" i="7"/>
  <c r="DV27" i="7"/>
  <c r="DV30" i="7"/>
  <c r="DV24" i="7"/>
  <c r="DV16" i="7"/>
  <c r="DV23" i="7"/>
  <c r="DV22" i="7"/>
  <c r="DV21" i="7"/>
  <c r="DV20" i="7"/>
  <c r="DV15" i="7"/>
  <c r="DV19" i="7"/>
  <c r="DV14" i="7"/>
  <c r="DV13" i="7"/>
  <c r="DV12" i="7"/>
  <c r="DV18" i="7"/>
  <c r="DV11" i="7"/>
  <c r="DV10" i="7"/>
  <c r="DV9" i="7"/>
  <c r="DV40" i="7"/>
  <c r="DV46" i="7"/>
  <c r="DV8" i="7"/>
  <c r="DV7" i="7"/>
  <c r="DV6" i="7"/>
  <c r="DV5" i="7"/>
  <c r="DV4" i="7"/>
  <c r="DV3" i="7"/>
  <c r="CS5" i="7"/>
  <c r="CW5" i="7" s="1"/>
  <c r="CV5" i="7"/>
  <c r="CU5" i="7"/>
  <c r="CT5" i="7"/>
  <c r="CX5" i="7" s="1"/>
  <c r="CR138" i="7"/>
  <c r="CR135" i="7"/>
  <c r="CR136" i="7"/>
  <c r="CR132" i="7"/>
  <c r="CR121" i="7"/>
  <c r="CR124" i="7"/>
  <c r="CR122" i="7"/>
  <c r="CR127" i="7"/>
  <c r="CR88" i="7"/>
  <c r="AE121" i="7"/>
  <c r="AD121" i="7" s="1"/>
  <c r="AB132" i="7"/>
  <c r="CV7" i="7"/>
  <c r="CG114" i="7"/>
  <c r="CF114" i="7"/>
  <c r="CE114" i="7"/>
  <c r="CD114" i="7"/>
  <c r="CC114" i="7"/>
  <c r="CQ114" i="7"/>
  <c r="CP114" i="7"/>
  <c r="CO114" i="7"/>
  <c r="CN114" i="7"/>
  <c r="CM114" i="7"/>
  <c r="CL114" i="7"/>
  <c r="CK114" i="7"/>
  <c r="CJ114" i="7"/>
  <c r="CI114" i="7"/>
  <c r="CH114" i="7"/>
  <c r="CR114" i="7"/>
  <c r="CV6" i="7"/>
  <c r="CV114" i="7" s="1"/>
  <c r="CU6" i="7"/>
  <c r="CU114" i="7" s="1"/>
  <c r="CT6" i="7"/>
  <c r="CX6" i="7" s="1"/>
  <c r="CX114" i="7" s="1"/>
  <c r="CS6" i="7"/>
  <c r="CW6" i="7" s="1"/>
  <c r="CW114" i="7" s="1"/>
  <c r="CV3" i="7"/>
  <c r="CV111" i="7" s="1"/>
  <c r="CU3" i="7"/>
  <c r="CU111" i="7" s="1"/>
  <c r="CT3" i="7"/>
  <c r="CT111" i="7" s="1"/>
  <c r="CS3" i="7"/>
  <c r="CS111" i="7" s="1"/>
  <c r="K3" i="1"/>
  <c r="BG87" i="7"/>
  <c r="BH57" i="7"/>
  <c r="BH87" i="7" s="1"/>
  <c r="BL87" i="7"/>
  <c r="BK87" i="7"/>
  <c r="BJ87" i="7"/>
  <c r="BI87" i="7"/>
  <c r="BM87" i="7"/>
  <c r="BO87" i="7"/>
  <c r="BP94" i="7"/>
  <c r="BP88" i="7"/>
  <c r="BQ94" i="7"/>
  <c r="BQ88" i="7"/>
  <c r="EJ100" i="7" l="1"/>
  <c r="EC28" i="7"/>
  <c r="ED28" i="7" s="1"/>
  <c r="EE28" i="7" s="1"/>
  <c r="EF28" i="7" s="1"/>
  <c r="EG28" i="7" s="1"/>
  <c r="EH28" i="7" s="1"/>
  <c r="EI28" i="7" s="1"/>
  <c r="EJ28" i="7" s="1"/>
  <c r="EK28" i="7" s="1"/>
  <c r="EL28" i="7" s="1"/>
  <c r="EM28" i="7" s="1"/>
  <c r="CT94" i="7"/>
  <c r="CU94" i="7" s="1"/>
  <c r="CV94" i="7" s="1"/>
  <c r="CW94" i="7" s="1"/>
  <c r="CW56" i="7"/>
  <c r="EB56" i="7"/>
  <c r="EC56" i="7" s="1"/>
  <c r="ED56" i="7" s="1"/>
  <c r="EE56" i="7" s="1"/>
  <c r="EF56" i="7" s="1"/>
  <c r="EG56" i="7" s="1"/>
  <c r="EH56" i="7" s="1"/>
  <c r="EI56" i="7" s="1"/>
  <c r="EJ56" i="7" s="1"/>
  <c r="EK56" i="7" s="1"/>
  <c r="EL56" i="7" s="1"/>
  <c r="EM56" i="7" s="1"/>
  <c r="CT57" i="7"/>
  <c r="CU57" i="7" s="1"/>
  <c r="CV57" i="7" s="1"/>
  <c r="CW57" i="7" s="1"/>
  <c r="CX57" i="7" s="1"/>
  <c r="EB50" i="7"/>
  <c r="EC50" i="7" s="1"/>
  <c r="ED50" i="7" s="1"/>
  <c r="EE50" i="7" s="1"/>
  <c r="EF50" i="7" s="1"/>
  <c r="EG50" i="7" s="1"/>
  <c r="EH50" i="7" s="1"/>
  <c r="EI50" i="7" s="1"/>
  <c r="EJ50" i="7" s="1"/>
  <c r="EK50" i="7" s="1"/>
  <c r="EL50" i="7" s="1"/>
  <c r="EM50" i="7" s="1"/>
  <c r="CW51" i="7"/>
  <c r="EB51" i="7"/>
  <c r="EC51" i="7" s="1"/>
  <c r="ED51" i="7" s="1"/>
  <c r="EE51" i="7" s="1"/>
  <c r="EF51" i="7" s="1"/>
  <c r="EG51" i="7" s="1"/>
  <c r="EH51" i="7" s="1"/>
  <c r="EI51" i="7" s="1"/>
  <c r="EJ51" i="7" s="1"/>
  <c r="EK51" i="7" s="1"/>
  <c r="EL51" i="7" s="1"/>
  <c r="EM51" i="7" s="1"/>
  <c r="CW91" i="7"/>
  <c r="CW52" i="7"/>
  <c r="EB52" i="7"/>
  <c r="EC52" i="7" s="1"/>
  <c r="ED52" i="7" s="1"/>
  <c r="EE52" i="7" s="1"/>
  <c r="EF52" i="7" s="1"/>
  <c r="EG52" i="7" s="1"/>
  <c r="EH52" i="7" s="1"/>
  <c r="EI52" i="7" s="1"/>
  <c r="EJ52" i="7" s="1"/>
  <c r="EK52" i="7" s="1"/>
  <c r="EL52" i="7" s="1"/>
  <c r="EM52" i="7" s="1"/>
  <c r="CX94" i="7"/>
  <c r="CW90" i="7"/>
  <c r="CW18" i="7"/>
  <c r="EB18" i="7"/>
  <c r="CW7" i="7"/>
  <c r="EB7" i="7"/>
  <c r="CW12" i="7"/>
  <c r="EB12" i="7"/>
  <c r="EC12" i="7" s="1"/>
  <c r="ED12" i="7" s="1"/>
  <c r="EE12" i="7" s="1"/>
  <c r="EF12" i="7" s="1"/>
  <c r="EG12" i="7" s="1"/>
  <c r="EH12" i="7" s="1"/>
  <c r="EI12" i="7" s="1"/>
  <c r="EJ12" i="7" s="1"/>
  <c r="EK12" i="7" s="1"/>
  <c r="EL12" i="7" s="1"/>
  <c r="EM12" i="7" s="1"/>
  <c r="CT24" i="7"/>
  <c r="CU24" i="7" s="1"/>
  <c r="CV24" i="7" s="1"/>
  <c r="CW24" i="7" s="1"/>
  <c r="CX24" i="7" s="1"/>
  <c r="EB24" i="7"/>
  <c r="EC24" i="7" s="1"/>
  <c r="ED24" i="7" s="1"/>
  <c r="EE24" i="7" s="1"/>
  <c r="EF24" i="7" s="1"/>
  <c r="EG24" i="7" s="1"/>
  <c r="EH24" i="7" s="1"/>
  <c r="EI24" i="7" s="1"/>
  <c r="EJ24" i="7" s="1"/>
  <c r="EK24" i="7" s="1"/>
  <c r="EL24" i="7" s="1"/>
  <c r="EM24" i="7" s="1"/>
  <c r="CW8" i="7"/>
  <c r="EB8" i="7"/>
  <c r="CT26" i="7"/>
  <c r="CU26" i="7" s="1"/>
  <c r="CV26" i="7" s="1"/>
  <c r="CW26" i="7" s="1"/>
  <c r="CX26" i="7" s="1"/>
  <c r="CW17" i="7"/>
  <c r="EB17" i="7"/>
  <c r="CT29" i="7"/>
  <c r="CU29" i="7" s="1"/>
  <c r="CV29" i="7" s="1"/>
  <c r="CW29" i="7" s="1"/>
  <c r="CX29" i="7" s="1"/>
  <c r="CW13" i="7"/>
  <c r="EB13" i="7"/>
  <c r="EC13" i="7" s="1"/>
  <c r="CT30" i="7"/>
  <c r="CU30" i="7" s="1"/>
  <c r="CV30" i="7" s="1"/>
  <c r="CW30" i="7" s="1"/>
  <c r="CX30" i="7" s="1"/>
  <c r="CT31" i="7"/>
  <c r="CU31" i="7" s="1"/>
  <c r="CV31" i="7" s="1"/>
  <c r="CW31" i="7" s="1"/>
  <c r="CX31" i="7" s="1"/>
  <c r="EB31" i="7"/>
  <c r="EC31" i="7" s="1"/>
  <c r="ED31" i="7" s="1"/>
  <c r="EE31" i="7" s="1"/>
  <c r="EF31" i="7" s="1"/>
  <c r="EG31" i="7" s="1"/>
  <c r="EH31" i="7" s="1"/>
  <c r="EI31" i="7" s="1"/>
  <c r="EJ31" i="7" s="1"/>
  <c r="EK31" i="7" s="1"/>
  <c r="EL31" i="7" s="1"/>
  <c r="EM31" i="7" s="1"/>
  <c r="CT32" i="7"/>
  <c r="CU32" i="7" s="1"/>
  <c r="CV32" i="7" s="1"/>
  <c r="CW32" i="7" s="1"/>
  <c r="CX32" i="7" s="1"/>
  <c r="EB32" i="7"/>
  <c r="EC32" i="7" s="1"/>
  <c r="ED32" i="7" s="1"/>
  <c r="EE32" i="7" s="1"/>
  <c r="EF32" i="7" s="1"/>
  <c r="EG32" i="7" s="1"/>
  <c r="EH32" i="7" s="1"/>
  <c r="EI32" i="7" s="1"/>
  <c r="EJ32" i="7" s="1"/>
  <c r="EK32" i="7" s="1"/>
  <c r="EL32" i="7" s="1"/>
  <c r="EM32" i="7" s="1"/>
  <c r="CW11" i="7"/>
  <c r="EB11" i="7"/>
  <c r="EC11" i="7" s="1"/>
  <c r="ED11" i="7" s="1"/>
  <c r="EE11" i="7" s="1"/>
  <c r="EF11" i="7" s="1"/>
  <c r="EG11" i="7" s="1"/>
  <c r="EH11" i="7" s="1"/>
  <c r="CT21" i="7"/>
  <c r="CU21" i="7" s="1"/>
  <c r="CV21" i="7" s="1"/>
  <c r="CW21" i="7" s="1"/>
  <c r="CX21" i="7" s="1"/>
  <c r="CT23" i="7"/>
  <c r="CU23" i="7" s="1"/>
  <c r="CV23" i="7" s="1"/>
  <c r="CW23" i="7" s="1"/>
  <c r="CX23" i="7" s="1"/>
  <c r="CW14" i="7"/>
  <c r="EB14" i="7"/>
  <c r="CW16" i="7"/>
  <c r="EB16" i="7"/>
  <c r="CT19" i="7"/>
  <c r="CU19" i="7" s="1"/>
  <c r="CV19" i="7" s="1"/>
  <c r="CW19" i="7" s="1"/>
  <c r="CX19" i="7" s="1"/>
  <c r="EB19" i="7"/>
  <c r="CT27" i="7"/>
  <c r="CU27" i="7" s="1"/>
  <c r="CV27" i="7" s="1"/>
  <c r="CW27" i="7" s="1"/>
  <c r="CX27" i="7" s="1"/>
  <c r="CT9" i="7"/>
  <c r="CU9" i="7" s="1"/>
  <c r="CV9" i="7" s="1"/>
  <c r="CW9" i="7" s="1"/>
  <c r="CX9" i="7" s="1"/>
  <c r="CT20" i="7"/>
  <c r="CU20" i="7" s="1"/>
  <c r="CV20" i="7" s="1"/>
  <c r="CW20" i="7" s="1"/>
  <c r="CX20" i="7" s="1"/>
  <c r="CT33" i="7"/>
  <c r="CU33" i="7" s="1"/>
  <c r="CV33" i="7" s="1"/>
  <c r="CW33" i="7" s="1"/>
  <c r="CX33" i="7" s="1"/>
  <c r="CW15" i="7"/>
  <c r="EB15" i="7"/>
  <c r="CW10" i="7"/>
  <c r="CW113" i="7" s="1"/>
  <c r="EB10" i="7"/>
  <c r="CT22" i="7"/>
  <c r="CU22" i="7" s="1"/>
  <c r="CV22" i="7" s="1"/>
  <c r="CW22" i="7" s="1"/>
  <c r="CX22" i="7" s="1"/>
  <c r="EB22" i="7"/>
  <c r="EC22" i="7" s="1"/>
  <c r="ED22" i="7" s="1"/>
  <c r="EE22" i="7" s="1"/>
  <c r="EF22" i="7" s="1"/>
  <c r="EG22" i="7" s="1"/>
  <c r="EH22" i="7" s="1"/>
  <c r="EI22" i="7" s="1"/>
  <c r="EJ22" i="7" s="1"/>
  <c r="EK22" i="7" s="1"/>
  <c r="EL22" i="7" s="1"/>
  <c r="EM22" i="7" s="1"/>
  <c r="CT25" i="7"/>
  <c r="CU25" i="7" s="1"/>
  <c r="CV25" i="7" s="1"/>
  <c r="CW25" i="7" s="1"/>
  <c r="CX25" i="7" s="1"/>
  <c r="CX10" i="7"/>
  <c r="CX113" i="7" s="1"/>
  <c r="C30" i="29"/>
  <c r="C28" i="29"/>
  <c r="C27" i="29"/>
  <c r="C30" i="37"/>
  <c r="C31" i="37"/>
  <c r="C29" i="37"/>
  <c r="C43" i="35"/>
  <c r="C44" i="35"/>
  <c r="C45" i="35"/>
  <c r="C39" i="36"/>
  <c r="C37" i="36"/>
  <c r="C38" i="36"/>
  <c r="CT113" i="7"/>
  <c r="CR89" i="7"/>
  <c r="CR103" i="7" s="1"/>
  <c r="EB3" i="7"/>
  <c r="DV87" i="7"/>
  <c r="DU87" i="7"/>
  <c r="CR130" i="7"/>
  <c r="DT87" i="7"/>
  <c r="CX16" i="7"/>
  <c r="CR141" i="7"/>
  <c r="CS113" i="7"/>
  <c r="EB6" i="7"/>
  <c r="CR120" i="7"/>
  <c r="EB5" i="7"/>
  <c r="EC5" i="7" s="1"/>
  <c r="ED5" i="7" s="1"/>
  <c r="CS114" i="7"/>
  <c r="CT114" i="7"/>
  <c r="CW3" i="7"/>
  <c r="CW111" i="7" s="1"/>
  <c r="CX3" i="7"/>
  <c r="CX111" i="7" s="1"/>
  <c r="EA88" i="7"/>
  <c r="DZ88" i="7"/>
  <c r="CL88" i="7"/>
  <c r="CP88" i="7"/>
  <c r="CQ138" i="7"/>
  <c r="CQ133" i="7"/>
  <c r="CQ132" i="7"/>
  <c r="CQ135" i="7"/>
  <c r="CQ136" i="7"/>
  <c r="CQ127" i="7"/>
  <c r="CQ121" i="7"/>
  <c r="CQ124" i="7"/>
  <c r="CQ122" i="7"/>
  <c r="CM94" i="7"/>
  <c r="CQ94" i="7"/>
  <c r="EB94" i="7" s="1"/>
  <c r="CM88" i="7"/>
  <c r="CQ88" i="7"/>
  <c r="CV112" i="7"/>
  <c r="CU4" i="7"/>
  <c r="CU112" i="7" s="1"/>
  <c r="CT4" i="7"/>
  <c r="BS87" i="7"/>
  <c r="BQ87" i="7"/>
  <c r="BQ89" i="7" s="1"/>
  <c r="BQ93" i="7" s="1"/>
  <c r="BQ95" i="7" s="1"/>
  <c r="BQ98" i="7" s="1"/>
  <c r="BN87" i="7"/>
  <c r="BP87" i="7"/>
  <c r="BP89" i="7" s="1"/>
  <c r="BP93" i="7" s="1"/>
  <c r="BP95" i="7" s="1"/>
  <c r="BP98" i="7" s="1"/>
  <c r="BT87" i="7"/>
  <c r="BU87" i="7"/>
  <c r="BV87" i="7"/>
  <c r="CO98" i="7"/>
  <c r="CK98" i="7"/>
  <c r="CK99" i="7" s="1"/>
  <c r="CN94" i="7"/>
  <c r="CN88" i="7"/>
  <c r="CR112" i="7"/>
  <c r="CQ112" i="7"/>
  <c r="CR111" i="7"/>
  <c r="CQ111" i="7"/>
  <c r="CM58" i="7"/>
  <c r="EA22" i="7"/>
  <c r="EA21" i="7"/>
  <c r="EA20" i="7"/>
  <c r="CN58" i="7"/>
  <c r="CO58" i="7"/>
  <c r="EA33" i="7"/>
  <c r="EA32" i="7"/>
  <c r="CP58" i="7"/>
  <c r="EA50" i="7"/>
  <c r="CQ55" i="7"/>
  <c r="CO107" i="7"/>
  <c r="CK107" i="7"/>
  <c r="DZ55" i="7"/>
  <c r="DZ52" i="7"/>
  <c r="DZ28" i="7"/>
  <c r="DZ42" i="7"/>
  <c r="DZ41" i="7"/>
  <c r="DZ31" i="7"/>
  <c r="DZ25" i="7"/>
  <c r="DZ47" i="7"/>
  <c r="EA45" i="7"/>
  <c r="DZ5" i="7"/>
  <c r="DX62" i="7"/>
  <c r="DW62" i="7"/>
  <c r="DX61" i="7"/>
  <c r="DW61" i="7"/>
  <c r="DX60" i="7"/>
  <c r="DW60" i="7"/>
  <c r="DX59" i="7"/>
  <c r="DW59" i="7"/>
  <c r="DX58" i="7"/>
  <c r="DW58" i="7"/>
  <c r="DX57" i="7"/>
  <c r="DW57" i="7"/>
  <c r="DX56" i="7"/>
  <c r="DW56" i="7"/>
  <c r="DX55" i="7"/>
  <c r="DW55" i="7"/>
  <c r="DX52" i="7"/>
  <c r="DW52" i="7"/>
  <c r="DX51" i="7"/>
  <c r="DW51" i="7"/>
  <c r="DX28" i="7"/>
  <c r="DW28" i="7"/>
  <c r="DX9" i="7"/>
  <c r="DW9" i="7"/>
  <c r="DX29" i="7"/>
  <c r="DW29" i="7"/>
  <c r="DX44" i="7"/>
  <c r="DW44" i="7"/>
  <c r="DX43" i="7"/>
  <c r="DW43" i="7"/>
  <c r="DX42" i="7"/>
  <c r="DW42" i="7"/>
  <c r="DX41" i="7"/>
  <c r="DW41" i="7"/>
  <c r="DX31" i="7"/>
  <c r="DW31" i="7"/>
  <c r="DX30" i="7"/>
  <c r="DW30" i="7"/>
  <c r="DX27" i="7"/>
  <c r="DW27" i="7"/>
  <c r="DX26" i="7"/>
  <c r="DW26" i="7"/>
  <c r="DX48" i="7"/>
  <c r="DW48" i="7"/>
  <c r="DX25" i="7"/>
  <c r="DW25" i="7"/>
  <c r="DX49" i="7"/>
  <c r="DW49" i="7"/>
  <c r="DX47" i="7"/>
  <c r="DW47" i="7"/>
  <c r="DX17" i="7"/>
  <c r="DW17" i="7"/>
  <c r="DX45" i="7"/>
  <c r="DW45" i="7"/>
  <c r="DX16" i="7"/>
  <c r="DW16" i="7"/>
  <c r="DX23" i="7"/>
  <c r="DW23" i="7"/>
  <c r="DX15" i="7"/>
  <c r="DW15" i="7"/>
  <c r="DX19" i="7"/>
  <c r="DW19" i="7"/>
  <c r="DX14" i="7"/>
  <c r="DW14" i="7"/>
  <c r="DX13" i="7"/>
  <c r="DW13" i="7"/>
  <c r="DX12" i="7"/>
  <c r="DW12" i="7"/>
  <c r="DX18" i="7"/>
  <c r="DW18" i="7"/>
  <c r="DX11" i="7"/>
  <c r="DW11" i="7"/>
  <c r="DX10" i="7"/>
  <c r="DW10" i="7"/>
  <c r="DX40" i="7"/>
  <c r="DW40" i="7"/>
  <c r="DX46" i="7"/>
  <c r="DW46" i="7"/>
  <c r="DX8" i="7"/>
  <c r="DW8" i="7"/>
  <c r="DX7" i="7"/>
  <c r="DW7" i="7"/>
  <c r="DX6" i="7"/>
  <c r="DW6" i="7"/>
  <c r="DX5" i="7"/>
  <c r="DW5" i="7"/>
  <c r="DX4" i="7"/>
  <c r="DW4" i="7"/>
  <c r="DW3" i="7"/>
  <c r="DX3" i="7"/>
  <c r="EA62" i="7"/>
  <c r="DZ62" i="7"/>
  <c r="DY62" i="7"/>
  <c r="EA61" i="7"/>
  <c r="DZ61" i="7"/>
  <c r="DY61" i="7"/>
  <c r="EA60" i="7"/>
  <c r="DZ60" i="7"/>
  <c r="DY60" i="7"/>
  <c r="EA59" i="7"/>
  <c r="DZ59" i="7"/>
  <c r="DY59" i="7"/>
  <c r="DY58" i="7"/>
  <c r="DY57" i="7"/>
  <c r="DY56" i="7"/>
  <c r="DY55" i="7"/>
  <c r="DY52" i="7"/>
  <c r="DY51" i="7"/>
  <c r="DY28" i="7"/>
  <c r="DY9" i="7"/>
  <c r="DY29" i="7"/>
  <c r="DY44" i="7"/>
  <c r="DY43" i="7"/>
  <c r="DY42" i="7"/>
  <c r="DY41" i="7"/>
  <c r="DY31" i="7"/>
  <c r="DY30" i="7"/>
  <c r="DY27" i="7"/>
  <c r="DY26" i="7"/>
  <c r="DY48" i="7"/>
  <c r="DY25" i="7"/>
  <c r="DY49" i="7"/>
  <c r="DY47" i="7"/>
  <c r="DY17" i="7"/>
  <c r="DY45" i="7"/>
  <c r="DY16" i="7"/>
  <c r="DY23" i="7"/>
  <c r="DY15" i="7"/>
  <c r="DY19" i="7"/>
  <c r="DY14" i="7"/>
  <c r="DY13" i="7"/>
  <c r="DY12" i="7"/>
  <c r="DY18" i="7"/>
  <c r="DY11" i="7"/>
  <c r="DY10" i="7"/>
  <c r="DY40" i="7"/>
  <c r="EA46" i="7"/>
  <c r="DY46" i="7"/>
  <c r="DY7" i="7"/>
  <c r="DY6" i="7"/>
  <c r="DY5" i="7"/>
  <c r="DY4" i="7"/>
  <c r="DY3" i="7"/>
  <c r="DY8" i="7"/>
  <c r="ED2" i="7"/>
  <c r="EE2" i="7" s="1"/>
  <c r="EF2" i="7" s="1"/>
  <c r="EG2" i="7" s="1"/>
  <c r="EH2" i="7" s="1"/>
  <c r="EI2" i="7" s="1"/>
  <c r="EJ2" i="7" s="1"/>
  <c r="EK2" i="7" s="1"/>
  <c r="EL2" i="7" s="1"/>
  <c r="EM2" i="7" s="1"/>
  <c r="DZ19" i="7"/>
  <c r="DZ15" i="7"/>
  <c r="DZ12" i="7"/>
  <c r="DZ13" i="7"/>
  <c r="DZ18" i="7"/>
  <c r="CO112" i="7"/>
  <c r="CN112" i="7"/>
  <c r="DZ4" i="7"/>
  <c r="CJ112" i="7"/>
  <c r="CK112" i="7"/>
  <c r="CI112" i="7"/>
  <c r="CH112" i="7"/>
  <c r="CG112" i="7"/>
  <c r="CF112" i="7"/>
  <c r="CE112" i="7"/>
  <c r="CD112" i="7"/>
  <c r="CC112" i="7"/>
  <c r="CA94" i="7"/>
  <c r="CE94" i="7"/>
  <c r="CE88" i="7"/>
  <c r="CA88" i="7"/>
  <c r="BZ24" i="7"/>
  <c r="BZ87" i="7" s="1"/>
  <c r="BY24" i="7"/>
  <c r="BY87" i="7" s="1"/>
  <c r="BX24" i="7"/>
  <c r="BX87" i="7" s="1"/>
  <c r="BW24" i="7"/>
  <c r="BW87" i="7" s="1"/>
  <c r="CP111" i="7"/>
  <c r="CK111" i="7"/>
  <c r="CN111" i="7"/>
  <c r="CM111" i="7"/>
  <c r="CL111" i="7"/>
  <c r="CD111" i="7"/>
  <c r="CC111" i="7"/>
  <c r="CI111" i="7"/>
  <c r="CH111" i="7"/>
  <c r="CG111" i="7"/>
  <c r="CF111" i="7"/>
  <c r="CE111" i="7"/>
  <c r="CJ111" i="7"/>
  <c r="DZ46" i="7"/>
  <c r="CD94" i="7"/>
  <c r="CD88" i="7"/>
  <c r="BZ94" i="7"/>
  <c r="BZ88" i="7"/>
  <c r="CF94" i="7"/>
  <c r="CF88" i="7"/>
  <c r="CB88" i="7"/>
  <c r="CB94" i="7"/>
  <c r="CG94" i="7"/>
  <c r="CG88" i="7"/>
  <c r="CC94" i="7"/>
  <c r="CC88" i="7"/>
  <c r="EK100" i="7" l="1"/>
  <c r="EB20" i="7"/>
  <c r="EC20" i="7" s="1"/>
  <c r="ED20" i="7" s="1"/>
  <c r="EE20" i="7" s="1"/>
  <c r="EF20" i="7" s="1"/>
  <c r="EG20" i="7" s="1"/>
  <c r="EH20" i="7" s="1"/>
  <c r="EI20" i="7" s="1"/>
  <c r="EJ20" i="7" s="1"/>
  <c r="EK20" i="7" s="1"/>
  <c r="EL20" i="7" s="1"/>
  <c r="EM20" i="7" s="1"/>
  <c r="EB26" i="7"/>
  <c r="EC26" i="7" s="1"/>
  <c r="ED26" i="7" s="1"/>
  <c r="EE26" i="7" s="1"/>
  <c r="EF26" i="7" s="1"/>
  <c r="EG26" i="7" s="1"/>
  <c r="EH26" i="7" s="1"/>
  <c r="EI26" i="7" s="1"/>
  <c r="EJ26" i="7" s="1"/>
  <c r="EK26" i="7" s="1"/>
  <c r="EL26" i="7" s="1"/>
  <c r="EM26" i="7" s="1"/>
  <c r="EB30" i="7"/>
  <c r="EC30" i="7" s="1"/>
  <c r="ED30" i="7" s="1"/>
  <c r="EE30" i="7" s="1"/>
  <c r="EF30" i="7" s="1"/>
  <c r="EG30" i="7" s="1"/>
  <c r="EH30" i="7" s="1"/>
  <c r="EI30" i="7" s="1"/>
  <c r="EJ30" i="7" s="1"/>
  <c r="EK30" i="7" s="1"/>
  <c r="EL30" i="7" s="1"/>
  <c r="EM30" i="7" s="1"/>
  <c r="EB29" i="7"/>
  <c r="EC29" i="7" s="1"/>
  <c r="ED29" i="7" s="1"/>
  <c r="EE29" i="7" s="1"/>
  <c r="EF29" i="7" s="1"/>
  <c r="EG29" i="7" s="1"/>
  <c r="EH29" i="7" s="1"/>
  <c r="EI29" i="7" s="1"/>
  <c r="EJ29" i="7" s="1"/>
  <c r="EK29" i="7" s="1"/>
  <c r="EL29" i="7" s="1"/>
  <c r="EM29" i="7" s="1"/>
  <c r="EB57" i="7"/>
  <c r="EC57" i="7" s="1"/>
  <c r="ED57" i="7" s="1"/>
  <c r="EE57" i="7" s="1"/>
  <c r="EF57" i="7" s="1"/>
  <c r="EG57" i="7" s="1"/>
  <c r="EH57" i="7" s="1"/>
  <c r="EI57" i="7" s="1"/>
  <c r="EJ57" i="7" s="1"/>
  <c r="EK57" i="7" s="1"/>
  <c r="EL57" i="7" s="1"/>
  <c r="EM57" i="7" s="1"/>
  <c r="EB33" i="7"/>
  <c r="EC33" i="7" s="1"/>
  <c r="ED33" i="7" s="1"/>
  <c r="EE33" i="7" s="1"/>
  <c r="EF33" i="7" s="1"/>
  <c r="EG33" i="7" s="1"/>
  <c r="EH33" i="7" s="1"/>
  <c r="EI33" i="7" s="1"/>
  <c r="EJ33" i="7" s="1"/>
  <c r="EK33" i="7" s="1"/>
  <c r="EL33" i="7" s="1"/>
  <c r="EM33" i="7" s="1"/>
  <c r="ED13" i="7"/>
  <c r="EE13" i="7" s="1"/>
  <c r="EF13" i="7" s="1"/>
  <c r="EG13" i="7" s="1"/>
  <c r="EH13" i="7" s="1"/>
  <c r="EI13" i="7" s="1"/>
  <c r="EJ13" i="7" s="1"/>
  <c r="EK13" i="7" s="1"/>
  <c r="EL13" i="7" s="1"/>
  <c r="EM13" i="7" s="1"/>
  <c r="EB9" i="7"/>
  <c r="EC9" i="7" s="1"/>
  <c r="ED9" i="7" s="1"/>
  <c r="EE9" i="7" s="1"/>
  <c r="EF9" i="7" s="1"/>
  <c r="EG9" i="7" s="1"/>
  <c r="EH9" i="7" s="1"/>
  <c r="EI9" i="7" s="1"/>
  <c r="EJ9" i="7" s="1"/>
  <c r="EK9" i="7" s="1"/>
  <c r="EL9" i="7" s="1"/>
  <c r="EM9" i="7" s="1"/>
  <c r="EC17" i="7"/>
  <c r="ED17" i="7" s="1"/>
  <c r="EE17" i="7" s="1"/>
  <c r="EF17" i="7" s="1"/>
  <c r="EG17" i="7" s="1"/>
  <c r="EH17" i="7" s="1"/>
  <c r="EI17" i="7" s="1"/>
  <c r="EJ17" i="7" s="1"/>
  <c r="EK17" i="7" s="1"/>
  <c r="EL17" i="7" s="1"/>
  <c r="EM17" i="7" s="1"/>
  <c r="CX91" i="7"/>
  <c r="CQ87" i="7"/>
  <c r="CQ105" i="7" s="1"/>
  <c r="EB55" i="7"/>
  <c r="EC55" i="7" s="1"/>
  <c r="ED55" i="7" s="1"/>
  <c r="EE55" i="7" s="1"/>
  <c r="EF55" i="7" s="1"/>
  <c r="EG55" i="7" s="1"/>
  <c r="EH55" i="7" s="1"/>
  <c r="EI55" i="7" s="1"/>
  <c r="EJ55" i="7" s="1"/>
  <c r="EK55" i="7" s="1"/>
  <c r="EL55" i="7" s="1"/>
  <c r="EM55" i="7" s="1"/>
  <c r="EI11" i="7"/>
  <c r="EJ11" i="7" s="1"/>
  <c r="EK11" i="7" s="1"/>
  <c r="EL11" i="7" s="1"/>
  <c r="EM11" i="7" s="1"/>
  <c r="EB23" i="7"/>
  <c r="CX90" i="7"/>
  <c r="EB27" i="7"/>
  <c r="EC27" i="7" s="1"/>
  <c r="ED27" i="7" s="1"/>
  <c r="EE27" i="7" s="1"/>
  <c r="EF27" i="7" s="1"/>
  <c r="EG27" i="7" s="1"/>
  <c r="EH27" i="7" s="1"/>
  <c r="EI27" i="7" s="1"/>
  <c r="EJ27" i="7" s="1"/>
  <c r="EK27" i="7" s="1"/>
  <c r="EL27" i="7" s="1"/>
  <c r="EM27" i="7" s="1"/>
  <c r="EB25" i="7"/>
  <c r="EB21" i="7"/>
  <c r="CT87" i="7"/>
  <c r="CX4" i="7"/>
  <c r="CX112" i="7" s="1"/>
  <c r="EB4" i="7"/>
  <c r="CS87" i="7"/>
  <c r="CU87" i="7"/>
  <c r="CV87" i="7"/>
  <c r="DX111" i="7"/>
  <c r="DY111" i="7"/>
  <c r="CW112" i="7"/>
  <c r="CS112" i="7"/>
  <c r="CQ141" i="7"/>
  <c r="CT112" i="7"/>
  <c r="CQ130" i="7"/>
  <c r="CQ120" i="7"/>
  <c r="CR104" i="7"/>
  <c r="CR93" i="7"/>
  <c r="CR95" i="7" s="1"/>
  <c r="CR98" i="7" s="1"/>
  <c r="CR99" i="7" s="1"/>
  <c r="CR105" i="7"/>
  <c r="EA56" i="7"/>
  <c r="DZ27" i="7"/>
  <c r="DZ30" i="7"/>
  <c r="DZ29" i="7"/>
  <c r="DZ9" i="7"/>
  <c r="DZ51" i="7"/>
  <c r="DZ14" i="7"/>
  <c r="EA10" i="7"/>
  <c r="EC10" i="7" s="1"/>
  <c r="ED10" i="7" s="1"/>
  <c r="EE10" i="7" s="1"/>
  <c r="EF10" i="7" s="1"/>
  <c r="EG10" i="7" s="1"/>
  <c r="EH10" i="7" s="1"/>
  <c r="EI10" i="7" s="1"/>
  <c r="EJ10" i="7" s="1"/>
  <c r="EK10" i="7" s="1"/>
  <c r="EL10" i="7" s="1"/>
  <c r="EM10" i="7" s="1"/>
  <c r="EA11" i="7"/>
  <c r="DZ10" i="7"/>
  <c r="DZ8" i="7"/>
  <c r="EA18" i="7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A15" i="7"/>
  <c r="EC15" i="7" s="1"/>
  <c r="ED15" i="7" s="1"/>
  <c r="EE15" i="7" s="1"/>
  <c r="EF15" i="7" s="1"/>
  <c r="EG15" i="7" s="1"/>
  <c r="EH15" i="7" s="1"/>
  <c r="EI15" i="7" s="1"/>
  <c r="EJ15" i="7" s="1"/>
  <c r="EK15" i="7" s="1"/>
  <c r="EL15" i="7" s="1"/>
  <c r="EM15" i="7" s="1"/>
  <c r="EA7" i="7"/>
  <c r="EC7" i="7" s="1"/>
  <c r="ED7" i="7" s="1"/>
  <c r="EE7" i="7" s="1"/>
  <c r="EF7" i="7" s="1"/>
  <c r="EG7" i="7" s="1"/>
  <c r="EH7" i="7" s="1"/>
  <c r="EI7" i="7" s="1"/>
  <c r="EJ7" i="7" s="1"/>
  <c r="EK7" i="7" s="1"/>
  <c r="EL7" i="7" s="1"/>
  <c r="EM7" i="7" s="1"/>
  <c r="DZ45" i="7"/>
  <c r="EA12" i="7"/>
  <c r="EA19" i="7"/>
  <c r="EC19" i="7" s="1"/>
  <c r="ED19" i="7" s="1"/>
  <c r="EE19" i="7" s="1"/>
  <c r="EF19" i="7" s="1"/>
  <c r="EG19" i="7" s="1"/>
  <c r="EH19" i="7" s="1"/>
  <c r="EI19" i="7" s="1"/>
  <c r="EJ19" i="7" s="1"/>
  <c r="EK19" i="7" s="1"/>
  <c r="EL19" i="7" s="1"/>
  <c r="EM19" i="7" s="1"/>
  <c r="EA6" i="7"/>
  <c r="EC6" i="7" s="1"/>
  <c r="ED6" i="7" s="1"/>
  <c r="EE6" i="7" s="1"/>
  <c r="EF6" i="7" s="1"/>
  <c r="EG6" i="7" s="1"/>
  <c r="EH6" i="7" s="1"/>
  <c r="EI6" i="7" s="1"/>
  <c r="EJ6" i="7" s="1"/>
  <c r="EK6" i="7" s="1"/>
  <c r="EL6" i="7" s="1"/>
  <c r="EM6" i="7" s="1"/>
  <c r="DZ17" i="7"/>
  <c r="EA52" i="7"/>
  <c r="EA14" i="7"/>
  <c r="EC14" i="7" s="1"/>
  <c r="ED14" i="7" s="1"/>
  <c r="EE14" i="7" s="1"/>
  <c r="EF14" i="7" s="1"/>
  <c r="EG14" i="7" s="1"/>
  <c r="EH14" i="7" s="1"/>
  <c r="EI14" i="7" s="1"/>
  <c r="EJ14" i="7" s="1"/>
  <c r="EK14" i="7" s="1"/>
  <c r="EL14" i="7" s="1"/>
  <c r="EM14" i="7" s="1"/>
  <c r="DZ58" i="7"/>
  <c r="DZ11" i="7"/>
  <c r="DZ3" i="7"/>
  <c r="DZ7" i="7"/>
  <c r="EA16" i="7"/>
  <c r="EC16" i="7" s="1"/>
  <c r="ED16" i="7" s="1"/>
  <c r="EE16" i="7" s="1"/>
  <c r="EF16" i="7" s="1"/>
  <c r="EG16" i="7" s="1"/>
  <c r="EH16" i="7" s="1"/>
  <c r="EI16" i="7" s="1"/>
  <c r="EJ16" i="7" s="1"/>
  <c r="EK16" i="7" s="1"/>
  <c r="EL16" i="7" s="1"/>
  <c r="EM16" i="7" s="1"/>
  <c r="DZ48" i="7"/>
  <c r="DZ56" i="7"/>
  <c r="CL112" i="7"/>
  <c r="DZ44" i="7"/>
  <c r="CM112" i="7"/>
  <c r="EA13" i="7"/>
  <c r="EA8" i="7"/>
  <c r="EC8" i="7" s="1"/>
  <c r="ED8" i="7" s="1"/>
  <c r="EE8" i="7" s="1"/>
  <c r="EF8" i="7" s="1"/>
  <c r="EG8" i="7" s="1"/>
  <c r="EH8" i="7" s="1"/>
  <c r="EI8" i="7" s="1"/>
  <c r="EJ8" i="7" s="1"/>
  <c r="EK8" i="7" s="1"/>
  <c r="EL8" i="7" s="1"/>
  <c r="EM8" i="7" s="1"/>
  <c r="DZ6" i="7"/>
  <c r="DZ26" i="7"/>
  <c r="DW24" i="7"/>
  <c r="DW87" i="7" s="1"/>
  <c r="CP112" i="7"/>
  <c r="DZ23" i="7"/>
  <c r="EA40" i="7"/>
  <c r="EA5" i="7"/>
  <c r="EE5" i="7" s="1"/>
  <c r="EF5" i="7" s="1"/>
  <c r="EG5" i="7" s="1"/>
  <c r="EH5" i="7" s="1"/>
  <c r="EI5" i="7" s="1"/>
  <c r="EJ5" i="7" s="1"/>
  <c r="EK5" i="7" s="1"/>
  <c r="EL5" i="7" s="1"/>
  <c r="EM5" i="7" s="1"/>
  <c r="DZ49" i="7"/>
  <c r="DZ40" i="7"/>
  <c r="EA23" i="7"/>
  <c r="DZ16" i="7"/>
  <c r="DZ43" i="7"/>
  <c r="DZ57" i="7"/>
  <c r="EA43" i="7"/>
  <c r="EA30" i="7"/>
  <c r="CK87" i="7"/>
  <c r="EA3" i="7"/>
  <c r="CI88" i="7"/>
  <c r="CJ94" i="7"/>
  <c r="CJ88" i="7"/>
  <c r="CJ87" i="7"/>
  <c r="CJ104" i="7" s="1"/>
  <c r="CD24" i="7"/>
  <c r="CD87" i="7" s="1"/>
  <c r="CD109" i="7" s="1"/>
  <c r="CC24" i="7"/>
  <c r="CC87" i="7" s="1"/>
  <c r="CC109" i="7" s="1"/>
  <c r="CB24" i="7"/>
  <c r="CB87" i="7" s="1"/>
  <c r="CB109" i="7" s="1"/>
  <c r="CA24" i="7"/>
  <c r="V87" i="7"/>
  <c r="AC87" i="7"/>
  <c r="AV87" i="7"/>
  <c r="AW87" i="7"/>
  <c r="AX87" i="7"/>
  <c r="BA87" i="7"/>
  <c r="BB87" i="7"/>
  <c r="BE87" i="7"/>
  <c r="BF87" i="7"/>
  <c r="CG24" i="7"/>
  <c r="CG87" i="7" s="1"/>
  <c r="CF24" i="7"/>
  <c r="CF87" i="7" s="1"/>
  <c r="CF89" i="7" s="1"/>
  <c r="CF93" i="7" s="1"/>
  <c r="CF106" i="7" s="1"/>
  <c r="CE24" i="7"/>
  <c r="CH94" i="7"/>
  <c r="CH88" i="7"/>
  <c r="CH24" i="7"/>
  <c r="CL87" i="7" s="1"/>
  <c r="CL89" i="7" s="1"/>
  <c r="CL93" i="7" s="1"/>
  <c r="CL95" i="7" s="1"/>
  <c r="CI87" i="7"/>
  <c r="CI104" i="7" s="1"/>
  <c r="EL100" i="7" l="1"/>
  <c r="EB87" i="7"/>
  <c r="CQ104" i="7"/>
  <c r="CQ89" i="7"/>
  <c r="CQ103" i="7" s="1"/>
  <c r="CT88" i="7"/>
  <c r="CT89" i="7" s="1"/>
  <c r="CT105" i="7"/>
  <c r="CT104" i="7"/>
  <c r="EC21" i="7"/>
  <c r="ED21" i="7" s="1"/>
  <c r="EE21" i="7" s="1"/>
  <c r="EF21" i="7" s="1"/>
  <c r="EG21" i="7" s="1"/>
  <c r="EH21" i="7" s="1"/>
  <c r="EI21" i="7" s="1"/>
  <c r="EJ21" i="7" s="1"/>
  <c r="EK21" i="7" s="1"/>
  <c r="EL21" i="7" s="1"/>
  <c r="EM21" i="7" s="1"/>
  <c r="EC25" i="7"/>
  <c r="ED25" i="7" s="1"/>
  <c r="EE25" i="7" s="1"/>
  <c r="EF25" i="7" s="1"/>
  <c r="EG25" i="7" s="1"/>
  <c r="EH25" i="7" s="1"/>
  <c r="EI25" i="7" s="1"/>
  <c r="EJ25" i="7" s="1"/>
  <c r="EK25" i="7" s="1"/>
  <c r="EL25" i="7" s="1"/>
  <c r="EM25" i="7" s="1"/>
  <c r="EC23" i="7"/>
  <c r="ED23" i="7" s="1"/>
  <c r="EE23" i="7" s="1"/>
  <c r="EF23" i="7" s="1"/>
  <c r="EG23" i="7" s="1"/>
  <c r="EH23" i="7" s="1"/>
  <c r="EI23" i="7" s="1"/>
  <c r="EJ23" i="7" s="1"/>
  <c r="EK23" i="7" s="1"/>
  <c r="EL23" i="7" s="1"/>
  <c r="EM23" i="7" s="1"/>
  <c r="CV109" i="7"/>
  <c r="CV88" i="7"/>
  <c r="CV89" i="7" s="1"/>
  <c r="CV104" i="7"/>
  <c r="CV105" i="7"/>
  <c r="CU109" i="7"/>
  <c r="CU88" i="7"/>
  <c r="CU89" i="7" s="1"/>
  <c r="CU105" i="7"/>
  <c r="CU104" i="7"/>
  <c r="CS88" i="7"/>
  <c r="EB88" i="7" s="1"/>
  <c r="EB89" i="7" s="1"/>
  <c r="EB93" i="7" s="1"/>
  <c r="CS105" i="7"/>
  <c r="CS104" i="7"/>
  <c r="CX87" i="7"/>
  <c r="CX105" i="7" s="1"/>
  <c r="CW87" i="7"/>
  <c r="DZ111" i="7"/>
  <c r="CL98" i="7"/>
  <c r="CL99" i="7" s="1"/>
  <c r="CL107" i="7"/>
  <c r="CR106" i="7"/>
  <c r="EA111" i="7"/>
  <c r="CR107" i="7"/>
  <c r="CG109" i="7"/>
  <c r="EA17" i="7"/>
  <c r="EA51" i="7"/>
  <c r="CH87" i="7"/>
  <c r="CH104" i="7" s="1"/>
  <c r="EA28" i="7"/>
  <c r="EA42" i="7"/>
  <c r="CL105" i="7"/>
  <c r="CL104" i="7"/>
  <c r="CL106" i="7"/>
  <c r="CL103" i="7"/>
  <c r="CK104" i="7"/>
  <c r="CK105" i="7"/>
  <c r="CK106" i="7"/>
  <c r="CK103" i="7"/>
  <c r="CE87" i="7"/>
  <c r="CE104" i="7" s="1"/>
  <c r="DY24" i="7"/>
  <c r="DY87" i="7" s="1"/>
  <c r="EA31" i="7"/>
  <c r="DZ24" i="7"/>
  <c r="DZ87" i="7" s="1"/>
  <c r="CA87" i="7"/>
  <c r="CA104" i="7" s="1"/>
  <c r="DX24" i="7"/>
  <c r="DX87" i="7" s="1"/>
  <c r="EA9" i="7"/>
  <c r="EA4" i="7"/>
  <c r="EA58" i="7"/>
  <c r="EA55" i="7"/>
  <c r="EA44" i="7"/>
  <c r="EA41" i="7"/>
  <c r="EA27" i="7"/>
  <c r="EA48" i="7"/>
  <c r="EA25" i="7"/>
  <c r="EA49" i="7"/>
  <c r="EA47" i="7"/>
  <c r="CG105" i="7"/>
  <c r="CG104" i="7"/>
  <c r="CJ105" i="7"/>
  <c r="CJ109" i="7"/>
  <c r="CL109" i="7"/>
  <c r="CH89" i="7"/>
  <c r="CH93" i="7" s="1"/>
  <c r="CH106" i="7" s="1"/>
  <c r="CI105" i="7"/>
  <c r="CO111" i="7"/>
  <c r="CK109" i="7"/>
  <c r="CF104" i="7"/>
  <c r="CF109" i="7"/>
  <c r="CC89" i="7"/>
  <c r="CC104" i="7"/>
  <c r="CC105" i="7"/>
  <c r="CF105" i="7"/>
  <c r="CJ89" i="7"/>
  <c r="BZ105" i="7"/>
  <c r="BZ104" i="7"/>
  <c r="CG89" i="7"/>
  <c r="CG93" i="7" s="1"/>
  <c r="CB104" i="7"/>
  <c r="CB105" i="7"/>
  <c r="CB89" i="7"/>
  <c r="CD105" i="7"/>
  <c r="CD104" i="7"/>
  <c r="CD89" i="7"/>
  <c r="BZ89" i="7"/>
  <c r="CF103" i="7"/>
  <c r="CF95" i="7"/>
  <c r="EM100" i="7" l="1"/>
  <c r="CQ93" i="7"/>
  <c r="CX104" i="7"/>
  <c r="CS89" i="7"/>
  <c r="CU103" i="7"/>
  <c r="CU93" i="7"/>
  <c r="CW109" i="7"/>
  <c r="CW88" i="7"/>
  <c r="CW89" i="7" s="1"/>
  <c r="CW105" i="7"/>
  <c r="CW104" i="7"/>
  <c r="CV103" i="7"/>
  <c r="CV93" i="7"/>
  <c r="CX109" i="7"/>
  <c r="CX88" i="7"/>
  <c r="CX89" i="7" s="1"/>
  <c r="CT103" i="7"/>
  <c r="CT93" i="7"/>
  <c r="DZ89" i="7"/>
  <c r="EC3" i="7"/>
  <c r="EB111" i="7"/>
  <c r="CQ95" i="7"/>
  <c r="CQ106" i="7"/>
  <c r="CH105" i="7"/>
  <c r="CH109" i="7"/>
  <c r="CA109" i="7"/>
  <c r="CA105" i="7"/>
  <c r="CA89" i="7"/>
  <c r="CA93" i="7" s="1"/>
  <c r="CE105" i="7"/>
  <c r="CI109" i="7"/>
  <c r="CE109" i="7"/>
  <c r="EC4" i="7"/>
  <c r="CE89" i="7"/>
  <c r="CE93" i="7" s="1"/>
  <c r="CH103" i="7"/>
  <c r="CH95" i="7"/>
  <c r="CH98" i="7" s="1"/>
  <c r="CH99" i="7" s="1"/>
  <c r="CM87" i="7"/>
  <c r="EA57" i="7"/>
  <c r="EA29" i="7"/>
  <c r="EA26" i="7"/>
  <c r="BZ93" i="7"/>
  <c r="BZ103" i="7"/>
  <c r="CG95" i="7"/>
  <c r="CG106" i="7"/>
  <c r="CJ93" i="7"/>
  <c r="CJ103" i="7"/>
  <c r="CD93" i="7"/>
  <c r="CD103" i="7"/>
  <c r="CB93" i="7"/>
  <c r="CB103" i="7"/>
  <c r="CG103" i="7"/>
  <c r="CC103" i="7"/>
  <c r="CC93" i="7"/>
  <c r="CF98" i="7"/>
  <c r="CF99" i="7" s="1"/>
  <c r="CF107" i="7"/>
  <c r="BD94" i="7"/>
  <c r="BD88" i="7"/>
  <c r="BD62" i="7"/>
  <c r="BD87" i="7" s="1"/>
  <c r="AZ62" i="7"/>
  <c r="AZ87" i="7" s="1"/>
  <c r="BB88" i="7"/>
  <c r="BA88" i="7"/>
  <c r="BC62" i="7"/>
  <c r="BC87" i="7" s="1"/>
  <c r="AY62" i="7"/>
  <c r="AY87" i="7" s="1"/>
  <c r="DN100" i="7"/>
  <c r="DO97" i="7"/>
  <c r="DP86" i="7"/>
  <c r="DP77" i="7"/>
  <c r="AV100" i="7"/>
  <c r="AW100" i="7" s="1"/>
  <c r="AX91" i="7"/>
  <c r="AW91" i="7"/>
  <c r="DP71" i="7"/>
  <c r="DP73" i="7"/>
  <c r="DP52" i="7"/>
  <c r="AS94" i="7"/>
  <c r="AS88" i="7"/>
  <c r="AS86" i="7"/>
  <c r="DP42" i="7"/>
  <c r="DP14" i="7"/>
  <c r="AS62" i="7"/>
  <c r="AT94" i="7"/>
  <c r="AT88" i="7"/>
  <c r="AT62" i="7"/>
  <c r="AT87" i="7" s="1"/>
  <c r="AU97" i="7"/>
  <c r="AU94" i="7"/>
  <c r="AU88" i="7"/>
  <c r="AU29" i="7"/>
  <c r="AU62" i="7"/>
  <c r="DP62" i="7" s="1"/>
  <c r="AR14" i="7"/>
  <c r="DO14" i="7" s="1"/>
  <c r="DO76" i="7"/>
  <c r="AR100" i="7"/>
  <c r="DO100" i="7" s="1"/>
  <c r="AR94" i="7"/>
  <c r="AR92" i="7"/>
  <c r="DO92" i="7" s="1"/>
  <c r="AR91" i="7"/>
  <c r="DO91" i="7" s="1"/>
  <c r="AR90" i="7"/>
  <c r="DO90" i="7" s="1"/>
  <c r="AR72" i="7"/>
  <c r="DO72" i="7" s="1"/>
  <c r="AR55" i="7"/>
  <c r="DO55" i="7" s="1"/>
  <c r="AR73" i="7"/>
  <c r="DO73" i="7" s="1"/>
  <c r="AR49" i="7"/>
  <c r="DO49" i="7" s="1"/>
  <c r="AR74" i="7"/>
  <c r="DO74" i="7" s="1"/>
  <c r="AR77" i="7"/>
  <c r="DO77" i="7" s="1"/>
  <c r="AR52" i="7"/>
  <c r="DO52" i="7" s="1"/>
  <c r="AR12" i="7"/>
  <c r="DO12" i="7" s="1"/>
  <c r="AR81" i="7"/>
  <c r="DO81" i="7" s="1"/>
  <c r="AR57" i="7"/>
  <c r="DO57" i="7" s="1"/>
  <c r="AR41" i="7"/>
  <c r="DO41" i="7" s="1"/>
  <c r="DP41" i="7"/>
  <c r="AR71" i="7"/>
  <c r="DO71" i="7" s="1"/>
  <c r="AR70" i="7"/>
  <c r="DO70" i="7" s="1"/>
  <c r="AR69" i="7"/>
  <c r="DO69" i="7" s="1"/>
  <c r="AR66" i="7"/>
  <c r="DO66" i="7" s="1"/>
  <c r="AR24" i="7"/>
  <c r="DO24" i="7" s="1"/>
  <c r="AR68" i="7"/>
  <c r="DO68" i="7" s="1"/>
  <c r="AR56" i="7"/>
  <c r="DO56" i="7" s="1"/>
  <c r="AR19" i="7"/>
  <c r="DO19" i="7" s="1"/>
  <c r="AR67" i="7"/>
  <c r="DO67" i="7" s="1"/>
  <c r="AR15" i="7"/>
  <c r="DO15" i="7" s="1"/>
  <c r="AR59" i="7"/>
  <c r="DO59" i="7" s="1"/>
  <c r="AR61" i="7"/>
  <c r="DO61" i="7" s="1"/>
  <c r="AR23" i="7"/>
  <c r="DO23" i="7" s="1"/>
  <c r="DP23" i="7"/>
  <c r="AR43" i="7"/>
  <c r="DO43" i="7" s="1"/>
  <c r="AQ94" i="7"/>
  <c r="AQ88" i="7"/>
  <c r="AQ75" i="7"/>
  <c r="AR75" i="7" s="1"/>
  <c r="AQ86" i="7"/>
  <c r="AR86" i="7" s="1"/>
  <c r="AQ29" i="7"/>
  <c r="C21" i="4"/>
  <c r="C22" i="4"/>
  <c r="DK2" i="7"/>
  <c r="DL2" i="7" s="1"/>
  <c r="DM2" i="7" s="1"/>
  <c r="DN2" i="7" s="1"/>
  <c r="DO2" i="7" s="1"/>
  <c r="DP2" i="7" s="1"/>
  <c r="DQ2" i="7" s="1"/>
  <c r="DR2" i="7" s="1"/>
  <c r="DS2" i="7" s="1"/>
  <c r="AM18" i="7"/>
  <c r="AR18" i="7"/>
  <c r="AT115" i="7"/>
  <c r="DI18" i="7"/>
  <c r="DJ18" i="7"/>
  <c r="DK18" i="7"/>
  <c r="DL18" i="7"/>
  <c r="DM18" i="7"/>
  <c r="AN62" i="7"/>
  <c r="AR62" i="7" s="1"/>
  <c r="AO62" i="7"/>
  <c r="AP62" i="7"/>
  <c r="DI62" i="7"/>
  <c r="DJ62" i="7"/>
  <c r="DK62" i="7"/>
  <c r="DL62" i="7"/>
  <c r="DM62" i="7"/>
  <c r="AM14" i="7"/>
  <c r="AM117" i="7" s="1"/>
  <c r="DI14" i="7"/>
  <c r="DJ14" i="7"/>
  <c r="DK14" i="7"/>
  <c r="DL14" i="7"/>
  <c r="DM14" i="7"/>
  <c r="AR7" i="7"/>
  <c r="DO7" i="7" s="1"/>
  <c r="DP7" i="7"/>
  <c r="DI7" i="7"/>
  <c r="DJ7" i="7"/>
  <c r="DK7" i="7"/>
  <c r="DL7" i="7"/>
  <c r="DM7" i="7"/>
  <c r="DN7" i="7"/>
  <c r="W42" i="7"/>
  <c r="DJ42" i="7" s="1"/>
  <c r="AA42" i="7"/>
  <c r="DK42" i="7" s="1"/>
  <c r="AR42" i="7"/>
  <c r="DO42" i="7" s="1"/>
  <c r="DI42" i="7"/>
  <c r="DL42" i="7"/>
  <c r="DM42" i="7"/>
  <c r="DN42" i="7"/>
  <c r="W43" i="7"/>
  <c r="DJ43" i="7" s="1"/>
  <c r="AA43" i="7"/>
  <c r="DK43" i="7" s="1"/>
  <c r="DI43" i="7"/>
  <c r="DL43" i="7"/>
  <c r="DM43" i="7"/>
  <c r="DN43" i="7"/>
  <c r="W23" i="7"/>
  <c r="AA23" i="7"/>
  <c r="DK23" i="7" s="1"/>
  <c r="DI23" i="7"/>
  <c r="DL23" i="7"/>
  <c r="DM23" i="7"/>
  <c r="DN23" i="7"/>
  <c r="W61" i="7"/>
  <c r="DJ61" i="7" s="1"/>
  <c r="AA61" i="7"/>
  <c r="DK61" i="7" s="1"/>
  <c r="AM61" i="7"/>
  <c r="DN61" i="7" s="1"/>
  <c r="DI61" i="7"/>
  <c r="DL61" i="7"/>
  <c r="DM61" i="7"/>
  <c r="W59" i="7"/>
  <c r="DJ59" i="7" s="1"/>
  <c r="AA59" i="7"/>
  <c r="DK59" i="7" s="1"/>
  <c r="AM59" i="7"/>
  <c r="DN59" i="7" s="1"/>
  <c r="DI59" i="7"/>
  <c r="DL59" i="7"/>
  <c r="DM59" i="7"/>
  <c r="W15" i="7"/>
  <c r="DJ15" i="7" s="1"/>
  <c r="AA15" i="7"/>
  <c r="DI15" i="7"/>
  <c r="DL15" i="7"/>
  <c r="DM15" i="7"/>
  <c r="DN15" i="7"/>
  <c r="DI67" i="7"/>
  <c r="DJ67" i="7"/>
  <c r="DK67" i="7"/>
  <c r="DL67" i="7"/>
  <c r="DM67" i="7"/>
  <c r="DN67" i="7"/>
  <c r="W19" i="7"/>
  <c r="AA19" i="7"/>
  <c r="AM19" i="7"/>
  <c r="DN19" i="7" s="1"/>
  <c r="DI19" i="7"/>
  <c r="DL19" i="7"/>
  <c r="DM19" i="7"/>
  <c r="DK56" i="7"/>
  <c r="DL56" i="7"/>
  <c r="DM56" i="7"/>
  <c r="DN56" i="7"/>
  <c r="DI68" i="7"/>
  <c r="DJ68" i="7"/>
  <c r="DK68" i="7"/>
  <c r="DL68" i="7" s="1"/>
  <c r="DM68" i="7"/>
  <c r="DN68" i="7"/>
  <c r="DI24" i="7"/>
  <c r="DJ24" i="7"/>
  <c r="DK24" i="7"/>
  <c r="DL24" i="7" s="1"/>
  <c r="DM24" i="7"/>
  <c r="DN24" i="7"/>
  <c r="W66" i="7"/>
  <c r="DJ66" i="7" s="1"/>
  <c r="AA66" i="7"/>
  <c r="DK66" i="7" s="1"/>
  <c r="DL66" i="7" s="1"/>
  <c r="DI66" i="7"/>
  <c r="DM66" i="7"/>
  <c r="DN66" i="7"/>
  <c r="W69" i="7"/>
  <c r="DJ69" i="7" s="1"/>
  <c r="AA69" i="7"/>
  <c r="DK69" i="7" s="1"/>
  <c r="DL69" i="7" s="1"/>
  <c r="DI69" i="7"/>
  <c r="DM69" i="7"/>
  <c r="DN69" i="7"/>
  <c r="W70" i="7"/>
  <c r="DJ70" i="7" s="1"/>
  <c r="AA70" i="7"/>
  <c r="DK70" i="7" s="1"/>
  <c r="DL70" i="7" s="1"/>
  <c r="DI70" i="7"/>
  <c r="DM70" i="7"/>
  <c r="DN70" i="7"/>
  <c r="W71" i="7"/>
  <c r="DJ71" i="7" s="1"/>
  <c r="AA71" i="7"/>
  <c r="DK71" i="7" s="1"/>
  <c r="DL71" i="7" s="1"/>
  <c r="DI71" i="7"/>
  <c r="DM71" i="7"/>
  <c r="DN71" i="7"/>
  <c r="W41" i="7"/>
  <c r="DJ41" i="7" s="1"/>
  <c r="AA41" i="7"/>
  <c r="DK41" i="7" s="1"/>
  <c r="DI41" i="7"/>
  <c r="DL41" i="7"/>
  <c r="DM41" i="7"/>
  <c r="DN41" i="7"/>
  <c r="DI57" i="7"/>
  <c r="DJ57" i="7"/>
  <c r="DK57" i="7"/>
  <c r="DL57" i="7" s="1"/>
  <c r="DM57" i="7"/>
  <c r="DN57" i="7"/>
  <c r="DI55" i="7"/>
  <c r="DJ55" i="7"/>
  <c r="DK55" i="7"/>
  <c r="DL55" i="7" s="1"/>
  <c r="DM55" i="7"/>
  <c r="DN55" i="7"/>
  <c r="AB29" i="7"/>
  <c r="DI29" i="7"/>
  <c r="DJ29" i="7"/>
  <c r="DM29" i="7"/>
  <c r="DN29" i="7"/>
  <c r="DI72" i="7"/>
  <c r="DJ72" i="7"/>
  <c r="DK72" i="7"/>
  <c r="DL72" i="7" s="1"/>
  <c r="DM72" i="7"/>
  <c r="DN72" i="7"/>
  <c r="DI73" i="7"/>
  <c r="DJ73" i="7"/>
  <c r="DK73" i="7"/>
  <c r="DL73" i="7" s="1"/>
  <c r="DM73" i="7"/>
  <c r="DN73" i="7"/>
  <c r="DI74" i="7"/>
  <c r="DJ74" i="7"/>
  <c r="DK74" i="7"/>
  <c r="DL74" i="7" s="1"/>
  <c r="DM74" i="7"/>
  <c r="DN74" i="7"/>
  <c r="AE75" i="7"/>
  <c r="DI75" i="7"/>
  <c r="DJ75" i="7"/>
  <c r="DK75" i="7"/>
  <c r="DL75" i="7" s="1"/>
  <c r="DM75" i="7"/>
  <c r="DN75" i="7"/>
  <c r="DM49" i="7"/>
  <c r="DN49" i="7"/>
  <c r="DM52" i="7"/>
  <c r="DN52" i="7"/>
  <c r="DM76" i="7"/>
  <c r="DN76" i="7"/>
  <c r="W78" i="7"/>
  <c r="DJ78" i="7" s="1"/>
  <c r="AA78" i="7"/>
  <c r="DK78" i="7" s="1"/>
  <c r="DL78" i="7" s="1"/>
  <c r="DI78" i="7"/>
  <c r="DM78" i="7"/>
  <c r="W79" i="7"/>
  <c r="DJ79" i="7" s="1"/>
  <c r="AA79" i="7"/>
  <c r="DK79" i="7" s="1"/>
  <c r="DL79" i="7" s="1"/>
  <c r="DI79" i="7"/>
  <c r="DM79" i="7"/>
  <c r="DK80" i="7"/>
  <c r="DL80" i="7" s="1"/>
  <c r="DM80" i="7"/>
  <c r="W45" i="7"/>
  <c r="DJ45" i="7" s="1"/>
  <c r="AA45" i="7"/>
  <c r="DI45" i="7"/>
  <c r="W81" i="7"/>
  <c r="DJ81" i="7" s="1"/>
  <c r="AA81" i="7"/>
  <c r="DK81" i="7" s="1"/>
  <c r="DL81" i="7" s="1"/>
  <c r="DI81" i="7"/>
  <c r="DM81" i="7"/>
  <c r="W86" i="7"/>
  <c r="X86" i="7"/>
  <c r="Y86" i="7"/>
  <c r="Y87" i="7" s="1"/>
  <c r="Z86" i="7"/>
  <c r="AA86" i="7"/>
  <c r="AB86" i="7"/>
  <c r="AD86" i="7"/>
  <c r="AD87" i="7" s="1"/>
  <c r="AF86" i="7"/>
  <c r="AF87" i="7" s="1"/>
  <c r="AG86" i="7"/>
  <c r="AG87" i="7" s="1"/>
  <c r="AH86" i="7"/>
  <c r="AH87" i="7" s="1"/>
  <c r="AI86" i="7"/>
  <c r="AI87" i="7" s="1"/>
  <c r="AJ86" i="7"/>
  <c r="AK86" i="7"/>
  <c r="AL86" i="7"/>
  <c r="AM86" i="7"/>
  <c r="AN86" i="7"/>
  <c r="AO86" i="7"/>
  <c r="AP86" i="7"/>
  <c r="DI86" i="7"/>
  <c r="V106" i="7"/>
  <c r="AC104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DL103" i="7"/>
  <c r="DM88" i="7"/>
  <c r="DJ90" i="7"/>
  <c r="DK90" i="7" s="1"/>
  <c r="DL90" i="7" s="1"/>
  <c r="DM90" i="7"/>
  <c r="DN90" i="7"/>
  <c r="DJ91" i="7"/>
  <c r="DK91" i="7" s="1"/>
  <c r="DL91" i="7" s="1"/>
  <c r="DM91" i="7"/>
  <c r="DN91" i="7"/>
  <c r="DJ92" i="7"/>
  <c r="DK92" i="7" s="1"/>
  <c r="DL92" i="7" s="1"/>
  <c r="DM92" i="7"/>
  <c r="DN92" i="7"/>
  <c r="W94" i="7"/>
  <c r="X94" i="7"/>
  <c r="Y94" i="7"/>
  <c r="Z94" i="7"/>
  <c r="AA94" i="7"/>
  <c r="AB94" i="7"/>
  <c r="AC94" i="7"/>
  <c r="AD94" i="7"/>
  <c r="AF94" i="7"/>
  <c r="AG94" i="7"/>
  <c r="AH94" i="7"/>
  <c r="AI94" i="7"/>
  <c r="AJ94" i="7"/>
  <c r="AK94" i="7"/>
  <c r="AL94" i="7"/>
  <c r="AM94" i="7"/>
  <c r="AN94" i="7"/>
  <c r="AO94" i="7"/>
  <c r="AP94" i="7"/>
  <c r="DL94" i="7"/>
  <c r="DN96" i="7"/>
  <c r="DJ96" i="7"/>
  <c r="DM96" i="7"/>
  <c r="DM97" i="7"/>
  <c r="DN97" i="7"/>
  <c r="AD100" i="7"/>
  <c r="DL100" i="7"/>
  <c r="DM100" i="7"/>
  <c r="R103" i="7"/>
  <c r="S103" i="7"/>
  <c r="T103" i="7"/>
  <c r="U103" i="7"/>
  <c r="S106" i="7"/>
  <c r="T106" i="7"/>
  <c r="U106" i="7"/>
  <c r="AN121" i="7"/>
  <c r="AN132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N115" i="7"/>
  <c r="AO115" i="7"/>
  <c r="AP115" i="7"/>
  <c r="AS115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Q116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N117" i="7"/>
  <c r="AO117" i="7"/>
  <c r="AP117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M122" i="7"/>
  <c r="AN122" i="7"/>
  <c r="AM123" i="7"/>
  <c r="AM127" i="7"/>
  <c r="AN127" i="7"/>
  <c r="AM132" i="7"/>
  <c r="AM135" i="7"/>
  <c r="AN135" i="7"/>
  <c r="AM136" i="7"/>
  <c r="AN136" i="7"/>
  <c r="K4" i="1"/>
  <c r="K7" i="1" s="1"/>
  <c r="DR86" i="7"/>
  <c r="DP74" i="7"/>
  <c r="DO45" i="7"/>
  <c r="DP45" i="7"/>
  <c r="DP56" i="7"/>
  <c r="DP49" i="7"/>
  <c r="DP75" i="7"/>
  <c r="DP68" i="7"/>
  <c r="DP69" i="7"/>
  <c r="DP67" i="7"/>
  <c r="DP83" i="7"/>
  <c r="DP18" i="7"/>
  <c r="AV104" i="7"/>
  <c r="DP24" i="7"/>
  <c r="DP19" i="7"/>
  <c r="DP12" i="7"/>
  <c r="DP72" i="7"/>
  <c r="DP55" i="7"/>
  <c r="DP59" i="7"/>
  <c r="DP61" i="7"/>
  <c r="DP43" i="7"/>
  <c r="DP66" i="7"/>
  <c r="DP15" i="7"/>
  <c r="AX104" i="7"/>
  <c r="AW89" i="7"/>
  <c r="DP57" i="7"/>
  <c r="CT106" i="7" l="1"/>
  <c r="CT95" i="7"/>
  <c r="CA103" i="7"/>
  <c r="CX103" i="7"/>
  <c r="CX93" i="7"/>
  <c r="CV106" i="7"/>
  <c r="CV95" i="7"/>
  <c r="CW103" i="7"/>
  <c r="CW93" i="7"/>
  <c r="CU106" i="7"/>
  <c r="CU95" i="7"/>
  <c r="CS103" i="7"/>
  <c r="CS93" i="7"/>
  <c r="DS86" i="7"/>
  <c r="DS87" i="7" s="1"/>
  <c r="DR87" i="7"/>
  <c r="ED3" i="7"/>
  <c r="EC111" i="7"/>
  <c r="CQ109" i="7"/>
  <c r="CM89" i="7"/>
  <c r="CM93" i="7" s="1"/>
  <c r="CM95" i="7" s="1"/>
  <c r="CQ98" i="7"/>
  <c r="CQ99" i="7" s="1"/>
  <c r="CQ107" i="7"/>
  <c r="CE103" i="7"/>
  <c r="CO87" i="7"/>
  <c r="CS109" i="7" s="1"/>
  <c r="CN87" i="7"/>
  <c r="CM105" i="7"/>
  <c r="CM104" i="7"/>
  <c r="CM109" i="7"/>
  <c r="CH107" i="7"/>
  <c r="ED4" i="7"/>
  <c r="EC87" i="7"/>
  <c r="CA106" i="7"/>
  <c r="CA95" i="7"/>
  <c r="CE106" i="7"/>
  <c r="CE95" i="7"/>
  <c r="CC106" i="7"/>
  <c r="CC95" i="7"/>
  <c r="CB95" i="7"/>
  <c r="CB106" i="7"/>
  <c r="CD95" i="7"/>
  <c r="CD106" i="7"/>
  <c r="CJ106" i="7"/>
  <c r="CJ95" i="7"/>
  <c r="CG98" i="7"/>
  <c r="CG99" i="7" s="1"/>
  <c r="CG107" i="7"/>
  <c r="AS87" i="7"/>
  <c r="AS105" i="7" s="1"/>
  <c r="BZ106" i="7"/>
  <c r="BZ95" i="7"/>
  <c r="AO87" i="7"/>
  <c r="AO105" i="7" s="1"/>
  <c r="AQ87" i="7"/>
  <c r="AK87" i="7"/>
  <c r="AK104" i="7" s="1"/>
  <c r="AP116" i="7"/>
  <c r="AP87" i="7"/>
  <c r="AP89" i="7" s="1"/>
  <c r="AJ87" i="7"/>
  <c r="AJ104" i="7" s="1"/>
  <c r="AN116" i="7"/>
  <c r="AN87" i="7"/>
  <c r="DK29" i="7"/>
  <c r="DL29" i="7" s="1"/>
  <c r="AB87" i="7"/>
  <c r="AE86" i="7"/>
  <c r="AE87" i="7" s="1"/>
  <c r="AI109" i="7" s="1"/>
  <c r="DP29" i="7"/>
  <c r="AU87" i="7"/>
  <c r="AU105" i="7" s="1"/>
  <c r="DK19" i="7"/>
  <c r="AA87" i="7"/>
  <c r="Z87" i="7"/>
  <c r="Z105" i="7" s="1"/>
  <c r="DJ19" i="7"/>
  <c r="W87" i="7"/>
  <c r="AR115" i="7"/>
  <c r="DN18" i="7"/>
  <c r="AM87" i="7"/>
  <c r="AL87" i="7"/>
  <c r="AL105" i="7" s="1"/>
  <c r="X87" i="7"/>
  <c r="X105" i="7" s="1"/>
  <c r="AW104" i="7"/>
  <c r="CI89" i="7"/>
  <c r="AS116" i="7"/>
  <c r="DO75" i="7"/>
  <c r="DO18" i="7"/>
  <c r="AX105" i="7"/>
  <c r="DO62" i="7"/>
  <c r="AT116" i="7"/>
  <c r="AV91" i="7"/>
  <c r="AV105" i="7" s="1"/>
  <c r="DM86" i="7"/>
  <c r="DM87" i="7" s="1"/>
  <c r="DM89" i="7" s="1"/>
  <c r="DJ86" i="7"/>
  <c r="AM139" i="7"/>
  <c r="AM141" i="7" s="1"/>
  <c r="AN139" i="7"/>
  <c r="AN141" i="7" s="1"/>
  <c r="AH104" i="7"/>
  <c r="AH89" i="7"/>
  <c r="DM94" i="7"/>
  <c r="AC89" i="7"/>
  <c r="DO86" i="7"/>
  <c r="AM130" i="7"/>
  <c r="AG109" i="7"/>
  <c r="AG105" i="7"/>
  <c r="AM115" i="7"/>
  <c r="AG89" i="7"/>
  <c r="DO94" i="7"/>
  <c r="DJ94" i="7"/>
  <c r="AG104" i="7"/>
  <c r="AQ115" i="7"/>
  <c r="Y105" i="7"/>
  <c r="Y109" i="7"/>
  <c r="Y104" i="7"/>
  <c r="Y89" i="7"/>
  <c r="AC109" i="7"/>
  <c r="DJ88" i="7"/>
  <c r="AX89" i="7"/>
  <c r="AH109" i="7"/>
  <c r="AW105" i="7"/>
  <c r="DN94" i="7"/>
  <c r="DN14" i="7"/>
  <c r="AN130" i="7"/>
  <c r="V103" i="7"/>
  <c r="AC105" i="7"/>
  <c r="AW93" i="7"/>
  <c r="AW103" i="7"/>
  <c r="AI105" i="7"/>
  <c r="AI89" i="7"/>
  <c r="DN62" i="7"/>
  <c r="AR29" i="7"/>
  <c r="DO29" i="7" s="1"/>
  <c r="AV89" i="7"/>
  <c r="AF105" i="7"/>
  <c r="AF89" i="7"/>
  <c r="AF104" i="7"/>
  <c r="AD104" i="7"/>
  <c r="AD105" i="7"/>
  <c r="AD89" i="7"/>
  <c r="DI87" i="7"/>
  <c r="BD104" i="7"/>
  <c r="BD105" i="7"/>
  <c r="BD89" i="7"/>
  <c r="AW88" i="7"/>
  <c r="DK86" i="7"/>
  <c r="DL86" i="7" s="1"/>
  <c r="AX100" i="7"/>
  <c r="DP100" i="7" s="1"/>
  <c r="DQ100" i="7" s="1"/>
  <c r="DR100" i="7" s="1"/>
  <c r="DS100" i="7" s="1"/>
  <c r="DT100" i="7" s="1"/>
  <c r="DU100" i="7" s="1"/>
  <c r="DV100" i="7" s="1"/>
  <c r="DW100" i="7" s="1"/>
  <c r="DX100" i="7" s="1"/>
  <c r="DY100" i="7" s="1"/>
  <c r="EC100" i="7" s="1"/>
  <c r="AT105" i="7"/>
  <c r="AT104" i="7"/>
  <c r="AT89" i="7"/>
  <c r="AR116" i="7"/>
  <c r="AI104" i="7"/>
  <c r="DK15" i="7"/>
  <c r="AO116" i="7"/>
  <c r="DJ23" i="7"/>
  <c r="DN86" i="7"/>
  <c r="AH105" i="7"/>
  <c r="CU96" i="7" l="1"/>
  <c r="CU107" i="7" s="1"/>
  <c r="CU98" i="7"/>
  <c r="CU99" i="7" s="1"/>
  <c r="CX106" i="7"/>
  <c r="CX95" i="7"/>
  <c r="CS106" i="7"/>
  <c r="CS95" i="7"/>
  <c r="CW106" i="7"/>
  <c r="CW95" i="7"/>
  <c r="CV96" i="7"/>
  <c r="CV107" i="7" s="1"/>
  <c r="CT96" i="7"/>
  <c r="CT98" i="7"/>
  <c r="CT99" i="7" s="1"/>
  <c r="ED111" i="7"/>
  <c r="EE3" i="7"/>
  <c r="CM103" i="7"/>
  <c r="CM106" i="7"/>
  <c r="CM98" i="7"/>
  <c r="CM99" i="7" s="1"/>
  <c r="CM107" i="7"/>
  <c r="CN89" i="7"/>
  <c r="CN93" i="7" s="1"/>
  <c r="CN95" i="7" s="1"/>
  <c r="CR109" i="7"/>
  <c r="CN109" i="7"/>
  <c r="CN104" i="7"/>
  <c r="CN105" i="7"/>
  <c r="EE4" i="7"/>
  <c r="ED87" i="7"/>
  <c r="ED109" i="7" s="1"/>
  <c r="CO109" i="7"/>
  <c r="CO104" i="7"/>
  <c r="CO103" i="7"/>
  <c r="CO106" i="7"/>
  <c r="CO105" i="7"/>
  <c r="CA107" i="7"/>
  <c r="CA98" i="7"/>
  <c r="CA99" i="7" s="1"/>
  <c r="BZ98" i="7"/>
  <c r="BZ99" i="7" s="1"/>
  <c r="BZ107" i="7"/>
  <c r="CJ98" i="7"/>
  <c r="CJ99" i="7" s="1"/>
  <c r="CJ107" i="7"/>
  <c r="CC98" i="7"/>
  <c r="CC99" i="7" s="1"/>
  <c r="CC107" i="7"/>
  <c r="CD98" i="7"/>
  <c r="CD99" i="7" s="1"/>
  <c r="CD107" i="7"/>
  <c r="AK89" i="7"/>
  <c r="AK103" i="7" s="1"/>
  <c r="AK109" i="7"/>
  <c r="CE98" i="7"/>
  <c r="CE99" i="7" s="1"/>
  <c r="CE107" i="7"/>
  <c r="AK105" i="7"/>
  <c r="CB98" i="7"/>
  <c r="CB99" i="7" s="1"/>
  <c r="CB107" i="7"/>
  <c r="AJ109" i="7"/>
  <c r="CI93" i="7"/>
  <c r="CI103" i="7"/>
  <c r="AJ89" i="7"/>
  <c r="AJ103" i="7" s="1"/>
  <c r="AJ105" i="7"/>
  <c r="AD109" i="7"/>
  <c r="Z109" i="7"/>
  <c r="AL109" i="7"/>
  <c r="Z104" i="7"/>
  <c r="X89" i="7"/>
  <c r="X103" i="7" s="1"/>
  <c r="X104" i="7"/>
  <c r="AB109" i="7"/>
  <c r="AL104" i="7"/>
  <c r="DP87" i="7"/>
  <c r="DP91" i="7" s="1"/>
  <c r="Z89" i="7"/>
  <c r="Z103" i="7" s="1"/>
  <c r="AL89" i="7"/>
  <c r="AL103" i="7" s="1"/>
  <c r="DL87" i="7"/>
  <c r="DL105" i="7" s="1"/>
  <c r="Z93" i="7"/>
  <c r="Z95" i="7" s="1"/>
  <c r="Z107" i="7" s="1"/>
  <c r="AR87" i="7"/>
  <c r="AR104" i="7" s="1"/>
  <c r="AS104" i="7"/>
  <c r="AS89" i="7"/>
  <c r="AS93" i="7" s="1"/>
  <c r="DO87" i="7"/>
  <c r="DO104" i="7" s="1"/>
  <c r="AP109" i="7"/>
  <c r="AP104" i="7"/>
  <c r="AP105" i="7"/>
  <c r="AO109" i="7"/>
  <c r="DJ87" i="7"/>
  <c r="DJ105" i="7" s="1"/>
  <c r="AO104" i="7"/>
  <c r="AO89" i="7"/>
  <c r="AO103" i="7" s="1"/>
  <c r="AU104" i="7"/>
  <c r="AU89" i="7"/>
  <c r="AU103" i="7" s="1"/>
  <c r="DK87" i="7"/>
  <c r="DK89" i="7" s="1"/>
  <c r="DK93" i="7" s="1"/>
  <c r="DK95" i="7" s="1"/>
  <c r="AC103" i="7"/>
  <c r="AC93" i="7"/>
  <c r="AB89" i="7"/>
  <c r="AB93" i="7" s="1"/>
  <c r="AB104" i="7"/>
  <c r="AF109" i="7"/>
  <c r="AB105" i="7"/>
  <c r="AH103" i="7"/>
  <c r="AH93" i="7"/>
  <c r="DM105" i="7"/>
  <c r="AG103" i="7"/>
  <c r="AG93" i="7"/>
  <c r="AM104" i="7"/>
  <c r="AM109" i="7"/>
  <c r="AM89" i="7"/>
  <c r="AM105" i="7"/>
  <c r="Y93" i="7"/>
  <c r="Y103" i="7"/>
  <c r="DN87" i="7"/>
  <c r="AE89" i="7"/>
  <c r="AE105" i="7"/>
  <c r="AE104" i="7"/>
  <c r="W105" i="7"/>
  <c r="W89" i="7"/>
  <c r="W104" i="7"/>
  <c r="AX88" i="7"/>
  <c r="AX93" i="7"/>
  <c r="AX103" i="7"/>
  <c r="AV93" i="7"/>
  <c r="AV103" i="7"/>
  <c r="AN105" i="7"/>
  <c r="AN104" i="7"/>
  <c r="AN109" i="7"/>
  <c r="AN89" i="7"/>
  <c r="AP103" i="7"/>
  <c r="AP93" i="7"/>
  <c r="AI93" i="7"/>
  <c r="AI103" i="7"/>
  <c r="AQ104" i="7"/>
  <c r="AQ89" i="7"/>
  <c r="AQ105" i="7"/>
  <c r="BD103" i="7"/>
  <c r="BD93" i="7"/>
  <c r="DM103" i="7"/>
  <c r="DM93" i="7"/>
  <c r="DM95" i="7" s="1"/>
  <c r="DM98" i="7" s="1"/>
  <c r="DM99" i="7" s="1"/>
  <c r="AF103" i="7"/>
  <c r="AF93" i="7"/>
  <c r="AW106" i="7"/>
  <c r="AW95" i="7"/>
  <c r="AA104" i="7"/>
  <c r="AA89" i="7"/>
  <c r="AA105" i="7"/>
  <c r="AE109" i="7"/>
  <c r="AA109" i="7"/>
  <c r="AD93" i="7"/>
  <c r="AD103" i="7"/>
  <c r="AT103" i="7"/>
  <c r="AT93" i="7"/>
  <c r="AV88" i="7"/>
  <c r="CW96" i="7" l="1"/>
  <c r="CW107" i="7" s="1"/>
  <c r="CW98" i="7"/>
  <c r="CW99" i="7" s="1"/>
  <c r="CS96" i="7"/>
  <c r="CS107" i="7" s="1"/>
  <c r="CS98" i="7"/>
  <c r="CS99" i="7" s="1"/>
  <c r="CX96" i="7"/>
  <c r="CX107" i="7" s="1"/>
  <c r="EB96" i="7"/>
  <c r="CT107" i="7"/>
  <c r="CV98" i="7"/>
  <c r="CV99" i="7" s="1"/>
  <c r="CN106" i="7"/>
  <c r="CN103" i="7"/>
  <c r="EE111" i="7"/>
  <c r="EF3" i="7"/>
  <c r="CN107" i="7"/>
  <c r="CN98" i="7"/>
  <c r="CN99" i="7" s="1"/>
  <c r="AK93" i="7"/>
  <c r="CP87" i="7"/>
  <c r="EA24" i="7"/>
  <c r="EA87" i="7" s="1"/>
  <c r="EA89" i="7" s="1"/>
  <c r="AJ93" i="7"/>
  <c r="AJ106" i="7" s="1"/>
  <c r="ED91" i="7"/>
  <c r="ED104" i="7"/>
  <c r="EF4" i="7"/>
  <c r="EE87" i="7"/>
  <c r="EE109" i="7" s="1"/>
  <c r="X93" i="7"/>
  <c r="X106" i="7" s="1"/>
  <c r="CI95" i="7"/>
  <c r="CI106" i="7"/>
  <c r="DP104" i="7"/>
  <c r="Z106" i="7"/>
  <c r="DL89" i="7"/>
  <c r="DL93" i="7" s="1"/>
  <c r="DL95" i="7" s="1"/>
  <c r="DL96" i="7" s="1"/>
  <c r="DL98" i="7" s="1"/>
  <c r="DL99" i="7" s="1"/>
  <c r="AL93" i="7"/>
  <c r="AL95" i="7" s="1"/>
  <c r="AL107" i="7" s="1"/>
  <c r="Z98" i="7"/>
  <c r="Z99" i="7" s="1"/>
  <c r="AS103" i="7"/>
  <c r="DP109" i="7"/>
  <c r="DO109" i="7"/>
  <c r="AR89" i="7"/>
  <c r="AR88" i="7" s="1"/>
  <c r="DO88" i="7" s="1"/>
  <c r="AR105" i="7"/>
  <c r="DN104" i="7"/>
  <c r="DJ89" i="7"/>
  <c r="DJ103" i="7" s="1"/>
  <c r="DJ104" i="7"/>
  <c r="AO93" i="7"/>
  <c r="AO106" i="7" s="1"/>
  <c r="DK105" i="7"/>
  <c r="DN109" i="7"/>
  <c r="DK88" i="7"/>
  <c r="AB103" i="7"/>
  <c r="AU93" i="7"/>
  <c r="AU95" i="7" s="1"/>
  <c r="AH106" i="7"/>
  <c r="AH95" i="7"/>
  <c r="AG95" i="7"/>
  <c r="AG106" i="7"/>
  <c r="AC106" i="7"/>
  <c r="AC95" i="7"/>
  <c r="DN105" i="7"/>
  <c r="Y106" i="7"/>
  <c r="Y95" i="7"/>
  <c r="W103" i="7"/>
  <c r="W93" i="7"/>
  <c r="AS106" i="7"/>
  <c r="AS95" i="7"/>
  <c r="AX95" i="7"/>
  <c r="AX96" i="7" s="1"/>
  <c r="AX106" i="7"/>
  <c r="AM93" i="7"/>
  <c r="AM103" i="7"/>
  <c r="AE103" i="7"/>
  <c r="AE93" i="7"/>
  <c r="AN93" i="7"/>
  <c r="AN103" i="7"/>
  <c r="DN89" i="7"/>
  <c r="DT109" i="7"/>
  <c r="DT91" i="7"/>
  <c r="DT104" i="7"/>
  <c r="AK106" i="7"/>
  <c r="AK95" i="7"/>
  <c r="AA103" i="7"/>
  <c r="AA93" i="7"/>
  <c r="DK96" i="7"/>
  <c r="DK98" i="7" s="1"/>
  <c r="AV95" i="7"/>
  <c r="AV106" i="7"/>
  <c r="BD106" i="7"/>
  <c r="BD95" i="7"/>
  <c r="DR109" i="7"/>
  <c r="DR104" i="7"/>
  <c r="DR91" i="7"/>
  <c r="AI106" i="7"/>
  <c r="AI95" i="7"/>
  <c r="DS109" i="7"/>
  <c r="DS104" i="7"/>
  <c r="DS91" i="7"/>
  <c r="AF95" i="7"/>
  <c r="AF106" i="7"/>
  <c r="AD106" i="7"/>
  <c r="AD95" i="7"/>
  <c r="DQ109" i="7"/>
  <c r="DQ91" i="7"/>
  <c r="DQ104" i="7"/>
  <c r="AP106" i="7"/>
  <c r="AP95" i="7"/>
  <c r="AW96" i="7"/>
  <c r="AW107" i="7" s="1"/>
  <c r="AT106" i="7"/>
  <c r="AT95" i="7"/>
  <c r="AQ103" i="7"/>
  <c r="AQ93" i="7"/>
  <c r="AB95" i="7"/>
  <c r="AB106" i="7"/>
  <c r="DU109" i="7"/>
  <c r="DU104" i="7"/>
  <c r="DU91" i="7"/>
  <c r="AJ95" i="7" l="1"/>
  <c r="CX98" i="7"/>
  <c r="CX99" i="7" s="1"/>
  <c r="CP89" i="7"/>
  <c r="CP93" i="7" s="1"/>
  <c r="CP95" i="7" s="1"/>
  <c r="CT109" i="7"/>
  <c r="EF111" i="7"/>
  <c r="EG3" i="7"/>
  <c r="CP98" i="7"/>
  <c r="CP99" i="7" s="1"/>
  <c r="CP107" i="7"/>
  <c r="CP106" i="7"/>
  <c r="CP104" i="7"/>
  <c r="CP109" i="7"/>
  <c r="CP103" i="7"/>
  <c r="CP105" i="7"/>
  <c r="EE91" i="7"/>
  <c r="EE104" i="7"/>
  <c r="EG4" i="7"/>
  <c r="EF87" i="7"/>
  <c r="EF109" i="7" s="1"/>
  <c r="DL88" i="7"/>
  <c r="X95" i="7"/>
  <c r="X98" i="7" s="1"/>
  <c r="X99" i="7" s="1"/>
  <c r="CI98" i="7"/>
  <c r="CI99" i="7" s="1"/>
  <c r="CI107" i="7"/>
  <c r="AL98" i="7"/>
  <c r="AL99" i="7" s="1"/>
  <c r="AL106" i="7"/>
  <c r="AR93" i="7"/>
  <c r="AR95" i="7" s="1"/>
  <c r="AR103" i="7"/>
  <c r="DO89" i="7"/>
  <c r="DO93" i="7" s="1"/>
  <c r="DO106" i="7" s="1"/>
  <c r="DJ93" i="7"/>
  <c r="DJ95" i="7" s="1"/>
  <c r="AU106" i="7"/>
  <c r="AO95" i="7"/>
  <c r="AO107" i="7" s="1"/>
  <c r="AG107" i="7"/>
  <c r="AG98" i="7"/>
  <c r="AG99" i="7" s="1"/>
  <c r="AH98" i="7"/>
  <c r="AH99" i="7" s="1"/>
  <c r="AH107" i="7"/>
  <c r="AC98" i="7"/>
  <c r="AC99" i="7" s="1"/>
  <c r="AC107" i="7"/>
  <c r="AM95" i="7"/>
  <c r="AM106" i="7"/>
  <c r="AX98" i="7"/>
  <c r="AX99" i="7" s="1"/>
  <c r="AX107" i="7"/>
  <c r="AU107" i="7"/>
  <c r="AU98" i="7"/>
  <c r="AU99" i="7" s="1"/>
  <c r="AS107" i="7"/>
  <c r="AS98" i="7"/>
  <c r="AS99" i="7" s="1"/>
  <c r="W106" i="7"/>
  <c r="W95" i="7"/>
  <c r="AE106" i="7"/>
  <c r="AE95" i="7"/>
  <c r="Y107" i="7"/>
  <c r="Y98" i="7"/>
  <c r="Y99" i="7" s="1"/>
  <c r="BD107" i="7"/>
  <c r="BD98" i="7"/>
  <c r="BD99" i="7" s="1"/>
  <c r="AJ98" i="7"/>
  <c r="AJ99" i="7" s="1"/>
  <c r="AJ107" i="7"/>
  <c r="AA106" i="7"/>
  <c r="AA95" i="7"/>
  <c r="AW98" i="7"/>
  <c r="AW99" i="7" s="1"/>
  <c r="AV96" i="7"/>
  <c r="AV107" i="7" s="1"/>
  <c r="DV91" i="7"/>
  <c r="DV109" i="7"/>
  <c r="DV104" i="7"/>
  <c r="AK98" i="7"/>
  <c r="AK99" i="7" s="1"/>
  <c r="AK107" i="7"/>
  <c r="DN93" i="7"/>
  <c r="DN103" i="7"/>
  <c r="DO103" i="7" s="1"/>
  <c r="DP103" i="7" s="1"/>
  <c r="DN88" i="7"/>
  <c r="AP107" i="7"/>
  <c r="AP98" i="7"/>
  <c r="AP99" i="7" s="1"/>
  <c r="AD98" i="7"/>
  <c r="AD99" i="7" s="1"/>
  <c r="AD107" i="7"/>
  <c r="AB98" i="7"/>
  <c r="AB99" i="7" s="1"/>
  <c r="AB107" i="7"/>
  <c r="AI98" i="7"/>
  <c r="AI99" i="7" s="1"/>
  <c r="AI107" i="7"/>
  <c r="AQ106" i="7"/>
  <c r="AQ95" i="7"/>
  <c r="AT107" i="7"/>
  <c r="AT98" i="7"/>
  <c r="AT99" i="7" s="1"/>
  <c r="AF98" i="7"/>
  <c r="AF99" i="7" s="1"/>
  <c r="AF107" i="7"/>
  <c r="AN95" i="7"/>
  <c r="AN106" i="7"/>
  <c r="EG111" i="7" l="1"/>
  <c r="EH3" i="7"/>
  <c r="DJ106" i="7"/>
  <c r="X107" i="7"/>
  <c r="DO95" i="7"/>
  <c r="EF91" i="7"/>
  <c r="EF104" i="7"/>
  <c r="EH4" i="7"/>
  <c r="EG87" i="7"/>
  <c r="EG109" i="7" s="1"/>
  <c r="AO98" i="7"/>
  <c r="AO99" i="7" s="1"/>
  <c r="AR106" i="7"/>
  <c r="AE107" i="7"/>
  <c r="AE98" i="7"/>
  <c r="AE99" i="7" s="1"/>
  <c r="W107" i="7"/>
  <c r="W98" i="7"/>
  <c r="W99" i="7" s="1"/>
  <c r="AM98" i="7"/>
  <c r="AM99" i="7" s="1"/>
  <c r="AM107" i="7"/>
  <c r="AN107" i="7"/>
  <c r="AN98" i="7"/>
  <c r="AN99" i="7" s="1"/>
  <c r="AQ98" i="7"/>
  <c r="AQ99" i="7" s="1"/>
  <c r="AQ107" i="7"/>
  <c r="AA98" i="7"/>
  <c r="AA99" i="7" s="1"/>
  <c r="AA107" i="7"/>
  <c r="DW91" i="7"/>
  <c r="DW104" i="7"/>
  <c r="DW109" i="7"/>
  <c r="AR96" i="7"/>
  <c r="AR98" i="7" s="1"/>
  <c r="AR99" i="7" s="1"/>
  <c r="DQ103" i="7"/>
  <c r="DP89" i="7"/>
  <c r="DN95" i="7"/>
  <c r="DN106" i="7"/>
  <c r="AV98" i="7"/>
  <c r="AV99" i="7" s="1"/>
  <c r="DJ98" i="7"/>
  <c r="DJ107" i="7"/>
  <c r="EH111" i="7" l="1"/>
  <c r="EI3" i="7"/>
  <c r="EI4" i="7"/>
  <c r="EH87" i="7"/>
  <c r="EH109" i="7" s="1"/>
  <c r="EG104" i="7"/>
  <c r="EG91" i="7"/>
  <c r="DX91" i="7"/>
  <c r="DX104" i="7"/>
  <c r="DX109" i="7"/>
  <c r="DN107" i="7"/>
  <c r="DN98" i="7"/>
  <c r="DN99" i="7" s="1"/>
  <c r="DP93" i="7"/>
  <c r="DP88" i="7"/>
  <c r="DR103" i="7"/>
  <c r="DQ89" i="7"/>
  <c r="DO96" i="7"/>
  <c r="AR107" i="7"/>
  <c r="EI111" i="7" l="1"/>
  <c r="EJ3" i="7"/>
  <c r="EH104" i="7"/>
  <c r="EH91" i="7"/>
  <c r="EJ4" i="7"/>
  <c r="EI87" i="7"/>
  <c r="EI109" i="7" s="1"/>
  <c r="DP95" i="7"/>
  <c r="DP106" i="7"/>
  <c r="DO107" i="7"/>
  <c r="DO98" i="7"/>
  <c r="DS103" i="7"/>
  <c r="DR89" i="7"/>
  <c r="DQ93" i="7"/>
  <c r="DQ88" i="7"/>
  <c r="DY91" i="7"/>
  <c r="DY104" i="7"/>
  <c r="DY109" i="7"/>
  <c r="EJ111" i="7" l="1"/>
  <c r="EK3" i="7"/>
  <c r="EL3" i="7" s="1"/>
  <c r="EM3" i="7" s="1"/>
  <c r="EI104" i="7"/>
  <c r="EI91" i="7"/>
  <c r="EK4" i="7"/>
  <c r="EJ87" i="7"/>
  <c r="EJ109" i="7" s="1"/>
  <c r="DZ109" i="7"/>
  <c r="DZ104" i="7"/>
  <c r="DQ106" i="7"/>
  <c r="DQ95" i="7"/>
  <c r="DR93" i="7"/>
  <c r="DR88" i="7"/>
  <c r="DT103" i="7"/>
  <c r="DS89" i="7"/>
  <c r="DO99" i="7"/>
  <c r="DP96" i="7"/>
  <c r="DP107" i="7" s="1"/>
  <c r="EJ104" i="7" l="1"/>
  <c r="EJ91" i="7"/>
  <c r="EL4" i="7"/>
  <c r="EK87" i="7"/>
  <c r="DS93" i="7"/>
  <c r="DS88" i="7"/>
  <c r="DU103" i="7"/>
  <c r="DT89" i="7"/>
  <c r="DR106" i="7"/>
  <c r="DQ96" i="7"/>
  <c r="DQ107" i="7" s="1"/>
  <c r="DP98" i="7"/>
  <c r="EA104" i="7"/>
  <c r="EA109" i="7"/>
  <c r="EK91" i="7" l="1"/>
  <c r="EK104" i="7"/>
  <c r="EM4" i="7"/>
  <c r="EM87" i="7" s="1"/>
  <c r="EL87" i="7"/>
  <c r="DQ98" i="7"/>
  <c r="DQ99" i="7" s="1"/>
  <c r="DT93" i="7"/>
  <c r="DT88" i="7"/>
  <c r="EB104" i="7"/>
  <c r="EB109" i="7"/>
  <c r="DP99" i="7"/>
  <c r="DV103" i="7"/>
  <c r="DU89" i="7"/>
  <c r="DS106" i="7"/>
  <c r="EC91" i="7"/>
  <c r="EC104" i="7"/>
  <c r="EC109" i="7"/>
  <c r="EL91" i="7" l="1"/>
  <c r="EL104" i="7"/>
  <c r="EM91" i="7"/>
  <c r="EM104" i="7"/>
  <c r="DR95" i="7"/>
  <c r="DV89" i="7"/>
  <c r="DU93" i="7"/>
  <c r="DU88" i="7"/>
  <c r="DT106" i="7"/>
  <c r="DU106" i="7" l="1"/>
  <c r="DR96" i="7"/>
  <c r="DR107" i="7" s="1"/>
  <c r="DV93" i="7"/>
  <c r="DV88" i="7"/>
  <c r="DW89" i="7"/>
  <c r="DW93" i="7" l="1"/>
  <c r="DW88" i="7"/>
  <c r="DX89" i="7"/>
  <c r="DV106" i="7"/>
  <c r="DR98" i="7"/>
  <c r="DX93" i="7" l="1"/>
  <c r="DX88" i="7"/>
  <c r="DR99" i="7"/>
  <c r="DY89" i="7"/>
  <c r="DW106" i="7"/>
  <c r="DY93" i="7" l="1"/>
  <c r="DY88" i="7"/>
  <c r="DS95" i="7"/>
  <c r="DX106" i="7"/>
  <c r="DS96" i="7" l="1"/>
  <c r="DS107" i="7" s="1"/>
  <c r="DY106" i="7"/>
  <c r="DZ93" i="7"/>
  <c r="EA93" i="7" l="1"/>
  <c r="DZ106" i="7"/>
  <c r="DS98" i="7"/>
  <c r="EC89" i="7" l="1"/>
  <c r="EC93" i="7" s="1"/>
  <c r="DS99" i="7"/>
  <c r="EA106" i="7"/>
  <c r="EC88" i="7" l="1"/>
  <c r="ED89" i="7"/>
  <c r="EB106" i="7"/>
  <c r="EC106" i="7"/>
  <c r="DT95" i="7"/>
  <c r="ED88" i="7" l="1"/>
  <c r="ED93" i="7"/>
  <c r="EE89" i="7"/>
  <c r="DT96" i="7"/>
  <c r="DT107" i="7" s="1"/>
  <c r="EE88" i="7" l="1"/>
  <c r="EE93" i="7"/>
  <c r="ED106" i="7"/>
  <c r="ED95" i="7"/>
  <c r="EF89" i="7"/>
  <c r="DT98" i="7"/>
  <c r="DT99" i="7" s="1"/>
  <c r="EF88" i="7" l="1"/>
  <c r="EF93" i="7"/>
  <c r="ED107" i="7"/>
  <c r="ED98" i="7"/>
  <c r="ED99" i="7" s="1"/>
  <c r="EE106" i="7"/>
  <c r="EE95" i="7"/>
  <c r="EG89" i="7"/>
  <c r="DU95" i="7"/>
  <c r="EG88" i="7" l="1"/>
  <c r="EG93" i="7"/>
  <c r="EE107" i="7"/>
  <c r="EE98" i="7"/>
  <c r="EE99" i="7" s="1"/>
  <c r="EF106" i="7"/>
  <c r="EF95" i="7"/>
  <c r="EH89" i="7"/>
  <c r="DU96" i="7"/>
  <c r="DU107" i="7" s="1"/>
  <c r="EH88" i="7" l="1"/>
  <c r="EH93" i="7"/>
  <c r="EF107" i="7"/>
  <c r="EF98" i="7"/>
  <c r="EF99" i="7" s="1"/>
  <c r="EG106" i="7"/>
  <c r="EG95" i="7"/>
  <c r="EI89" i="7"/>
  <c r="DU98" i="7"/>
  <c r="DU99" i="7" s="1"/>
  <c r="EI88" i="7" l="1"/>
  <c r="EI93" i="7"/>
  <c r="EG107" i="7"/>
  <c r="EG98" i="7"/>
  <c r="EG99" i="7" s="1"/>
  <c r="EH95" i="7"/>
  <c r="EH106" i="7"/>
  <c r="EJ89" i="7"/>
  <c r="DV95" i="7"/>
  <c r="EJ88" i="7" l="1"/>
  <c r="EJ93" i="7"/>
  <c r="EH98" i="7"/>
  <c r="EH99" i="7" s="1"/>
  <c r="EH107" i="7"/>
  <c r="EI95" i="7"/>
  <c r="EI106" i="7"/>
  <c r="EK89" i="7"/>
  <c r="DV96" i="7"/>
  <c r="DV107" i="7" s="1"/>
  <c r="EK88" i="7" l="1"/>
  <c r="EK93" i="7"/>
  <c r="EI107" i="7"/>
  <c r="EI98" i="7"/>
  <c r="EI99" i="7" s="1"/>
  <c r="EJ106" i="7"/>
  <c r="EJ95" i="7"/>
  <c r="EM89" i="7"/>
  <c r="EL89" i="7"/>
  <c r="DV98" i="7"/>
  <c r="DV99" i="7" s="1"/>
  <c r="EL88" i="7" l="1"/>
  <c r="EL93" i="7"/>
  <c r="EM88" i="7"/>
  <c r="EM93" i="7"/>
  <c r="EJ107" i="7"/>
  <c r="EJ98" i="7"/>
  <c r="EJ99" i="7" s="1"/>
  <c r="EK95" i="7"/>
  <c r="EK106" i="7"/>
  <c r="DW95" i="7"/>
  <c r="EK107" i="7" l="1"/>
  <c r="EK98" i="7"/>
  <c r="EK99" i="7" s="1"/>
  <c r="EM95" i="7"/>
  <c r="EM106" i="7"/>
  <c r="EL106" i="7"/>
  <c r="EL95" i="7"/>
  <c r="DW96" i="7"/>
  <c r="DW107" i="7" s="1"/>
  <c r="EL107" i="7" l="1"/>
  <c r="EL98" i="7"/>
  <c r="EL99" i="7" s="1"/>
  <c r="EM98" i="7"/>
  <c r="EM99" i="7" s="1"/>
  <c r="EM107" i="7"/>
  <c r="DW98" i="7"/>
  <c r="DW99" i="7" s="1"/>
  <c r="DX95" i="7" l="1"/>
  <c r="DX96" i="7" l="1"/>
  <c r="DX107" i="7" s="1"/>
  <c r="DX98" i="7" l="1"/>
  <c r="DX99" i="7" s="1"/>
  <c r="DY95" i="7" l="1"/>
  <c r="DY96" i="7" l="1"/>
  <c r="DY107" i="7" s="1"/>
  <c r="DY98" i="7" l="1"/>
  <c r="DY99" i="7" l="1"/>
  <c r="DZ95" i="7" l="1"/>
  <c r="DZ107" i="7" l="1"/>
  <c r="DZ98" i="7" l="1"/>
  <c r="DZ99" i="7" s="1"/>
  <c r="EA95" i="7" l="1"/>
  <c r="EA107" i="7" l="1"/>
  <c r="EA98" i="7" l="1"/>
  <c r="EA99" i="7" s="1"/>
  <c r="EB95" i="7" l="1"/>
  <c r="EB107" i="7" l="1"/>
  <c r="EB98" i="7" l="1"/>
  <c r="EB99" i="7" l="1"/>
  <c r="EC95" i="7" l="1"/>
  <c r="EC107" i="7" l="1"/>
  <c r="EC98" i="7" l="1"/>
  <c r="EC99" i="7" l="1"/>
  <c r="EN98" i="7"/>
  <c r="EO98" i="7" s="1"/>
  <c r="EP98" i="7" s="1"/>
  <c r="EQ98" i="7" s="1"/>
  <c r="ER98" i="7" s="1"/>
  <c r="ES98" i="7" s="1"/>
  <c r="ET98" i="7" s="1"/>
  <c r="EU98" i="7" s="1"/>
  <c r="EV98" i="7" s="1"/>
  <c r="EW98" i="7" s="1"/>
  <c r="EX98" i="7" s="1"/>
  <c r="EY98" i="7" s="1"/>
  <c r="EZ98" i="7" s="1"/>
  <c r="FA98" i="7" s="1"/>
  <c r="FB98" i="7" s="1"/>
  <c r="FC98" i="7" s="1"/>
  <c r="FD98" i="7" s="1"/>
  <c r="FE98" i="7" s="1"/>
  <c r="FF98" i="7" s="1"/>
  <c r="FG98" i="7" s="1"/>
  <c r="FH98" i="7" s="1"/>
  <c r="FI98" i="7" s="1"/>
  <c r="FJ98" i="7" s="1"/>
  <c r="FK98" i="7" s="1"/>
  <c r="FL98" i="7" s="1"/>
  <c r="FM98" i="7" s="1"/>
  <c r="FN98" i="7" s="1"/>
  <c r="FO98" i="7" s="1"/>
  <c r="FP98" i="7" s="1"/>
  <c r="FQ98" i="7" s="1"/>
  <c r="FR98" i="7" s="1"/>
  <c r="FS98" i="7" s="1"/>
  <c r="FT98" i="7" s="1"/>
  <c r="FU98" i="7" s="1"/>
  <c r="FV98" i="7" s="1"/>
  <c r="FW98" i="7" s="1"/>
  <c r="FX98" i="7" s="1"/>
  <c r="FY98" i="7" s="1"/>
  <c r="FZ98" i="7" s="1"/>
  <c r="GA98" i="7" s="1"/>
  <c r="GB98" i="7" s="1"/>
  <c r="GC98" i="7" s="1"/>
  <c r="GD98" i="7" s="1"/>
  <c r="GE98" i="7" s="1"/>
  <c r="GF98" i="7" s="1"/>
  <c r="GG98" i="7" s="1"/>
  <c r="GH98" i="7" s="1"/>
  <c r="GI98" i="7" s="1"/>
  <c r="GJ98" i="7" s="1"/>
  <c r="GK98" i="7" s="1"/>
  <c r="GL98" i="7" s="1"/>
  <c r="GM98" i="7" s="1"/>
  <c r="GN98" i="7" s="1"/>
  <c r="GO98" i="7" s="1"/>
  <c r="GP98" i="7" s="1"/>
  <c r="GQ98" i="7" s="1"/>
  <c r="GR98" i="7" s="1"/>
  <c r="EP105" i="7" s="1"/>
  <c r="EP106" i="7" s="1"/>
  <c r="BR8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tc={D62DBF2F-287A-4010-A155-AA24966F2AA4}</author>
    <author>Martin Shkreli</author>
    <author>tc={BD1794CD-A4A5-4162-9B72-64E6057D9510}</author>
    <author>tc={6DCB1BC1-8D2E-4EF8-B674-A4FBAAB84212}</author>
    <author>tc={259D8D03-FC68-4E9B-93F5-A87012CBE182}</author>
    <author>tc={62D1F299-BA77-4B11-916A-3E9C8453E5BB}</author>
    <author>tc={9F14EA27-52F6-4D58-A621-BE9B3020F31F}</author>
    <author xml:space="preserve"> </author>
    <author>MSMB</author>
    <author>Martin</author>
    <author>tc={0E601E2F-7ECF-4CDD-A344-E00EF29B2A68}</author>
    <author>tc={EE1FF094-4FA8-478F-B53F-2BD79A909715}</author>
    <author>tc={8AACDF9E-579A-45C7-B0D3-BE8111D3CD6A}</author>
    <author>tc={29EDF96C-E7AA-48B8-8C08-0DD18E859291}</author>
    <author>tc={07C2355C-2F91-4FEC-B7AF-2C093C23087B}</author>
    <author>tc={42C52143-ABD2-4472-8E88-4E9D4130E218}</author>
    <author>tc={1F159F62-A8AF-4547-8349-2CF314B5051A}</author>
    <author>tc={047CC09F-8B58-4663-92EB-4563859FCE43}</author>
    <author>tc={8323C141-3819-4911-BF8C-26B7E5B6D8CB}</author>
    <author>tc={932DB68E-5116-47DB-9126-3DF300A7FFC0}</author>
    <author>tc={33B8DB53-52E5-4394-B981-829628410B78}</author>
    <author>tc={85A3583F-D75C-4861-A947-94586CB03356}</author>
    <author>tc={98490C7F-6D1E-4D48-BF90-62A6F0C0ADB0}</author>
    <author>tc={80E3A555-D5AE-4A57-876F-770B75A4A3CF}</author>
    <author>tc={4512D24D-9ACD-4DEA-91C8-FC67B27621E0}</author>
  </authors>
  <commentList>
    <comment ref="CQ4" authorId="0" shapeId="0" xr:uid="{D62DBF2F-287A-4010-A155-AA24966F2AA4}">
      <text>
        <t>[Threaded comment]
Your version of Excel allows you to read this threaded comment; however, any edits to it will get removed if the file is opened in a newer version of Excel. Learn more: https://go.microsoft.com/fwlink/?linkid=870924
Comment:
    45m milestone in Japan
Authorized generic!?!?!</t>
      </text>
    </comment>
    <comment ref="CK5" authorId="1" shapeId="0" xr:uid="{A05F94D5-553A-4B95-8F2E-43CA8AB3B680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7/21/21 acquisition close</t>
        </r>
      </text>
    </comment>
    <comment ref="CQ5" authorId="2" shapeId="0" xr:uid="{BD1794CD-A4A5-4162-9B72-64E6057D95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biosimilar erosion in EU</t>
      </text>
    </comment>
    <comment ref="EC8" authorId="3" shapeId="0" xr:uid="{6DCB1BC1-8D2E-4EF8-B674-A4FBAAB84212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patents expire 2024</t>
      </text>
    </comment>
    <comment ref="CN9" authorId="4" shapeId="0" xr:uid="{259D8D03-FC68-4E9B-93F5-A87012CBE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180m COVID-19 mabs in alliance?</t>
      </text>
    </comment>
    <comment ref="CR9" authorId="5" shapeId="0" xr:uid="{62D1F299-BA77-4B11-916A-3E9C8453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344m alliance</t>
      </text>
    </comment>
    <comment ref="CK10" authorId="6" shapeId="0" xr:uid="{9F14EA27-52F6-4D58-A621-BE9B3020F31F}">
      <text>
        <t>[Threaded comment]
Your version of Excel allows you to read this threaded comment; however, any edits to it will get removed if the file is opened in a newer version of Excel. Learn more: https://go.microsoft.com/fwlink/?linkid=870924
Comment:
    7/21/21 acquisition close</t>
      </text>
    </comment>
    <comment ref="AJ14" authorId="7" shapeId="0" xr:uid="{00000000-0006-0000-0100-000003000000}">
      <text>
        <r>
          <rPr>
            <sz val="8"/>
            <color indexed="81"/>
            <rFont val="Tahoma"/>
            <family val="2"/>
          </rPr>
          <t>+33% CER</t>
        </r>
      </text>
    </comment>
    <comment ref="DT14" authorId="8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</t>
        </r>
      </text>
    </comment>
    <comment ref="AM18" authorId="8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Global CC 0%
US Actual -7%
Europe CC +8%
ROW CC +4%
Emerging CC +21%</t>
        </r>
      </text>
    </comment>
    <comment ref="DR18" authorId="9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Ranbaxy launch</t>
        </r>
      </text>
    </comment>
    <comment ref="AJ19" authorId="7" shapeId="0" xr:uid="{00000000-0006-0000-0100-00000B000000}">
      <text>
        <r>
          <rPr>
            <sz val="8"/>
            <color indexed="81"/>
            <rFont val="Tahoma"/>
            <family val="2"/>
          </rPr>
          <t>Generics withdrawn (KV)</t>
        </r>
      </text>
    </comment>
    <comment ref="AM19" authorId="8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Emerging +18% CER</t>
        </r>
      </text>
    </comment>
    <comment ref="CN21" authorId="10" shapeId="0" xr:uid="{0E601E2F-7ECF-4CDD-A344-E00EF29B2A68}">
      <text>
        <t>[Threaded comment]
Your version of Excel allows you to read this threaded comment; however, any edits to it will get removed if the file is opened in a newer version of Excel. Learn more: https://go.microsoft.com/fwlink/?linkid=870924
Comment:
    62m alliance revenue?</t>
      </text>
    </comment>
    <comment ref="CQ21" authorId="11" shapeId="0" xr:uid="{EE1FF094-4FA8-478F-B53F-2BD79A909715}">
      <text>
        <t>[Threaded comment]
Your version of Excel allows you to read this threaded comment; however, any edits to it will get removed if the file is opened in a newer version of Excel. Learn more: https://go.microsoft.com/fwlink/?linkid=870924
Comment:
    Amgen recorded 94m</t>
      </text>
    </comment>
    <comment ref="CR21" authorId="12" shapeId="0" xr:uid="{8AACDF9E-579A-45C7-B0D3-BE8111D3CD6A}">
      <text>
        <t>[Threaded comment]
Your version of Excel allows you to read this threaded comment; however, any edits to it will get removed if the file is opened in a newer version of Excel. Learn more: https://go.microsoft.com/fwlink/?linkid=870924
Comment:
    104m in alliance</t>
      </text>
    </comment>
    <comment ref="B24" authorId="1" shapeId="0" xr:uid="{00000000-0006-0000-01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Tenormin</t>
        </r>
      </text>
    </comment>
    <comment ref="CR32" authorId="13" shapeId="0" xr:uid="{29EDF96C-E7AA-48B8-8C08-0DD18E859291}">
      <text>
        <t>[Threaded comment]
Your version of Excel allows you to read this threaded comment; however, any edits to it will get removed if the file is opened in a newer version of Excel. Learn more: https://go.microsoft.com/fwlink/?linkid=870924
Comment:
    7m alliance</t>
      </text>
    </comment>
    <comment ref="AP42" authorId="8" shapeId="0" xr:uid="{00000000-0006-0000-01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Patent expiry?</t>
        </r>
      </text>
    </comment>
    <comment ref="AQ42" authorId="9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Expires in Europe in February</t>
        </r>
      </text>
    </comment>
    <comment ref="CR55" authorId="14" shapeId="0" xr:uid="{07C2355C-2F91-4FEC-B7AF-2C093C23087B}">
      <text>
        <t>[Threaded comment]
Your version of Excel allows you to read this threaded comment; however, any edits to it will get removed if the file is opened in a newer version of Excel. Learn more: https://go.microsoft.com/fwlink/?linkid=870924
Comment:
    4m Farxiga sales milestones</t>
      </text>
    </comment>
    <comment ref="CR58" authorId="15" shapeId="0" xr:uid="{42C52143-ABD2-4472-8E88-4E9D4130E218}">
      <text>
        <t>[Threaded comment]
Your version of Excel allows you to read this threaded comment; however, any edits to it will get removed if the file is opened in a newer version of Excel. Learn more: https://go.microsoft.com/fwlink/?linkid=870924
Comment:
    4m collaboration</t>
      </text>
    </comment>
    <comment ref="AM59" authorId="8" shapeId="0" xr:uid="{00000000-0006-0000-01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almost gone, smallest geography
WW 12% CER
US -6%
Europe +3% CER
ROW +11% CER
Emerging +33% CER</t>
        </r>
      </text>
    </comment>
    <comment ref="AM61" authorId="8" shapeId="0" xr:uid="{00000000-0006-0000-0100-00000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Europe +10% CER
ROW +10% CER
Emerging +13% CER</t>
        </r>
      </text>
    </comment>
    <comment ref="DP62" authorId="9" shapeId="0" xr:uid="{00000000-0006-0000-01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Seroquel IR goes off?</t>
        </r>
      </text>
    </comment>
    <comment ref="DQ62" authorId="9" shapeId="0" xr:uid="{00000000-0006-0000-01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Best-case scenario for IR is 6/2/2013.</t>
        </r>
      </text>
    </comment>
    <comment ref="DU62" authorId="9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11/18/2017 best case for XR, likely only 2012-2014 (settlement from 17)</t>
        </r>
      </text>
    </comment>
    <comment ref="EB86" authorId="16" shapeId="0" xr:uid="{1F159F62-A8AF-4547-8349-2CF314B5051A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Collaboration revenue will not increase in 2024</t>
      </text>
    </comment>
    <comment ref="DO87" authorId="9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expects flat to down on CC basis</t>
        </r>
      </text>
    </comment>
    <comment ref="EH87" authorId="17" shapeId="0" xr:uid="{047CC09F-8B58-4663-92EB-4563859FCE43}">
      <text>
        <t>[Threaded comment]
Your version of Excel allows you to read this threaded comment; however, any edits to it will get removed if the file is opened in a newer version of Excel. Learn more: https://go.microsoft.com/fwlink/?linkid=870924
Comment:
    80B ambition by 2030</t>
      </text>
    </comment>
    <comment ref="AS92" authorId="9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1675 extraordinary income</t>
        </r>
      </text>
    </comment>
    <comment ref="DN96" authorId="8" shapeId="0" xr:uid="{00000000-0006-0000-01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FY tax rate of 27%</t>
        </r>
      </text>
    </comment>
    <comment ref="CK99" authorId="18" shapeId="0" xr:uid="{8323C141-3819-4911-BF8C-26B7E5B6D8CB}">
      <text>
        <t>[Threaded comment]
Your version of Excel allows you to read this threaded comment; however, any edits to it will get removed if the file is opened in a newer version of Excel. Learn more: https://go.microsoft.com/fwlink/?linkid=870924
Comment:
    Core 1.67</t>
      </text>
    </comment>
    <comment ref="CR99" authorId="19" shapeId="0" xr:uid="{932DB68E-5116-47DB-9126-3DF300A7FFC0}">
      <text>
        <t>[Threaded comment]
Your version of Excel allows you to read this threaded comment; however, any edits to it will get removed if the file is opened in a newer version of Excel. Learn more: https://go.microsoft.com/fwlink/?linkid=870924
Comment:
    1.98 core</t>
      </text>
    </comment>
    <comment ref="DN99" authorId="8" shapeId="0" xr:uid="{00000000-0006-0000-01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raised to 6.05-6.35</t>
        </r>
      </text>
    </comment>
    <comment ref="CR103" authorId="20" shapeId="0" xr:uid="{33B8DB53-52E5-4394-B981-829628410B78}">
      <text>
        <t>[Threaded comment]
Your version of Excel allows you to read this threaded comment; however, any edits to it will get removed if the file is opened in a newer version of Excel. Learn more: https://go.microsoft.com/fwlink/?linkid=870924
Comment:
    Product GM 83%</t>
      </text>
    </comment>
    <comment ref="EB107" authorId="21" shapeId="0" xr:uid="{85A3583F-D75C-4861-A947-94586CB03356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18-22%</t>
      </text>
    </comment>
    <comment ref="AJ109" authorId="7" shapeId="0" xr:uid="{00000000-0006-0000-0100-000013000000}">
      <text>
        <r>
          <rPr>
            <sz val="8"/>
            <color indexed="81"/>
            <rFont val="Tahoma"/>
            <family val="2"/>
          </rPr>
          <t>CER 9%</t>
        </r>
      </text>
    </comment>
    <comment ref="DN109" authorId="8" shapeId="0" xr:uid="{00000000-0006-0000-01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up to MSD decline</t>
        </r>
      </text>
    </comment>
    <comment ref="EB109" authorId="22" shapeId="0" xr:uid="{98490C7F-6D1E-4D48-BF90-62A6F0C0ADB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raised guidance to mid teens (was low DD to low teens)</t>
      </text>
    </comment>
    <comment ref="CR111" authorId="23" shapeId="0" xr:uid="{80E3A555-D5AE-4A57-876F-770B75A4A3CF}">
      <text>
        <t>[Threaded comment]
Your version of Excel allows you to read this threaded comment; however, any edits to it will get removed if the file is opened in a newer version of Excel. Learn more: https://go.microsoft.com/fwlink/?linkid=870924
Comment:
    12% CER</t>
      </text>
    </comment>
    <comment ref="AM117" authorId="8" shapeId="0" xr:uid="{00000000-0006-0000-01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27% CER</t>
        </r>
      </text>
    </comment>
    <comment ref="CR138" authorId="24" shapeId="0" xr:uid="{4512D24D-9ACD-4DEA-91C8-FC67B27621E0}">
      <text>
        <t>[Threaded comment]
Your version of Excel allows you to read this threaded comment; however, any edits to it will get removed if the file is opened in a newer version of Excel. Learn more: https://go.microsoft.com/fwlink/?linkid=870924
Comment:
    1.742B BMS diabetes alliance CoCo</t>
      </text>
    </comment>
  </commentList>
</comments>
</file>

<file path=xl/sharedStrings.xml><?xml version="1.0" encoding="utf-8"?>
<sst xmlns="http://schemas.openxmlformats.org/spreadsheetml/2006/main" count="1281" uniqueCount="876">
  <si>
    <t>Name</t>
  </si>
  <si>
    <t>Indication</t>
  </si>
  <si>
    <t>Rights</t>
  </si>
  <si>
    <t>Competition</t>
  </si>
  <si>
    <t>IP</t>
  </si>
  <si>
    <t>Phase</t>
  </si>
  <si>
    <t>Nexium</t>
  </si>
  <si>
    <t>Crestor</t>
  </si>
  <si>
    <t>Iressa</t>
  </si>
  <si>
    <t>NSCLC</t>
  </si>
  <si>
    <t>ACS</t>
  </si>
  <si>
    <t>Plavix, Prasugrel</t>
  </si>
  <si>
    <t>SG&amp;A</t>
  </si>
  <si>
    <t>R&amp;D</t>
  </si>
  <si>
    <t>Other operating income</t>
  </si>
  <si>
    <t>Operating profit</t>
  </si>
  <si>
    <t>Tax</t>
  </si>
  <si>
    <t>Tax rate</t>
  </si>
  <si>
    <t>1Q03A</t>
  </si>
  <si>
    <t>2Q03A</t>
  </si>
  <si>
    <t>3Q03A</t>
  </si>
  <si>
    <t>4Q03A</t>
  </si>
  <si>
    <t>Net finance costs</t>
  </si>
  <si>
    <t>Profit before tax</t>
  </si>
  <si>
    <t>Minority interest</t>
  </si>
  <si>
    <t>1Q01A</t>
  </si>
  <si>
    <t>2Q01A</t>
  </si>
  <si>
    <t>3Q01A</t>
  </si>
  <si>
    <t>4Q01A</t>
  </si>
  <si>
    <t>1Q02A</t>
  </si>
  <si>
    <t>2Q02A</t>
  </si>
  <si>
    <t>3Q02A</t>
  </si>
  <si>
    <t>4Q02A</t>
  </si>
  <si>
    <t>Zestril</t>
  </si>
  <si>
    <t>Symbicort</t>
  </si>
  <si>
    <t>Rhinocort</t>
  </si>
  <si>
    <t>Accolate</t>
  </si>
  <si>
    <t>Oxis</t>
  </si>
  <si>
    <t>Others (Respiratory)</t>
  </si>
  <si>
    <t>Casodex</t>
  </si>
  <si>
    <t>Zoladex</t>
  </si>
  <si>
    <t>Nolvadex</t>
  </si>
  <si>
    <t>Faslodex</t>
  </si>
  <si>
    <t>Others (Oncology)</t>
  </si>
  <si>
    <t>Diprivan</t>
  </si>
  <si>
    <t>Zomig</t>
  </si>
  <si>
    <t>Other (Neuroscience)</t>
  </si>
  <si>
    <t>Merrem/Meronem</t>
  </si>
  <si>
    <t>Non-pharma businesses</t>
  </si>
  <si>
    <t>Symbicort (budenoside/formoterol)</t>
  </si>
  <si>
    <t>PFS of Zactima at 100mg/300mg vs placebo in 127 pts with NSCLC receiving docetaxel after 1L platinum failure.</t>
  </si>
  <si>
    <t>II</t>
  </si>
  <si>
    <t>III</t>
  </si>
  <si>
    <t>MTC, NSCLC</t>
  </si>
  <si>
    <t>Cognitive</t>
  </si>
  <si>
    <t>Thrombosis</t>
  </si>
  <si>
    <t>GERD</t>
  </si>
  <si>
    <t>I</t>
  </si>
  <si>
    <t>Shionogi</t>
  </si>
  <si>
    <t>Lipid Lowering</t>
  </si>
  <si>
    <t>Clinical Trials</t>
  </si>
  <si>
    <t>M05-748, n=1250, Crestor+ABT-335 - Study start March 06</t>
  </si>
  <si>
    <t>M05-749, n=560, simvastatin+ABT-335 - n=560 start in March 2006</t>
  </si>
  <si>
    <t>M05-750, n=560, lipitor+abt-335, start in march 2005</t>
  </si>
  <si>
    <t>M05-758, n=2370, crestor+ vs simva+ vs lipitor+ starts in may 2006</t>
  </si>
  <si>
    <t>Main</t>
  </si>
  <si>
    <t>Q2 2006: Y/Y volume for Nexium 13.4%</t>
  </si>
  <si>
    <t>Price</t>
  </si>
  <si>
    <t>Took 3.5% increase 1/2006</t>
  </si>
  <si>
    <t>Asthma</t>
  </si>
  <si>
    <t>AURORA</t>
  </si>
  <si>
    <t>CORONA</t>
  </si>
  <si>
    <t>ASTEROID - demonstrated 40mg Crestor could reduce the degree of arterial occlusion in partients with CAD - shrinkage achieved high SS</t>
  </si>
  <si>
    <t>ORION - demonstrated 35.5% reduction in the lipid-rich necrotic core using MRI in n=39</t>
  </si>
  <si>
    <t>METEOR study in Q4 - IVUS 24-month study of Crestor 40mg vs placebo n=800</t>
  </si>
  <si>
    <t>EXPLORER - Crestor+Zetia vs Crestor alone</t>
  </si>
  <si>
    <t>Safety</t>
  </si>
  <si>
    <t>NLA study concludes Crestor did not stand out relative to other statins</t>
  </si>
  <si>
    <t>Brand Name</t>
  </si>
  <si>
    <t>Mechanism</t>
  </si>
  <si>
    <t>Clinical Studies</t>
  </si>
  <si>
    <t>Hypertension</t>
  </si>
  <si>
    <t>Generic Name</t>
  </si>
  <si>
    <t>Administration</t>
  </si>
  <si>
    <t>Market</t>
  </si>
  <si>
    <t>15-30% of patients on Plavix are non-responders</t>
  </si>
  <si>
    <t>greater anti-platelet effects than Plavix, wider therapeutic window?</t>
  </si>
  <si>
    <t>prevention of thrombosis, ACS</t>
  </si>
  <si>
    <t>DISPERSE 2 - p2 study of 6140+aspirin vs Plavix+aspirin in ACS</t>
  </si>
  <si>
    <t>n=990 randomized, 90mg/180mg 6140 bid vs Plavix 75mg qd for 12 weeks</t>
  </si>
  <si>
    <t>similar efficacy by MACE, 10.2% bleeding vs 9.2% for Plavix - tendency towards minor bleeds for 6140</t>
  </si>
  <si>
    <t>10% dyspnea vs 6% for Plavix, also uric acid elevations and bradycardia</t>
  </si>
  <si>
    <t>Economics</t>
  </si>
  <si>
    <t>Schizophrenia</t>
  </si>
  <si>
    <t>Oral</t>
  </si>
  <si>
    <t>Acid Reflux</t>
  </si>
  <si>
    <t>Admin</t>
  </si>
  <si>
    <t>Move towards NSAIDs that have GI side effects helps Nexium/Prilosec</t>
  </si>
  <si>
    <t>AZN increased Nexium's efficacy by purifying the active isomer from the less-active isomer without a change in toxicity. COM patent is less robust. 13 total patents in the Orange Book.</t>
  </si>
  <si>
    <t>7% increase 1/2006</t>
  </si>
  <si>
    <t>atypical antipsychotic</t>
  </si>
  <si>
    <t>Rx</t>
  </si>
  <si>
    <t>schizophrenia, bipolar disorder</t>
  </si>
  <si>
    <t>Less EPS side effects relative to class, more favorable weight gain vs Zyprexa but equal to Risperdal.</t>
  </si>
  <si>
    <t>MDD, GAD</t>
  </si>
  <si>
    <t>BOLDER I and BOLDER II bipolar studies (n=1045). PDUFA 10/30.</t>
  </si>
  <si>
    <t>Follow-on</t>
  </si>
  <si>
    <t>Seroquel SR will be qd dosing, effect as early as Day 2 and with faster titration.</t>
  </si>
  <si>
    <t>Asthma, COPD</t>
  </si>
  <si>
    <t>COMPASS - Symbicort reduced exacerbations 39% more than Advair and 28% more than fixed-dose Symbicort</t>
  </si>
  <si>
    <t>SMILE</t>
  </si>
  <si>
    <t>COPD</t>
  </si>
  <si>
    <t>Class</t>
  </si>
  <si>
    <t>CytoFab</t>
  </si>
  <si>
    <t>Severe Sepsis</t>
  </si>
  <si>
    <t>polyclonal anti-TNF-alpha antibody fragment</t>
  </si>
  <si>
    <t>Timeline</t>
  </si>
  <si>
    <t>Abraxane</t>
  </si>
  <si>
    <t>ABBI</t>
  </si>
  <si>
    <t>Metastatic Breast Cancer</t>
  </si>
  <si>
    <t>Anti-EGFr</t>
  </si>
  <si>
    <t>Inhaled</t>
  </si>
  <si>
    <t>Kinase Inhibitor</t>
  </si>
  <si>
    <t>Zactima, ZD6474</t>
  </si>
  <si>
    <t>MEK/MAP-erk kinase inhibitor</t>
  </si>
  <si>
    <t>Cancer</t>
  </si>
  <si>
    <t>TRGT</t>
  </si>
  <si>
    <t>PARP inhibitor</t>
  </si>
  <si>
    <t>4 head-to-head trials of Symbicort vs Advair</t>
  </si>
  <si>
    <t>Advair. Symbicort can be used to prevent as well as treat acute attacks.</t>
  </si>
  <si>
    <t>SUND showed patient-controlled variability of dosing reduced exacerbations by 40% vs Advair</t>
  </si>
  <si>
    <t>Inhaled - SMART variable dosing filed - allows patient to use 1-4 inhalations bid to prevent attacks - no second inhaler needed (second inhaler with salbutamol needed)</t>
  </si>
  <si>
    <t>Combination LABA (formoterol is also fast acting 1-2 minutes) and corticosteroid</t>
  </si>
  <si>
    <t>COSMOS - significant decrease in asthmatic exacerbations in patients using Symbicort SMART compared to Advair - 30% reduction</t>
  </si>
  <si>
    <t>Zactima (vandetanib)</t>
  </si>
  <si>
    <t>vandetanib</t>
  </si>
  <si>
    <t>www.snapfish.com</t>
  </si>
  <si>
    <t>UN: geoffrey.c.meacham@jpmorgan.com</t>
  </si>
  <si>
    <t>PW: jpmorgan</t>
  </si>
  <si>
    <t>Two-part (double-crossover on progression or toxicity) study</t>
  </si>
  <si>
    <t>Zactima monotherapy (300mg, n=83) vs Iressa monotherapy (250mg, n=85) in 2L/3L patients (failed platinum) n=168.</t>
  </si>
  <si>
    <t>45% disease control vs 34%. In followup, 43% vs 24% disease control rate.</t>
  </si>
  <si>
    <r>
      <t xml:space="preserve">Zactima median PFS </t>
    </r>
    <r>
      <rPr>
        <b/>
        <sz val="10"/>
        <rFont val="Arial"/>
        <family val="2"/>
      </rPr>
      <t>11.9wks (or 11.0?)</t>
    </r>
    <r>
      <rPr>
        <sz val="10"/>
        <rFont val="Arial"/>
        <family val="2"/>
      </rPr>
      <t xml:space="preserve"> vs 8.1wks for Iressa. P=0.035, HR = 0.69 (0.50 to 0.96)</t>
    </r>
  </si>
  <si>
    <t>003 Phase 2 in 2L/3L - #7000 - ASCO 2006 (Natale)</t>
  </si>
  <si>
    <t>006 Phase 2 in 2L - #7016 ASCO 2006</t>
  </si>
  <si>
    <t>All histology, prior platinum, PS0-1, Brian mets allowable, 42% women, 50% adenocarcinoma</t>
  </si>
  <si>
    <t>Side effects included rash, diarrhea and QT prolongation (asymptomatic).</t>
  </si>
  <si>
    <t>18.7wks for 100mg, 17wks for 300mg vs 12wks for placebo. P=0.074 for 100mg, 0.416 for 300mg. % prolongation of PFS was 57% and 21% for 100mg/300mg.</t>
  </si>
  <si>
    <t>EGFr and VEGFr blocker. IC50s (uM): VEGFR-2: 0.04, VEGFR-3: 0.11, RET: 0.13, EGFR: 0.50, VEGFR-1: &gt;1, c-KIT: &gt;20. 475 Da MW</t>
  </si>
  <si>
    <t>Phase I</t>
  </si>
  <si>
    <t>Well tolerated &lt;300mg. AE include rash, diarrhea, QTc.</t>
  </si>
  <si>
    <t>Terminal half-life &gt; 120 hours</t>
  </si>
  <si>
    <t>In Japanese study, 4/9 patients had tumor responses in refractory NSCLC</t>
  </si>
  <si>
    <t>Phase 2 1L: Zactima vs Carbo+Tax vs. Zactima+Carbo+Tax</t>
  </si>
  <si>
    <t>PS0-1, life expectancy &gt;12 wks, brain mets allowed, all histologies included</t>
  </si>
  <si>
    <t>8% RR vs 1% RR for Iressa</t>
  </si>
  <si>
    <t>Trial 32 - Phase III 2L NSCLC: Taxotere +- Zactima 100mg n&gt;1200 - results in mid-2008</t>
  </si>
  <si>
    <t>Study 57 - Phase III 2L/3L NSCLC: Zactima vs Tarceva n=1150</t>
  </si>
  <si>
    <t>Enrolled first patient 9/29/2006</t>
  </si>
  <si>
    <t>300mg dose vs 150mg for Tarceva.</t>
  </si>
  <si>
    <t>Statin</t>
  </si>
  <si>
    <t>PPI</t>
  </si>
  <si>
    <t>Atypical</t>
  </si>
  <si>
    <t>Type 2 Diabetes</t>
  </si>
  <si>
    <t>BMY</t>
  </si>
  <si>
    <t>Platelet Inhibitor</t>
  </si>
  <si>
    <t>Turbuhaler device. Also developed as an MDI.</t>
  </si>
  <si>
    <t xml:space="preserve">  Symbicort's formoterol has an onset of action of 5 minutes vs sameterol's 30-60 minutes.</t>
  </si>
  <si>
    <t>Seroquel SR data at ECP.</t>
  </si>
  <si>
    <t>4/23/2007 Appeals Court affirms '281 were infringed but anticipated and obvious. Two other patents were infringed, however.</t>
  </si>
  <si>
    <t>cedarinib</t>
  </si>
  <si>
    <t>Recentin, fka AZD-2171</t>
  </si>
  <si>
    <t>Phase II monotherapy in recurrent glioblastoma</t>
  </si>
  <si>
    <t>n=31 treated, 8 were alive and progression-free at 6 months.</t>
  </si>
  <si>
    <t>Median PFS of 111 days.</t>
  </si>
  <si>
    <t>Phase II mRCC</t>
  </si>
  <si>
    <t>n=27 received monotherapy. 33% RR, 66.7% SD.</t>
  </si>
  <si>
    <t>TRx</t>
  </si>
  <si>
    <t>NRx</t>
  </si>
  <si>
    <t>Price USD</t>
  </si>
  <si>
    <t>Shares</t>
  </si>
  <si>
    <t>Reversible P2Y12 receptor antagonist - blocks platelet activation and aggregation, similar to Plavix.</t>
  </si>
  <si>
    <t xml:space="preserve">  Reversibility is relevant as patients have to re-generate platelets before undergoing surgery.</t>
  </si>
  <si>
    <t>Cash USD</t>
  </si>
  <si>
    <t>Debt  USD</t>
  </si>
  <si>
    <t>Launched 5/18/2007.</t>
  </si>
  <si>
    <t>Others (CV)</t>
  </si>
  <si>
    <t>Ethyol</t>
  </si>
  <si>
    <t>Cash</t>
  </si>
  <si>
    <t>Debt</t>
  </si>
  <si>
    <t>Phase I in patients with advanced solid tumors - JCO 2007</t>
  </si>
  <si>
    <t>VEGF1R, 2R and 3R inhibitor, PDGFr, Kit.</t>
  </si>
  <si>
    <t>Part A: n=36 with solid tumors and liver mets.</t>
  </si>
  <si>
    <t>Part B: n=47 with or without liver mets.</t>
  </si>
  <si>
    <t>45mg/d was well-tolerated. Dose-related events included hypertension, diarrhea and dysphonia.</t>
  </si>
  <si>
    <t>2 PRs, 22 patients with SD, dose-related tumor effect seen.</t>
  </si>
  <si>
    <t xml:space="preserve">  Subnanomolar potent at VEGFR-2 (&lt;1nmol IC50), 5nm at VEGFR-1 and 3nm at VEGFR-3.</t>
  </si>
  <si>
    <t>Oral qd</t>
  </si>
  <si>
    <t>Phase II/II 1L mCRC Recentin+FOLFOX vs Avastin+FOLFOX n=1600 - Began August 2006</t>
  </si>
  <si>
    <t>Phase II 2L mCRC Recentin+FOLFOX vs Avastin+FOLFOX n=210</t>
  </si>
  <si>
    <t>Phase III 1L mCRC Recentin+FOLFOX/XELOX vs Placebo+FOLFOX/XELOX n=1050 - Began October 2006</t>
  </si>
  <si>
    <t>Phase III 1L mNSCLC Paclitaxel+Carboplatin+-Recentin n=750 - NCI sponsored.</t>
  </si>
  <si>
    <t>Phase II mNSCLC Gemcitabine+Cisplatin+-Recentin</t>
  </si>
  <si>
    <t>NSCLC, mCRC, RCC, GBM, AML/MDS, mHRPC, mOC, mHCC</t>
  </si>
  <si>
    <t>100%?</t>
  </si>
  <si>
    <t>POZN</t>
  </si>
  <si>
    <t>HMO</t>
  </si>
  <si>
    <t>Blue of Michigan to pay for Prilosec Otc.</t>
  </si>
  <si>
    <t>EPO ruled EP 0773940 is valid, despite Ratiopharm's opposition. This patent expires in 2015.</t>
  </si>
  <si>
    <t>People</t>
  </si>
  <si>
    <t>Alan Barge, Clinical VP of Oncology.</t>
  </si>
  <si>
    <t>Taxane</t>
  </si>
  <si>
    <t>EV USD</t>
  </si>
  <si>
    <t>MC USD</t>
  </si>
  <si>
    <t>Q307</t>
  </si>
  <si>
    <t>Other Infection</t>
  </si>
  <si>
    <t>Q407</t>
  </si>
  <si>
    <t>Q207</t>
  </si>
  <si>
    <t>Q107</t>
  </si>
  <si>
    <t>Q406</t>
  </si>
  <si>
    <t>Q306</t>
  </si>
  <si>
    <t>Q206</t>
  </si>
  <si>
    <t>Anaesthetics</t>
  </si>
  <si>
    <t>Q106</t>
  </si>
  <si>
    <t>Q108</t>
  </si>
  <si>
    <t>Q208</t>
  </si>
  <si>
    <t>Q308</t>
  </si>
  <si>
    <t>Q408</t>
  </si>
  <si>
    <t>Q405</t>
  </si>
  <si>
    <t>Q305</t>
  </si>
  <si>
    <t>Q105</t>
  </si>
  <si>
    <t>Q205</t>
  </si>
  <si>
    <t xml:space="preserve">  Possible settlement with Ranbaxy for low-dose in the near future? --2008</t>
  </si>
  <si>
    <t>Onglyza (saxagliptin)</t>
  </si>
  <si>
    <t>Ranbaxy sued by AZN in late 2005. 6 patients ranging from 2014-2019 cover Nexium. Prilosec is a mixture of optical isomers, one of which is Nexium.</t>
  </si>
  <si>
    <t>January 2008: Filed motavizumab.</t>
  </si>
  <si>
    <t>March 2008: Crestor JUPITER study stopped early for efficacy.</t>
  </si>
  <si>
    <t>Other Pipeline</t>
  </si>
  <si>
    <t>FluMist</t>
  </si>
  <si>
    <t>Crestor Y/Y</t>
  </si>
  <si>
    <t>Seroquel Y/Y</t>
  </si>
  <si>
    <t>Nexium Y/Y</t>
  </si>
  <si>
    <t>Symbicort Y/Y</t>
  </si>
  <si>
    <t>Phase IIB vs metformin and placebo - 12-week study - ADA 2008 presentation</t>
  </si>
  <si>
    <t>A1C reductions similar to metformin.</t>
  </si>
  <si>
    <t>Phase III JUPITER n=15,000 - Terminated 3/31/2008 for efficacy</t>
  </si>
  <si>
    <t>June 4 2008 summary judgment hearing with Teva? August 20 2008 30-month stay expiry. Summary judgment granted and no inequitable conduct found.</t>
  </si>
  <si>
    <t>September 2011 expiry. Pediatric extension applicable.</t>
  </si>
  <si>
    <t>MEDI-561</t>
  </si>
  <si>
    <t>Diabetes</t>
  </si>
  <si>
    <t>GK Activator</t>
  </si>
  <si>
    <t>Pain</t>
  </si>
  <si>
    <t>Vanilloid</t>
  </si>
  <si>
    <t>gefitinib</t>
  </si>
  <si>
    <t>EGFR kinase inhibitor</t>
  </si>
  <si>
    <t>Iressa (gefitinib)</t>
  </si>
  <si>
    <t>Dis</t>
  </si>
  <si>
    <t>Mat</t>
  </si>
  <si>
    <t>NPV</t>
  </si>
  <si>
    <t>Subsets</t>
  </si>
  <si>
    <t>Never-smokers, Asians and adenocarcinoma patients have better survival with EGFr inhibitors than smokers, non-Asians and squamous cell patients.</t>
  </si>
  <si>
    <t>Women might have higher response rates than men.</t>
  </si>
  <si>
    <t>Phase III INVITE 1L NSCLC patients unsuited for chemotherapy</t>
  </si>
  <si>
    <t>Phase III INTEREST - Iressa vs Taxotere in 2L NSCLC - Lancet 2008 - 2004-2006 recruitment.</t>
  </si>
  <si>
    <t>n=1466 all receiving 1L platinum. Study was open-label. Co-primary endpoints of non-inferior MOS and superior MOS for Iressa in high-copy EGFr status.</t>
  </si>
  <si>
    <t>Met non-inferiority with 7.6mo vs 8.0mo, HR=1.02 OS. Missed superiority in high-copy EGFR with 8.4mo vs 7.5mo.</t>
  </si>
  <si>
    <t>Phase II SIGN</t>
  </si>
  <si>
    <t>Phase III V-15-32 Japan n=489</t>
  </si>
  <si>
    <t>Phase III ISEL - Iressa vs placebo</t>
  </si>
  <si>
    <t>Fails superiority primary endpoint. 5.6 vs 5.1mo. P=0.09. 90% refractory to chemo.</t>
  </si>
  <si>
    <t>Phase III BR.21 - Tarceva vs placebo</t>
  </si>
  <si>
    <t>6.7mo vs 4.7mo, SS MOS improvement.</t>
  </si>
  <si>
    <t>44% risk reduction in CV morbidity/mortality vs placebo, HR=0.56.</t>
  </si>
  <si>
    <t>20% decrease in overall mortality.</t>
  </si>
  <si>
    <t>Slight increase in diabetes.</t>
  </si>
  <si>
    <t>Patient population had normal LDL (&lt;130) but elevated hsCRP (&gt;2).</t>
  </si>
  <si>
    <t>Q109</t>
  </si>
  <si>
    <t>Brilinta, fka AZD-6140</t>
  </si>
  <si>
    <t>Vimovo (PN400)</t>
  </si>
  <si>
    <t>Filed</t>
  </si>
  <si>
    <t>ticagrelor</t>
  </si>
  <si>
    <t>DPP4</t>
  </si>
  <si>
    <t>Q209</t>
  </si>
  <si>
    <t>Q309</t>
  </si>
  <si>
    <t>Q409</t>
  </si>
  <si>
    <t>Ranbaxy settled with AZN for 5/27/2014 launch date. TEVA and Reddy's litigation still ongoing.</t>
  </si>
  <si>
    <t>Nexium (esomeprazole)</t>
  </si>
  <si>
    <t>HRPC</t>
  </si>
  <si>
    <t>Arimidex (anastrozole)</t>
  </si>
  <si>
    <t>Breast Cancer</t>
  </si>
  <si>
    <t>Aromatase</t>
  </si>
  <si>
    <t>Toprol XL/Seloken??</t>
  </si>
  <si>
    <t>Losec/Prilosec</t>
  </si>
  <si>
    <t>February 2010: Court case for Crestor.</t>
  </si>
  <si>
    <t>BTG, fka Protherics</t>
  </si>
  <si>
    <t>AZD7009 - Afib</t>
  </si>
  <si>
    <t>Cerovive - Stroke</t>
  </si>
  <si>
    <t>AGI-1067 - Atherosclerosis</t>
  </si>
  <si>
    <t>Brilinta (ticagrelor)</t>
  </si>
  <si>
    <t>9.8% events vs 11.7% for Plavix.</t>
  </si>
  <si>
    <t>PLATO - 1 year Phase III pivotal study - n=18000 - Results ESC 2009</t>
  </si>
  <si>
    <t>Higher dyspnea, minor+major bleeds and no North American site benefit.</t>
  </si>
  <si>
    <t>Brilinta</t>
  </si>
  <si>
    <t>Papers</t>
  </si>
  <si>
    <t>Gefitinib or Carboplatin-Paclitael in Pulmonary Adenocarcinoma. Mok et al. NEJM 361;10:947-957.</t>
  </si>
  <si>
    <t>n=176 were EGFR- and HR=2.85.</t>
  </si>
  <si>
    <t>Phase III "IPASS" Gefitinib vs Carbo-Tax n=1217 in 1L NSCLC Asian non-smoker/light-smoker. ESMO 2008 presentation.</t>
  </si>
  <si>
    <t>n=261 were EGFR+ and HR =0.48. (Only 437 bio markers could be analyzed).</t>
  </si>
  <si>
    <t>12-month PFS of 24.9% vs 6.7% in ITT, HR=0.74. median PFS similar: 5.7m vs. 5.8m. HR for OS =0.91 (18.6m vs 17.3m).</t>
  </si>
  <si>
    <t>Tarceva, (OSIP/Roche).</t>
  </si>
  <si>
    <t>5457105 describes compound and expires in 2013. 5770599 describes compound and expires in 2017.</t>
  </si>
  <si>
    <t>17% of patients have EGFR mutations (Spain, NEJM 2009).</t>
  </si>
  <si>
    <t>oral, BID vs QD for competitors.</t>
  </si>
  <si>
    <t>Crestor (rosuvastatin)</t>
  </si>
  <si>
    <t>Seroquel (quetiapine)</t>
  </si>
  <si>
    <t>Seroquel SR (quetiapine)</t>
  </si>
  <si>
    <t>SLE</t>
  </si>
  <si>
    <t>Q409: Court case for Seroquel?</t>
  </si>
  <si>
    <t>January 2010: Court case for Nexium.</t>
  </si>
  <si>
    <t>Ceftaroline</t>
  </si>
  <si>
    <t>cSSSI</t>
  </si>
  <si>
    <t>FRX</t>
  </si>
  <si>
    <t>MEDI-573</t>
  </si>
  <si>
    <t>MEDI-575</t>
  </si>
  <si>
    <t>MEDI-547</t>
  </si>
  <si>
    <t>IGFR</t>
  </si>
  <si>
    <t>100%, jointly promoting with Astellas in Japan.</t>
  </si>
  <si>
    <t>July 31 2009: Onglyza approved.</t>
  </si>
  <si>
    <t>NKTR-118/119</t>
  </si>
  <si>
    <t>OIC</t>
  </si>
  <si>
    <t>Pandemic Vaccine</t>
  </si>
  <si>
    <t>67</t>
  </si>
  <si>
    <t>20</t>
  </si>
  <si>
    <t>Nexium, 2014</t>
  </si>
  <si>
    <t>IE case in USDC of DE. Judge Stark hearing SJ, Judge Farnar hearing patent.</t>
  </si>
  <si>
    <t>rosuvastatin</t>
  </si>
  <si>
    <t>Approved</t>
  </si>
  <si>
    <t>COM RE37,314 issued 8/01, expires 7/8/16.</t>
  </si>
  <si>
    <t>MOU 6858618 expires 2022. Claims HeFH.</t>
  </si>
  <si>
    <t>Salt 6316460 expires 2021. Claims salt and stability.</t>
  </si>
  <si>
    <t>Crestor, 7/2016</t>
  </si>
  <si>
    <t>Synagis, antibody</t>
  </si>
  <si>
    <t>Q110</t>
  </si>
  <si>
    <t>Q210</t>
  </si>
  <si>
    <t>Q310</t>
  </si>
  <si>
    <t>Q410</t>
  </si>
  <si>
    <t>WPI received first final approval for generic on 6/12/2010.</t>
  </si>
  <si>
    <t>Symbicort (Device)</t>
  </si>
  <si>
    <t>ROIC</t>
  </si>
  <si>
    <t>Share</t>
  </si>
  <si>
    <t>R788 (fostamatinib)</t>
  </si>
  <si>
    <t>RA</t>
  </si>
  <si>
    <t>Syk</t>
  </si>
  <si>
    <t>NCE</t>
  </si>
  <si>
    <t>SGLT2 Inhibitor</t>
  </si>
  <si>
    <t>8529</t>
  </si>
  <si>
    <t>Glutamatergic</t>
  </si>
  <si>
    <t>Hepatitis C</t>
  </si>
  <si>
    <t>NS5A</t>
  </si>
  <si>
    <t>JAK2</t>
  </si>
  <si>
    <t>Failures</t>
  </si>
  <si>
    <t>AZD9684</t>
  </si>
  <si>
    <t>Alpha4/Beta2</t>
  </si>
  <si>
    <t>Old</t>
  </si>
  <si>
    <t>AZD9056</t>
  </si>
  <si>
    <t>AZD8955</t>
  </si>
  <si>
    <t>AZD5896</t>
  </si>
  <si>
    <t>AZD1279</t>
  </si>
  <si>
    <t>GABAB</t>
  </si>
  <si>
    <t>AZD0530</t>
  </si>
  <si>
    <t>AZD1940</t>
  </si>
  <si>
    <t>AZD3342</t>
  </si>
  <si>
    <t>AZD0328</t>
  </si>
  <si>
    <t>AZD2479</t>
  </si>
  <si>
    <t>AZD6610</t>
  </si>
  <si>
    <t>Movatizumab/Numax</t>
  </si>
  <si>
    <t>AZD7009</t>
  </si>
  <si>
    <t>Exanta</t>
  </si>
  <si>
    <t>Depression</t>
  </si>
  <si>
    <t>Enkephalinergic</t>
  </si>
  <si>
    <t>AZD5180</t>
  </si>
  <si>
    <t>AZD2043</t>
  </si>
  <si>
    <t>PI3K-beta</t>
  </si>
  <si>
    <t>11BHSD</t>
  </si>
  <si>
    <t>8329</t>
  </si>
  <si>
    <t>7687</t>
  </si>
  <si>
    <t>DAT-1</t>
  </si>
  <si>
    <t>mGlu5 antagonist</t>
  </si>
  <si>
    <t>NMDA</t>
  </si>
  <si>
    <t>Anxiety/Depression</t>
  </si>
  <si>
    <t>Opioid antagonist</t>
  </si>
  <si>
    <t>TC-5214</t>
  </si>
  <si>
    <t>TC-5619</t>
  </si>
  <si>
    <t>TC-1473</t>
  </si>
  <si>
    <t>7268</t>
  </si>
  <si>
    <t>Axanum (ASA+Nexium)</t>
  </si>
  <si>
    <t>Ethical issues (Avastin)? Met PFS but no improvement in OS. May 28 2010.</t>
  </si>
  <si>
    <t>Did not meet primary endpoint (PFS).</t>
  </si>
  <si>
    <t>Q2/Q3 2010: Recentin GBM data.</t>
  </si>
  <si>
    <t>Phase III "REGAL" in GBM</t>
  </si>
  <si>
    <t>Naproxen+Nexium</t>
  </si>
  <si>
    <t>Generics</t>
  </si>
  <si>
    <t>Composition</t>
  </si>
  <si>
    <t>YE 2010: Seroquel XR EMEA decision</t>
  </si>
  <si>
    <t>Taxes</t>
  </si>
  <si>
    <t>Investments</t>
  </si>
  <si>
    <t>Receivables</t>
  </si>
  <si>
    <t>Inventories</t>
  </si>
  <si>
    <t>Derivatives</t>
  </si>
  <si>
    <t>Intangibles</t>
  </si>
  <si>
    <t>PP&amp;E</t>
  </si>
  <si>
    <t>Assets</t>
  </si>
  <si>
    <t>Payables</t>
  </si>
  <si>
    <t>Provisions</t>
  </si>
  <si>
    <t>Retirement</t>
  </si>
  <si>
    <t>Other</t>
  </si>
  <si>
    <t>Liabilities</t>
  </si>
  <si>
    <t>Equity</t>
  </si>
  <si>
    <t>L+SE</t>
  </si>
  <si>
    <t>CFFO</t>
  </si>
  <si>
    <t>Net profit</t>
  </si>
  <si>
    <t>EPS</t>
  </si>
  <si>
    <t>Acquisitions</t>
  </si>
  <si>
    <t>Dividends</t>
  </si>
  <si>
    <t>Beta-lactamase</t>
  </si>
  <si>
    <t>Small Products</t>
  </si>
  <si>
    <t>Atacand (candesartan)</t>
  </si>
  <si>
    <t>Dr. Reddy's and Lupin following with ANDAs.</t>
  </si>
  <si>
    <t>Anchen filed P4 in March 2010.</t>
  </si>
  <si>
    <t>Sues Osmotica and Torrent 8/2010.</t>
  </si>
  <si>
    <t>Vimovo</t>
  </si>
  <si>
    <t>Q111</t>
  </si>
  <si>
    <t>Q211</t>
  </si>
  <si>
    <t>Q311</t>
  </si>
  <si>
    <t>Q411</t>
  </si>
  <si>
    <t>Arimidex (generic)</t>
  </si>
  <si>
    <t>Pulmicort (generic)</t>
  </si>
  <si>
    <t>Seloken/Toprol XL (generic)</t>
  </si>
  <si>
    <t>Seroquel/XR (2013 IR)</t>
  </si>
  <si>
    <t>Seroquel, XR</t>
  </si>
  <si>
    <t>Zyprexa, Abilify, Risperidone/Invega</t>
  </si>
  <si>
    <t>zibotenan</t>
  </si>
  <si>
    <t>Higher background rate of aspirin use in US.</t>
  </si>
  <si>
    <t>Brilinta higher bleeds and no efficacy.</t>
  </si>
  <si>
    <t>Q104</t>
  </si>
  <si>
    <t>Q404</t>
  </si>
  <si>
    <t>Q304</t>
  </si>
  <si>
    <t>Q204</t>
  </si>
  <si>
    <t>Certriad</t>
  </si>
  <si>
    <t>Q112</t>
  </si>
  <si>
    <t>Q212</t>
  </si>
  <si>
    <t>Q312</t>
  </si>
  <si>
    <t>Q412</t>
  </si>
  <si>
    <t>Caprelsa</t>
  </si>
  <si>
    <t>Casodex (bicalutamide)</t>
  </si>
  <si>
    <t>Tenormin (atenolol)</t>
  </si>
  <si>
    <t>Plendil (felodipine)</t>
  </si>
  <si>
    <t>Zoladex (goserelin implant)</t>
  </si>
  <si>
    <t>Byetta</t>
  </si>
  <si>
    <t>CEO David Brennan (2006-2012)</t>
  </si>
  <si>
    <t>AZD1656</t>
  </si>
  <si>
    <t>AZD6714</t>
  </si>
  <si>
    <t>AZD2066</t>
  </si>
  <si>
    <t>AZD3043</t>
  </si>
  <si>
    <t>MEDI-528</t>
  </si>
  <si>
    <t>Q113</t>
  </si>
  <si>
    <t>Q213</t>
  </si>
  <si>
    <t>Q313</t>
  </si>
  <si>
    <t>Q413</t>
  </si>
  <si>
    <t>Q114</t>
  </si>
  <si>
    <t>Q214</t>
  </si>
  <si>
    <t>Q314</t>
  </si>
  <si>
    <t>Q414</t>
  </si>
  <si>
    <t>Bydureon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</si>
  <si>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</si>
  <si>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</si>
  <si>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</si>
  <si>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</si>
  <si>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</si>
  <si>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</si>
  <si>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</si>
  <si>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</si>
  <si>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</si>
  <si>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</si>
  <si>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</si>
  <si>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</si>
  <si>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</si>
  <si>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</si>
  <si>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</si>
  <si>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</si>
  <si>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</si>
  <si>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</si>
  <si>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</si>
  <si>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</si>
  <si>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</si>
  <si>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</si>
  <si>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</si>
  <si>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</si>
  <si>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</si>
  <si>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</si>
  <si>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</si>
  <si>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Q321</t>
  </si>
  <si>
    <t>Q122</t>
  </si>
  <si>
    <t>Q222</t>
  </si>
  <si>
    <t>Q322</t>
  </si>
  <si>
    <t>Q422</t>
  </si>
  <si>
    <t>Tagrisso</t>
  </si>
  <si>
    <t>Lynparza</t>
  </si>
  <si>
    <t>Calquence</t>
  </si>
  <si>
    <t>Enhertu</t>
  </si>
  <si>
    <t>Orpathys</t>
  </si>
  <si>
    <t>Farxiga</t>
  </si>
  <si>
    <t>Lokelma</t>
  </si>
  <si>
    <t>roxadustat</t>
  </si>
  <si>
    <t>Andexxa</t>
  </si>
  <si>
    <t>Fasenra</t>
  </si>
  <si>
    <t>Breztri</t>
  </si>
  <si>
    <t>Saphnelo</t>
  </si>
  <si>
    <t>Daliresp</t>
  </si>
  <si>
    <t>Vaxzevria</t>
  </si>
  <si>
    <t>Evusheld</t>
  </si>
  <si>
    <t>Bevespi</t>
  </si>
  <si>
    <t>Soliris</t>
  </si>
  <si>
    <t>Ultomiris</t>
  </si>
  <si>
    <t>Strensiq</t>
  </si>
  <si>
    <t>Koselugo</t>
  </si>
  <si>
    <t>Kanuma</t>
  </si>
  <si>
    <t>Collaboration</t>
  </si>
  <si>
    <t>Q123</t>
  </si>
  <si>
    <t>Q223</t>
  </si>
  <si>
    <t>Q323</t>
  </si>
  <si>
    <t>Q423</t>
  </si>
  <si>
    <t>Gross Margin %</t>
  </si>
  <si>
    <t>R&amp;D %</t>
  </si>
  <si>
    <t>SG&amp;A %</t>
  </si>
  <si>
    <t>Operating Margin %</t>
  </si>
  <si>
    <t>Revenue</t>
  </si>
  <si>
    <t>COGS</t>
  </si>
  <si>
    <t>Gross Profit</t>
  </si>
  <si>
    <t>Revenue y/y</t>
  </si>
  <si>
    <t>Revenue CER</t>
  </si>
  <si>
    <t>Tagrisso y/y</t>
  </si>
  <si>
    <t>Farxiga y/y</t>
  </si>
  <si>
    <t>Neurofibromas</t>
  </si>
  <si>
    <t>Koselugo (selumetinib)</t>
  </si>
  <si>
    <t>Tagrisso (osimertinib)</t>
  </si>
  <si>
    <t>9/27/22: Koselugo approved in Japan</t>
  </si>
  <si>
    <t>MEK1/MEK2</t>
  </si>
  <si>
    <t>Returned to RIGL</t>
  </si>
  <si>
    <t>returned to NKTR?</t>
  </si>
  <si>
    <t>Farxiga (dapaglifozin)</t>
  </si>
  <si>
    <t>anticoagulant</t>
  </si>
  <si>
    <t>ximelagatran, fka Exanta/Exarta</t>
  </si>
  <si>
    <t>Soliris (eculizumab)</t>
  </si>
  <si>
    <t>PNH</t>
  </si>
  <si>
    <t>IV</t>
  </si>
  <si>
    <t>PD-L1 mab</t>
  </si>
  <si>
    <t>C5 mab</t>
  </si>
  <si>
    <t>AZD4054</t>
  </si>
  <si>
    <t>Brand</t>
  </si>
  <si>
    <t>Generic</t>
  </si>
  <si>
    <t>eculizumab</t>
  </si>
  <si>
    <t>PNH, aHUS</t>
  </si>
  <si>
    <t>Acquired Alexion</t>
  </si>
  <si>
    <t>MOA</t>
  </si>
  <si>
    <t>osimertinib</t>
  </si>
  <si>
    <t>EGFR inhibitor</t>
  </si>
  <si>
    <t>EGFR TKI</t>
  </si>
  <si>
    <t>AZD4121</t>
  </si>
  <si>
    <t>Hypercholesterolemia</t>
  </si>
  <si>
    <t>Alzheimer's</t>
  </si>
  <si>
    <t>AZD3480</t>
  </si>
  <si>
    <t>Ultomiris (ravulizumab)</t>
  </si>
  <si>
    <t>Lynparza (olaparib)</t>
  </si>
  <si>
    <t>Lynparza, fka AZD2281</t>
  </si>
  <si>
    <t>olaparib</t>
  </si>
  <si>
    <t>Koselugo, fka AZD-6244</t>
  </si>
  <si>
    <t>ARRY/PFE, MRK</t>
  </si>
  <si>
    <t>NF1</t>
  </si>
  <si>
    <t>AZD1480</t>
  </si>
  <si>
    <t>MPN</t>
  </si>
  <si>
    <t>PARP1 inhibitor</t>
  </si>
  <si>
    <t>aOC, mCRPC, pancreatic, mBC</t>
  </si>
  <si>
    <t>MRK</t>
  </si>
  <si>
    <t>MRK. Originally from KuDOS, acquired by AZN in 2006</t>
  </si>
  <si>
    <t>Phase III SOLO-2 - NCT01874353</t>
  </si>
  <si>
    <t>Phase III POLO</t>
  </si>
  <si>
    <t>PK</t>
  </si>
  <si>
    <t>HR=0.30 TTP/OS</t>
  </si>
  <si>
    <t>Phase III "SOLO-1" n=391 1L aOC BRCA+ in PR/CR - NEJM 2018, NCT01844986</t>
  </si>
  <si>
    <t>LogP=1.9, MW=434, HBD=1, HBA=5, RB=4, TPSA=82. Capsule discontinued, Tablet replaced</t>
  </si>
  <si>
    <t>7449464 expires 2024</t>
  </si>
  <si>
    <t>7151102 first patent doesn't correspond to structure, expired</t>
  </si>
  <si>
    <t>8859562 expires 2031, ridiculous claim</t>
  </si>
  <si>
    <t>8475842 expires 2029, formulation patent</t>
  </si>
  <si>
    <t>8143241 expires 2027, MOU patent</t>
  </si>
  <si>
    <t>8071579 expires 2027, MOU patent</t>
  </si>
  <si>
    <t>mibPFS HR=0.66, OS=0.86 (p=0.29 immature)</t>
  </si>
  <si>
    <t>24.8 months vs. 16.6 months mibPFS</t>
  </si>
  <si>
    <t>Phase III "PROpel" 1L CRPC abiraterone+-olaparib - NEJM 2022, NCT03732820</t>
  </si>
  <si>
    <t>8946235 COM expires 2032</t>
  </si>
  <si>
    <t>dapagliflozin</t>
  </si>
  <si>
    <t>SGLT2 inhibitor</t>
  </si>
  <si>
    <t>6515117 COM expires 2025</t>
  </si>
  <si>
    <t>10973836 MOU expires 2040!</t>
  </si>
  <si>
    <t>CEO: Pascal Soriot</t>
  </si>
  <si>
    <t>Q124</t>
  </si>
  <si>
    <t>Q224</t>
  </si>
  <si>
    <t>Q324</t>
  </si>
  <si>
    <t>Q424</t>
  </si>
  <si>
    <t>Q125</t>
  </si>
  <si>
    <t>Q225</t>
  </si>
  <si>
    <t>Q325</t>
  </si>
  <si>
    <t>Q425</t>
  </si>
  <si>
    <t>Imjudo (tremelimumab)</t>
  </si>
  <si>
    <t>Imfinzi (durvalumab)</t>
  </si>
  <si>
    <t>Truqap (capivasertib)</t>
  </si>
  <si>
    <t>Wainua (eplontersen)</t>
  </si>
  <si>
    <t>Tezspire (tezepelumab)</t>
  </si>
  <si>
    <t>Airsupra (albuterol/budesonide)</t>
  </si>
  <si>
    <t>Beyfortus (nirsevimab)</t>
  </si>
  <si>
    <t>Movantik</t>
  </si>
  <si>
    <t>Symlin</t>
  </si>
  <si>
    <t>Duaklir</t>
  </si>
  <si>
    <t>Tudorza</t>
  </si>
  <si>
    <t>Qtern</t>
  </si>
  <si>
    <t>Others (GI/V&amp;I/Other)</t>
  </si>
  <si>
    <t>Beyfortus</t>
  </si>
  <si>
    <t>SNY</t>
  </si>
  <si>
    <t>RSV</t>
  </si>
  <si>
    <t>HR+, HER2- mBC</t>
  </si>
  <si>
    <t>ROU</t>
  </si>
  <si>
    <t>ALXN1840</t>
  </si>
  <si>
    <t>Wilson's</t>
  </si>
  <si>
    <t>Imfinzi y/y</t>
  </si>
  <si>
    <t>7/25/24: Q224 results</t>
  </si>
  <si>
    <t>Net Debt</t>
  </si>
  <si>
    <t>Puma/Wyeth filed litigation. Wyeth won $107.5m.</t>
  </si>
  <si>
    <t>Pulmicort</t>
  </si>
  <si>
    <t>nirsevimab</t>
  </si>
  <si>
    <t>$712m gain in Q223 via contracts</t>
  </si>
  <si>
    <t>durvalumab</t>
  </si>
  <si>
    <t>Phase III "NIAGRA" miBC</t>
  </si>
  <si>
    <t>with chemo</t>
  </si>
  <si>
    <t>Imfinzi, fka MEDI-4736</t>
  </si>
  <si>
    <t>acalabrutinib</t>
  </si>
  <si>
    <t>Calquence (acalabrutinib)</t>
  </si>
  <si>
    <t>MCL, CLL</t>
  </si>
  <si>
    <t>Acerta</t>
  </si>
  <si>
    <t>BTK inhibitor</t>
  </si>
  <si>
    <t>Daiichi</t>
  </si>
  <si>
    <t>HER2 ADC</t>
  </si>
  <si>
    <t>Enhertu (trastuzumab deruxtecan)</t>
  </si>
  <si>
    <t>HER2+ mBC</t>
  </si>
  <si>
    <t>trastuzumab deruxtecan</t>
  </si>
  <si>
    <t>combination with chemo --&gt; monotherapy</t>
  </si>
  <si>
    <t>Phase III "DUO-E" mismatch repair deficient endometrial cancer</t>
  </si>
  <si>
    <t>Truqap</t>
  </si>
  <si>
    <t>capivasertib</t>
  </si>
  <si>
    <t>EU approves CAPitello-291</t>
  </si>
  <si>
    <t>Phase III "CAPitello-291" combination with Faslodex for ER+ HE2- mBC</t>
  </si>
  <si>
    <t>EGFRm NSCLC; EU/China/Japan approved 1L with chemo</t>
  </si>
  <si>
    <t>MCL, 1L CLL</t>
  </si>
  <si>
    <t>Ultomiris y/y</t>
  </si>
  <si>
    <t>Breztri (budesonide, formoterol fumarate, glycopyrrolate)</t>
  </si>
  <si>
    <t>ICS/LABA/M1</t>
  </si>
  <si>
    <t>US</t>
  </si>
  <si>
    <t>China</t>
  </si>
  <si>
    <t>EM</t>
  </si>
  <si>
    <t>EU</t>
  </si>
  <si>
    <t>ROW</t>
  </si>
  <si>
    <t>Tezspire</t>
  </si>
  <si>
    <t>Endometrial cancer (DUO-E): FDA approved Q224, EU CHMP positive opinion Q224</t>
  </si>
  <si>
    <t>Lynparza arm?</t>
  </si>
  <si>
    <t>Phase III "LAURA" EGFRm Stage III unresectable NSCLC</t>
  </si>
  <si>
    <t>sNDA accepted, priority review</t>
  </si>
  <si>
    <t>datopotamab deruxtecan</t>
  </si>
  <si>
    <t>TROP2-ADC</t>
  </si>
  <si>
    <t>TROP2 ADC</t>
  </si>
  <si>
    <t>14.6mos vs. 12.3mos in nonsqamous HR=0.84</t>
  </si>
  <si>
    <t>ITT: 12.9mos vs. 11.8mos, p=NS</t>
  </si>
  <si>
    <t>AZD1152</t>
  </si>
  <si>
    <t>AZD0837 (atecegatran)</t>
  </si>
  <si>
    <t>AZD1386</t>
  </si>
  <si>
    <t>AZD2327</t>
  </si>
  <si>
    <t>AZD2516</t>
  </si>
  <si>
    <t>AZD3355 (lesogaberan)</t>
  </si>
  <si>
    <t>AZD3152 (sipavibart)</t>
  </si>
  <si>
    <t>COVID-19</t>
  </si>
  <si>
    <t>AZD4017</t>
  </si>
  <si>
    <t>AZD6765</t>
  </si>
  <si>
    <t>AZD6370</t>
  </si>
  <si>
    <t>AZD6482</t>
  </si>
  <si>
    <t>AZD7295</t>
  </si>
  <si>
    <t>Phase III "DESTINY-Breast06" 2L HR+HER2-low mBC</t>
  </si>
  <si>
    <t>PE not met</t>
  </si>
  <si>
    <t>Phase III "Adjuvant BR.31" NSCLC</t>
  </si>
  <si>
    <t>Manufacturing</t>
  </si>
  <si>
    <t>Singapore 1.5B ADC facility</t>
  </si>
  <si>
    <t>Cellectis - 220m equity, 25m upfront (44% stake)</t>
  </si>
  <si>
    <t>FPI-2265</t>
  </si>
  <si>
    <t>mCRPC</t>
  </si>
  <si>
    <t>eneboparatide</t>
  </si>
  <si>
    <t>PTHR1 agonist</t>
  </si>
  <si>
    <t>Hypoparathyroidism</t>
  </si>
  <si>
    <t>1H24</t>
  </si>
  <si>
    <t>Total</t>
  </si>
  <si>
    <t>Phase III "FLAURA" 1L</t>
  </si>
  <si>
    <t>Phase III "ADAURA" adjuvant</t>
  </si>
  <si>
    <t>Phase III "TOPAZ-1" BTC</t>
  </si>
  <si>
    <t>Phase III "HIMALAYA" HCC</t>
  </si>
  <si>
    <t>Phase III "POSEIDON" Stage IV NSCLC</t>
  </si>
  <si>
    <t>Phase III "CASPIAN" ES-SCLC</t>
  </si>
  <si>
    <t>Phase III "ELEVATE-TN" 1L CLL</t>
  </si>
  <si>
    <t>Phase III "OlympiA" early BC</t>
  </si>
  <si>
    <t>Phase III "PAOLA-1" HRD+ ovarian cancer</t>
  </si>
  <si>
    <t>Combined</t>
  </si>
  <si>
    <t>Daiichi Sankyo records US in-market revenue.</t>
  </si>
  <si>
    <t>US combined</t>
  </si>
  <si>
    <t>AZ reported</t>
  </si>
  <si>
    <t>Phase III "DESTINY-PanTumor02"</t>
  </si>
  <si>
    <t>Phase III "DESTINY-Lung01"</t>
  </si>
  <si>
    <t>Phase III "DESTINY-CRC02"</t>
  </si>
  <si>
    <t>Phase III "DESTINY-Breast03" HER2+ mBC</t>
  </si>
  <si>
    <t>Phase III "DESTINY-Breast04" HER2-low mBC</t>
  </si>
  <si>
    <t>RoW</t>
  </si>
  <si>
    <t>Once part of BMY diabetes alliance. Ono reports Japanese end-market sales.</t>
  </si>
  <si>
    <t>IL-5</t>
  </si>
  <si>
    <t>Fasenra (benralizumab)</t>
  </si>
  <si>
    <t>benralizumab</t>
  </si>
  <si>
    <t>Eosinophilic Asthma</t>
  </si>
  <si>
    <t>IL-5 mab</t>
  </si>
  <si>
    <t>Amgen</t>
  </si>
  <si>
    <t>AMGN</t>
  </si>
  <si>
    <t>ICS/LABA</t>
  </si>
  <si>
    <t>AG in the US</t>
  </si>
  <si>
    <t>Divested US rights of Flexhaler for $241m in Q123. 80% of revenue from Emerging markets as of 1H24.</t>
  </si>
  <si>
    <t>Voydeya (danicopan)</t>
  </si>
  <si>
    <t>EVH in PNH</t>
  </si>
  <si>
    <t>AZN sells manufactured product to Sanofi. Alliance revenue recognizes 50% share of GP in major markets outside the US, 25% of brand revenue in ROW, 0% in US.</t>
  </si>
  <si>
    <t>COVID-19 vaccine</t>
  </si>
  <si>
    <t>Evushield</t>
  </si>
  <si>
    <t>ravulizumab</t>
  </si>
  <si>
    <t>PNH, gMG, NMOSD</t>
  </si>
  <si>
    <t>asfotase alfa</t>
  </si>
  <si>
    <t>Hypophosphatasia</t>
  </si>
  <si>
    <t>Strensiq (asfotase alfa)</t>
  </si>
  <si>
    <t>MRK/PFE</t>
  </si>
  <si>
    <t>Acquisitions &amp; Investments</t>
  </si>
  <si>
    <t>Neogene (189m USD)</t>
  </si>
  <si>
    <t>HR=0.16, mPFS 39.1mo vs. 5.6mo for placebo</t>
  </si>
  <si>
    <t>Phase III "FLAURA2" Tagrisso+pemetrexed 1L EGFRm NSCLC exon19 or L858R</t>
  </si>
  <si>
    <t>HR=0.73, p=0.01</t>
  </si>
  <si>
    <t>1500mg durva, 1500mg durva+treme, vs placebo</t>
  </si>
  <si>
    <t>Phase III "ADRIATIC" LS-SCLC - ASCO 2024 - NCT03703297</t>
  </si>
  <si>
    <t>CTLA4</t>
  </si>
  <si>
    <t>Imjudo</t>
  </si>
  <si>
    <t>tremelimumab</t>
  </si>
  <si>
    <t>met PE, HR=0.62 PFS</t>
  </si>
  <si>
    <t>met PE: PFS HR=0.73</t>
  </si>
  <si>
    <t>OS HR=0.86, p=0.2743</t>
  </si>
  <si>
    <t>Phase III "ECHO" 1L MCL - Calquence with bendamustine+rituximab vs. SOC - EHA2024</t>
  </si>
  <si>
    <t>Phase III "CAPItello-290" combination with paclitaxel - TNBC</t>
  </si>
  <si>
    <t>did not meet PE</t>
  </si>
  <si>
    <t>"T2NOW" pediatric T2D</t>
  </si>
  <si>
    <t>0780</t>
  </si>
  <si>
    <t>Oral PCSK9</t>
  </si>
  <si>
    <t>Atherosclerosis</t>
  </si>
  <si>
    <t>AZD0780</t>
  </si>
  <si>
    <t>Dyslipidemia</t>
  </si>
  <si>
    <t>Phase III "TROPION-Lung01" vs docetaxel - 2L-3L NSCLC - NCT06173570</t>
  </si>
  <si>
    <t>Phase IIB "PURSUIT" n=428 Dyslipidemia - NCT06173570</t>
  </si>
  <si>
    <t>EVP Biopharma R&amp;D: Sharon Barr</t>
  </si>
  <si>
    <t>Phase I - treatment-naïve dyslipidemia</t>
  </si>
  <si>
    <t>52% reduction in LDL-C levels on top of rosuvastatin</t>
  </si>
  <si>
    <t>78% total reduction from baseline</t>
  </si>
  <si>
    <t>Discovery</t>
  </si>
  <si>
    <t>Dogma Therapeutics acquisition</t>
  </si>
  <si>
    <t>Phase II "COURSE" COPD</t>
  </si>
  <si>
    <t>17% reduction in exacerbations at week 52 vs placebo</t>
  </si>
  <si>
    <t>37% in high eosinophil count</t>
  </si>
  <si>
    <t>Phase III "DIRECTION" China</t>
  </si>
  <si>
    <t>met PE of asthma exacerbations at 52 weeks</t>
  </si>
  <si>
    <t>long-acting antibody for prevention of COVID-19, met PE for reduction of incidence in immunocompromised patients in Phase III SUPERNOVA trial</t>
  </si>
  <si>
    <t>AL2220</t>
  </si>
  <si>
    <t>anselamimab</t>
  </si>
  <si>
    <t>ATTR</t>
  </si>
  <si>
    <t>AL amyloidosis</t>
  </si>
  <si>
    <t>PBT</t>
  </si>
  <si>
    <t>Finance</t>
  </si>
  <si>
    <t>JV</t>
  </si>
  <si>
    <t>D&amp;A</t>
  </si>
  <si>
    <t>WC</t>
  </si>
  <si>
    <t>Disposal</t>
  </si>
  <si>
    <t>Interest</t>
  </si>
  <si>
    <t>Net CFFO</t>
  </si>
  <si>
    <t>Non-cash</t>
  </si>
  <si>
    <t>CoCo</t>
  </si>
  <si>
    <t>Purchase of Intangibles</t>
  </si>
  <si>
    <t>JVs</t>
  </si>
  <si>
    <t>CFFI</t>
  </si>
  <si>
    <t>Share Issuance</t>
  </si>
  <si>
    <t>Borrowings</t>
  </si>
  <si>
    <t>Lease</t>
  </si>
  <si>
    <t>CFFF</t>
  </si>
  <si>
    <t>FX</t>
  </si>
  <si>
    <t>CIC</t>
  </si>
  <si>
    <t>discontinued, wroteoff $244m, licensed to MNPR</t>
  </si>
  <si>
    <t>Icosavax closed 2/19/2024, $841m, $300m CoCo.</t>
  </si>
  <si>
    <t>Gracell closed 2/22/2024, $983m cash consideration.</t>
  </si>
  <si>
    <t>0120</t>
  </si>
  <si>
    <t>MM, SLE</t>
  </si>
  <si>
    <t>CART</t>
  </si>
  <si>
    <t>Fusion Pharmaceuticals closed 6/4/2024, $2,051m consideration</t>
  </si>
  <si>
    <t>FPI-2059</t>
  </si>
  <si>
    <t>2068</t>
  </si>
  <si>
    <t>Seagen patent infringed, must pay $42m and 8% royalty until 11/4/2024. Matter appealed.</t>
  </si>
  <si>
    <t>Settled with 5 ANDA filers.</t>
  </si>
  <si>
    <t>Trial 3/2025</t>
  </si>
  <si>
    <t>ANDAs filed.</t>
  </si>
  <si>
    <t>Samsung Bioepis approved biosimilar 7/22/2024</t>
  </si>
  <si>
    <t>In litigation with GSK over niraparib royalties.</t>
  </si>
  <si>
    <t>Amolyt closed 7/15/2024, (800m upfront)</t>
  </si>
  <si>
    <t>Biosimilar</t>
  </si>
  <si>
    <t>dato</t>
  </si>
  <si>
    <t>enoboparatide</t>
  </si>
  <si>
    <t>Saphnelo (anifrolumab)</t>
  </si>
  <si>
    <t>SLE, initially scleroderma</t>
  </si>
  <si>
    <t>anifrolumab</t>
  </si>
  <si>
    <t>Saphnelo fka MEDI-546</t>
  </si>
  <si>
    <t>Anti-IFNalphaR1</t>
  </si>
  <si>
    <t>MEDI-545 (sifalimumab)</t>
  </si>
  <si>
    <t>Anti-IFN mab</t>
  </si>
  <si>
    <t>AZD8309</t>
  </si>
  <si>
    <t>CXCR2</t>
  </si>
  <si>
    <t>PDGFR</t>
  </si>
  <si>
    <t>Oncology</t>
  </si>
  <si>
    <t>EGFR/cmet bispecific mab</t>
  </si>
  <si>
    <t>EphA2 ADC</t>
  </si>
  <si>
    <t>5004</t>
  </si>
  <si>
    <t>T2D/Obesity</t>
  </si>
  <si>
    <t>GLP-1 agonist</t>
  </si>
  <si>
    <t>6234</t>
  </si>
  <si>
    <t>amylin</t>
  </si>
  <si>
    <t>9550</t>
  </si>
  <si>
    <t>GLP-1/glucagon</t>
  </si>
  <si>
    <t>OSI patent: 7459554 expires 2026</t>
  </si>
  <si>
    <t>COM patent 9290504 expires 2032</t>
  </si>
  <si>
    <t>0486</t>
  </si>
  <si>
    <t>B-Cell ALL</t>
  </si>
  <si>
    <t>CD19xCD3</t>
  </si>
  <si>
    <t>camizestrant</t>
  </si>
  <si>
    <t>SERD</t>
  </si>
  <si>
    <t>rilvegostomig</t>
  </si>
  <si>
    <t>PD-1/TIGIT</t>
  </si>
  <si>
    <t>saruparib</t>
  </si>
  <si>
    <t>volrustomig</t>
  </si>
  <si>
    <t>PD-1/CTLA</t>
  </si>
  <si>
    <t>baxdrostat</t>
  </si>
  <si>
    <t>aldosterone synthase inhibitor</t>
  </si>
  <si>
    <t>HTN/CKD</t>
  </si>
  <si>
    <t>IVX-A12</t>
  </si>
  <si>
    <t>hMPV/RSV</t>
  </si>
  <si>
    <t>vaccine</t>
  </si>
  <si>
    <t>tozorakimab</t>
  </si>
  <si>
    <t>IL-33 mab</t>
  </si>
  <si>
    <t>Immunology</t>
  </si>
  <si>
    <t>efzimfotase alfa</t>
  </si>
  <si>
    <t>HPP</t>
  </si>
  <si>
    <t>SC qw</t>
  </si>
  <si>
    <t>SVP, Late CVRM: Elisabeth Bjork</t>
  </si>
  <si>
    <t>AZD5004</t>
  </si>
  <si>
    <t>small molecule (non-peptide) GLP-1 agonist</t>
  </si>
  <si>
    <t>T1/2 21h, no food effect</t>
  </si>
  <si>
    <t>Phase IIB "VISTA" n=304 obesity - NCT06579092</t>
  </si>
  <si>
    <t>Phase IIB "SOLSTICE" n=384 T2D - NCT06579105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</si>
</sst>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£-809]#,##0.00;[Red]\-[$£-809]#,##0.00"/>
  </numFmts>
  <fonts count="1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0"/>
      <name val="Sans-serif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6" fillId="3" borderId="0" applyNumberFormat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2" fillId="2" borderId="4" xfId="3" applyFill="1" applyBorder="1" applyAlignment="1" applyProtection="1"/>
    <xf numFmtId="0" fontId="2" fillId="2" borderId="0" xfId="3" applyFill="1" applyAlignment="1" applyProtection="1"/>
    <xf numFmtId="0" fontId="9" fillId="2" borderId="0" xfId="0" applyFont="1" applyFill="1"/>
    <xf numFmtId="0" fontId="2" fillId="0" borderId="0" xfId="3" applyAlignment="1" applyProtection="1"/>
    <xf numFmtId="0" fontId="0" fillId="2" borderId="4" xfId="0" applyFill="1" applyBorder="1" applyAlignment="1">
      <alignment horizontal="left"/>
    </xf>
    <xf numFmtId="0" fontId="0" fillId="2" borderId="4" xfId="0" quotePrefix="1" applyFill="1" applyBorder="1" applyAlignment="1">
      <alignment horizontal="left"/>
    </xf>
    <xf numFmtId="0" fontId="11" fillId="2" borderId="0" xfId="0" applyFont="1" applyFill="1"/>
    <xf numFmtId="0" fontId="10" fillId="2" borderId="0" xfId="0" applyFont="1" applyFill="1"/>
    <xf numFmtId="0" fontId="5" fillId="2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/>
    <xf numFmtId="3" fontId="0" fillId="2" borderId="0" xfId="0" applyNumberFormat="1" applyFill="1"/>
    <xf numFmtId="0" fontId="12" fillId="2" borderId="0" xfId="3" applyFont="1" applyFill="1" applyAlignment="1" applyProtection="1"/>
    <xf numFmtId="4" fontId="0" fillId="2" borderId="0" xfId="0" applyNumberFormat="1" applyFill="1"/>
    <xf numFmtId="0" fontId="0" fillId="2" borderId="5" xfId="0" applyFill="1" applyBorder="1"/>
    <xf numFmtId="0" fontId="6" fillId="2" borderId="0" xfId="0" applyFont="1" applyFill="1"/>
    <xf numFmtId="3" fontId="5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left"/>
    </xf>
    <xf numFmtId="0" fontId="5" fillId="0" borderId="0" xfId="0" applyFont="1"/>
    <xf numFmtId="9" fontId="4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5" fillId="2" borderId="4" xfId="0" applyFont="1" applyFill="1" applyBorder="1"/>
    <xf numFmtId="9" fontId="5" fillId="2" borderId="0" xfId="0" applyNumberFormat="1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3" fontId="5" fillId="2" borderId="0" xfId="2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165" fontId="5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right"/>
    </xf>
    <xf numFmtId="4" fontId="4" fillId="2" borderId="0" xfId="0" applyNumberFormat="1" applyFont="1" applyFill="1" applyAlignment="1">
      <alignment horizontal="right"/>
    </xf>
    <xf numFmtId="165" fontId="9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164" fontId="9" fillId="2" borderId="0" xfId="4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4" fontId="9" fillId="2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Alignment="1">
      <alignment horizontal="right"/>
    </xf>
    <xf numFmtId="3" fontId="5" fillId="2" borderId="0" xfId="2" quotePrefix="1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164" fontId="4" fillId="2" borderId="0" xfId="4" applyNumberFormat="1" applyFont="1" applyFill="1" applyBorder="1" applyAlignment="1">
      <alignment horizontal="right"/>
    </xf>
    <xf numFmtId="9" fontId="9" fillId="2" borderId="0" xfId="0" applyNumberFormat="1" applyFont="1" applyFill="1"/>
    <xf numFmtId="0" fontId="15" fillId="2" borderId="0" xfId="0" applyFont="1" applyFill="1"/>
    <xf numFmtId="0" fontId="2" fillId="2" borderId="0" xfId="3" quotePrefix="1" applyFill="1" applyBorder="1" applyAlignment="1" applyProtection="1"/>
    <xf numFmtId="0" fontId="5" fillId="2" borderId="4" xfId="0" quotePrefix="1" applyFont="1" applyFill="1" applyBorder="1" applyAlignment="1">
      <alignment horizontal="left"/>
    </xf>
    <xf numFmtId="9" fontId="5" fillId="2" borderId="6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4" xfId="0" quotePrefix="1" applyFont="1" applyFill="1" applyBorder="1"/>
    <xf numFmtId="3" fontId="5" fillId="2" borderId="0" xfId="0" applyNumberFormat="1" applyFont="1" applyFill="1"/>
    <xf numFmtId="3" fontId="9" fillId="2" borderId="0" xfId="0" applyNumberFormat="1" applyFont="1" applyFill="1"/>
    <xf numFmtId="9" fontId="4" fillId="2" borderId="0" xfId="0" applyNumberFormat="1" applyFont="1" applyFill="1"/>
    <xf numFmtId="9" fontId="4" fillId="2" borderId="0" xfId="4" applyFont="1" applyFill="1" applyBorder="1" applyAlignment="1">
      <alignment horizontal="right"/>
    </xf>
    <xf numFmtId="3" fontId="5" fillId="4" borderId="0" xfId="1" applyNumberFormat="1" applyFont="1" applyFill="1" applyAlignment="1">
      <alignment horizontal="right"/>
    </xf>
    <xf numFmtId="3" fontId="4" fillId="2" borderId="0" xfId="2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 wrapText="1"/>
    </xf>
    <xf numFmtId="3" fontId="5" fillId="4" borderId="0" xfId="0" applyNumberFormat="1" applyFont="1" applyFill="1" applyAlignment="1">
      <alignment horizontal="right" wrapText="1"/>
    </xf>
    <xf numFmtId="0" fontId="5" fillId="2" borderId="0" xfId="0" applyFont="1" applyFill="1" applyAlignment="1">
      <alignment horizontal="right" wrapText="1"/>
    </xf>
    <xf numFmtId="3" fontId="5" fillId="0" borderId="0" xfId="2" applyNumberFormat="1" applyFont="1" applyFill="1" applyAlignment="1">
      <alignment horizontal="right"/>
    </xf>
    <xf numFmtId="164" fontId="9" fillId="0" borderId="0" xfId="4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 wrapText="1"/>
    </xf>
    <xf numFmtId="3" fontId="9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3" fontId="9" fillId="5" borderId="0" xfId="0" applyNumberFormat="1" applyFont="1" applyFill="1" applyAlignment="1">
      <alignment horizontal="right"/>
    </xf>
    <xf numFmtId="0" fontId="9" fillId="5" borderId="0" xfId="0" applyFont="1" applyFill="1" applyAlignment="1">
      <alignment horizontal="right"/>
    </xf>
    <xf numFmtId="165" fontId="9" fillId="5" borderId="0" xfId="0" applyNumberFormat="1" applyFont="1" applyFill="1" applyAlignment="1">
      <alignment horizontal="right"/>
    </xf>
    <xf numFmtId="4" fontId="9" fillId="5" borderId="0" xfId="0" applyNumberFormat="1" applyFont="1" applyFill="1" applyAlignment="1">
      <alignment horizontal="right"/>
    </xf>
    <xf numFmtId="0" fontId="9" fillId="5" borderId="0" xfId="0" applyFont="1" applyFill="1"/>
    <xf numFmtId="165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3" fontId="4" fillId="4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3" fontId="4" fillId="2" borderId="0" xfId="2" applyNumberFormat="1" applyFon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wrapText="1"/>
    </xf>
    <xf numFmtId="3" fontId="5" fillId="4" borderId="2" xfId="0" applyNumberFormat="1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2" fillId="0" borderId="0" xfId="3" applyFill="1" applyAlignment="1" applyProtection="1"/>
    <xf numFmtId="0" fontId="4" fillId="0" borderId="0" xfId="0" applyFont="1"/>
    <xf numFmtId="0" fontId="5" fillId="0" borderId="6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9" fillId="0" borderId="0" xfId="0" applyFont="1"/>
    <xf numFmtId="9" fontId="4" fillId="0" borderId="0" xfId="0" applyNumberFormat="1" applyFont="1"/>
    <xf numFmtId="3" fontId="9" fillId="0" borderId="0" xfId="0" applyNumberFormat="1" applyFont="1"/>
    <xf numFmtId="3" fontId="5" fillId="0" borderId="0" xfId="0" applyNumberFormat="1" applyFont="1"/>
    <xf numFmtId="0" fontId="17" fillId="5" borderId="0" xfId="0" applyFont="1" applyFill="1"/>
    <xf numFmtId="0" fontId="17" fillId="5" borderId="0" xfId="0" applyFont="1" applyFill="1" applyAlignment="1">
      <alignment horizontal="right"/>
    </xf>
    <xf numFmtId="9" fontId="17" fillId="5" borderId="0" xfId="0" applyNumberFormat="1" applyFont="1" applyFill="1" applyAlignment="1">
      <alignment horizontal="right"/>
    </xf>
    <xf numFmtId="164" fontId="17" fillId="5" borderId="0" xfId="4" applyNumberFormat="1" applyFont="1" applyFill="1" applyBorder="1" applyAlignment="1">
      <alignment horizontal="right"/>
    </xf>
    <xf numFmtId="3" fontId="18" fillId="5" borderId="0" xfId="0" applyNumberFormat="1" applyFont="1" applyFill="1" applyAlignment="1">
      <alignment horizontal="right"/>
    </xf>
    <xf numFmtId="3" fontId="17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9" fontId="5" fillId="0" borderId="0" xfId="0" applyNumberFormat="1" applyFont="1"/>
    <xf numFmtId="9" fontId="5" fillId="2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2" borderId="0" xfId="4" applyFont="1" applyFill="1" applyBorder="1" applyAlignment="1">
      <alignment horizontal="right"/>
    </xf>
    <xf numFmtId="9" fontId="5" fillId="2" borderId="0" xfId="0" applyNumberFormat="1" applyFont="1" applyFill="1"/>
    <xf numFmtId="0" fontId="2" fillId="2" borderId="7" xfId="3" applyFill="1" applyBorder="1" applyAlignment="1" applyProtection="1"/>
    <xf numFmtId="9" fontId="0" fillId="2" borderId="6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1" fillId="0" borderId="0" xfId="0" applyFont="1"/>
    <xf numFmtId="4" fontId="1" fillId="2" borderId="0" xfId="0" applyNumberFormat="1" applyFont="1" applyFill="1"/>
    <xf numFmtId="0" fontId="1" fillId="2" borderId="4" xfId="0" applyFont="1" applyFill="1" applyBorder="1"/>
    <xf numFmtId="0" fontId="1" fillId="2" borderId="0" xfId="3" applyFont="1" applyFill="1" applyBorder="1" applyAlignment="1" applyProtection="1"/>
    <xf numFmtId="9" fontId="1" fillId="2" borderId="0" xfId="0" applyNumberFormat="1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3" fontId="5" fillId="0" borderId="0" xfId="0" applyNumberFormat="1" applyFont="1" applyAlignment="1">
      <alignment horizontal="left"/>
    </xf>
    <xf numFmtId="166" fontId="1" fillId="2" borderId="0" xfId="0" applyNumberFormat="1" applyFont="1" applyFill="1"/>
    <xf numFmtId="3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3" fontId="1" fillId="0" borderId="0" xfId="2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3" fontId="5" fillId="5" borderId="0" xfId="0" applyNumberFormat="1" applyFont="1" applyFill="1" applyAlignment="1">
      <alignment horizontal="right" wrapText="1"/>
    </xf>
    <xf numFmtId="3" fontId="5" fillId="5" borderId="0" xfId="2" applyNumberFormat="1" applyFont="1" applyFill="1" applyAlignment="1">
      <alignment horizontal="right"/>
    </xf>
    <xf numFmtId="3" fontId="1" fillId="0" borderId="0" xfId="0" applyNumberFormat="1" applyFont="1"/>
    <xf numFmtId="165" fontId="4" fillId="0" borderId="0" xfId="0" applyNumberFormat="1" applyFont="1" applyAlignment="1">
      <alignment horizontal="right"/>
    </xf>
    <xf numFmtId="9" fontId="17" fillId="0" borderId="0" xfId="0" applyNumberFormat="1" applyFont="1" applyAlignment="1">
      <alignment horizontal="right"/>
    </xf>
    <xf numFmtId="3" fontId="5" fillId="5" borderId="0" xfId="1" applyNumberFormat="1" applyFont="1" applyFill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5" fillId="2" borderId="0" xfId="0" applyFont="1" applyFill="1" applyBorder="1" applyAlignment="1">
      <alignment horizontal="center"/>
    </xf>
    <xf numFmtId="0" fontId="1" fillId="2" borderId="4" xfId="0" quotePrefix="1" applyFont="1" applyFill="1" applyBorder="1"/>
    <xf numFmtId="0" fontId="1" fillId="2" borderId="4" xfId="0" quotePrefix="1" applyFont="1" applyFill="1" applyBorder="1" applyAlignment="1">
      <alignment horizontal="left"/>
    </xf>
    <xf numFmtId="0" fontId="2" fillId="0" borderId="0" xfId="3" applyFill="1" applyBorder="1" applyAlignment="1" applyProtection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15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 applyBorder="1"/>
    <xf numFmtId="0" fontId="1" fillId="0" borderId="0" xfId="0" quotePrefix="1" applyFont="1" applyFill="1" applyBorder="1"/>
    <xf numFmtId="0" fontId="5" fillId="0" borderId="0" xfId="0" applyFont="1" applyFill="1" applyBorder="1" applyAlignment="1">
      <alignment horizontal="center"/>
    </xf>
    <xf numFmtId="0" fontId="1" fillId="0" borderId="0" xfId="0" quotePrefix="1" applyFon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9" fontId="1" fillId="0" borderId="0" xfId="0" applyNumberFormat="1" applyFont="1" applyFill="1" applyBorder="1" applyAlignment="1">
      <alignment horizontal="center"/>
    </xf>
    <xf numFmtId="166" fontId="11" fillId="2" borderId="0" xfId="0" applyNumberFormat="1" applyFont="1" applyFill="1"/>
    <xf numFmtId="0" fontId="1" fillId="2" borderId="4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/>
    <xf numFmtId="0" fontId="2" fillId="2" borderId="4" xfId="3" quotePrefix="1" applyFill="1" applyBorder="1" applyAlignment="1" applyProtection="1">
      <alignment horizontal="left"/>
    </xf>
    <xf numFmtId="0" fontId="1" fillId="0" borderId="0" xfId="0" quotePrefix="1" applyFont="1"/>
    <xf numFmtId="3" fontId="1" fillId="0" borderId="0" xfId="0" applyNumberFormat="1" applyFont="1" applyAlignment="1">
      <alignment horizontal="right"/>
    </xf>
    <xf numFmtId="0" fontId="1" fillId="2" borderId="4" xfId="3" applyFont="1" applyFill="1" applyBorder="1" applyAlignment="1" applyProtection="1"/>
    <xf numFmtId="0" fontId="1" fillId="0" borderId="0" xfId="0" quotePrefix="1" applyFont="1" applyAlignment="1">
      <alignment horizontal="left" vertical="top"/>
    </xf>
    <xf numFmtId="0" fontId="1" fillId="2" borderId="6" xfId="0" applyFont="1" applyFill="1" applyBorder="1" applyAlignment="1">
      <alignment horizontal="center"/>
    </xf>
    <xf numFmtId="0" fontId="2" fillId="2" borderId="7" xfId="3" quotePrefix="1" applyFill="1" applyBorder="1" applyAlignment="1" applyProtection="1">
      <alignment horizontal="left"/>
    </xf>
  </cellXfs>
  <cellStyles count="5">
    <cellStyle name="60% - Accent4" xfId="1" builtinId="44"/>
    <cellStyle name="Comma" xfId="2" builtinId="3"/>
    <cellStyle name="Hyperlink" xfId="3" builtinId="8"/>
    <cellStyle name="Normal" xfId="0" builtinId="0"/>
    <cellStyle name="Percent" xfId="4" builtinId="5"/>
  </cellStyles>
  <dxfs count="0"/>
  <tableStyles count="1" defaultTableStyle="TableStyleMedium9" defaultPivotStyle="PivotStyleLight16">
    <tableStyle name="Invisible" pivot="0" table="0" count="0" xr9:uid="{C5E4CC0F-8869-478F-A451-EFC2320E85D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21056</xdr:colOff>
      <xdr:row>0</xdr:row>
      <xdr:rowOff>0</xdr:rowOff>
    </xdr:from>
    <xdr:to>
      <xdr:col>96</xdr:col>
      <xdr:colOff>21056</xdr:colOff>
      <xdr:row>189</xdr:row>
      <xdr:rowOff>51287</xdr:rowOff>
    </xdr:to>
    <xdr:sp macro="" textlink="">
      <xdr:nvSpPr>
        <xdr:cNvPr id="2806" name="Line 5">
          <a:extLst>
            <a:ext uri="{FF2B5EF4-FFF2-40B4-BE49-F238E27FC236}">
              <a16:creationId xmlns:a16="http://schemas.microsoft.com/office/drawing/2014/main" id="{D2B27E02-FB26-ED89-0683-A32F0542C957}"/>
            </a:ext>
          </a:extLst>
        </xdr:cNvPr>
        <xdr:cNvSpPr>
          <a:spLocks noChangeShapeType="1"/>
        </xdr:cNvSpPr>
      </xdr:nvSpPr>
      <xdr:spPr bwMode="auto">
        <a:xfrm flipV="1">
          <a:off x="44019229" y="0"/>
          <a:ext cx="0" cy="2551967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131</xdr:col>
      <xdr:colOff>65514</xdr:colOff>
      <xdr:row>0</xdr:row>
      <xdr:rowOff>0</xdr:rowOff>
    </xdr:from>
    <xdr:to>
      <xdr:col>131</xdr:col>
      <xdr:colOff>65514</xdr:colOff>
      <xdr:row>133</xdr:row>
      <xdr:rowOff>38100</xdr:rowOff>
    </xdr:to>
    <xdr:sp macro="" textlink="">
      <xdr:nvSpPr>
        <xdr:cNvPr id="2807" name="Line 5">
          <a:extLst>
            <a:ext uri="{FF2B5EF4-FFF2-40B4-BE49-F238E27FC236}">
              <a16:creationId xmlns:a16="http://schemas.microsoft.com/office/drawing/2014/main" id="{5C9EF3AC-6202-DD0D-3D26-77C58B0B7A84}"/>
            </a:ext>
          </a:extLst>
        </xdr:cNvPr>
        <xdr:cNvSpPr>
          <a:spLocks noChangeShapeType="1"/>
        </xdr:cNvSpPr>
      </xdr:nvSpPr>
      <xdr:spPr bwMode="auto">
        <a:xfrm flipV="1">
          <a:off x="58651234" y="0"/>
          <a:ext cx="0" cy="2085371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237527</xdr:colOff>
      <xdr:row>5</xdr:row>
      <xdr:rowOff>5952</xdr:rowOff>
    </xdr:from>
    <xdr:to>
      <xdr:col>16</xdr:col>
      <xdr:colOff>214312</xdr:colOff>
      <xdr:row>22</xdr:row>
      <xdr:rowOff>116680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66159C-060D-D138-D87D-41AEC2536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1433" y="809624"/>
          <a:ext cx="4834535" cy="2843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76865</xdr:colOff>
      <xdr:row>1</xdr:row>
      <xdr:rowOff>19657</xdr:rowOff>
    </xdr:from>
    <xdr:to>
      <xdr:col>10</xdr:col>
      <xdr:colOff>70757</xdr:colOff>
      <xdr:row>6</xdr:row>
      <xdr:rowOff>87086</xdr:rowOff>
    </xdr:to>
    <xdr:pic>
      <xdr:nvPicPr>
        <xdr:cNvPr id="2" name="Picture 1" descr="Figure US07459554-20081202-C00001">
          <a:extLst>
            <a:ext uri="{FF2B5EF4-FFF2-40B4-BE49-F238E27FC236}">
              <a16:creationId xmlns:a16="http://schemas.microsoft.com/office/drawing/2014/main" id="{7E824A0F-BAB1-8DAE-B0C5-8F9B0A1D4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7379" y="182943"/>
          <a:ext cx="2432292" cy="88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220937</xdr:colOff>
      <xdr:row>7</xdr:row>
      <xdr:rowOff>100303</xdr:rowOff>
    </xdr:from>
    <xdr:to>
      <xdr:col>17</xdr:col>
      <xdr:colOff>373381</xdr:colOff>
      <xdr:row>22</xdr:row>
      <xdr:rowOff>81915</xdr:rowOff>
    </xdr:to>
    <xdr:pic>
      <xdr:nvPicPr>
        <xdr:cNvPr id="2" name="Picture 1" descr="Dapagliflozin - Wikipedia">
          <a:extLst>
            <a:ext uri="{FF2B5EF4-FFF2-40B4-BE49-F238E27FC236}">
              <a16:creationId xmlns:a16="http://schemas.microsoft.com/office/drawing/2014/main" id="{C407B8F1-D8BE-D87F-25BA-6B7C0C5E3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3677" y="740383"/>
          <a:ext cx="3810044" cy="2381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50132</xdr:colOff>
      <xdr:row>3</xdr:row>
      <xdr:rowOff>115303</xdr:rowOff>
    </xdr:from>
    <xdr:to>
      <xdr:col>17</xdr:col>
      <xdr:colOff>65173</xdr:colOff>
      <xdr:row>12</xdr:row>
      <xdr:rowOff>151697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B7CC16B-4893-9602-B3B2-7D2C47E80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7606" y="596566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214270</xdr:colOff>
      <xdr:row>25</xdr:row>
      <xdr:rowOff>105276</xdr:rowOff>
    </xdr:from>
    <xdr:to>
      <xdr:col>14</xdr:col>
      <xdr:colOff>588544</xdr:colOff>
      <xdr:row>40</xdr:row>
      <xdr:rowOff>62664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A1B1D-07B8-F367-BA01-51204B04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533" y="2672013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262889</xdr:colOff>
      <xdr:row>2</xdr:row>
      <xdr:rowOff>14733</xdr:rowOff>
    </xdr:from>
    <xdr:to>
      <xdr:col>9</xdr:col>
      <xdr:colOff>262884</xdr:colOff>
      <xdr:row>8</xdr:row>
      <xdr:rowOff>161925</xdr:rowOff>
    </xdr:to>
    <xdr:pic>
      <xdr:nvPicPr>
        <xdr:cNvPr id="2" name="Picture 1" descr="AZD0780">
          <a:extLst>
            <a:ext uri="{FF2B5EF4-FFF2-40B4-BE49-F238E27FC236}">
              <a16:creationId xmlns:a16="http://schemas.microsoft.com/office/drawing/2014/main" id="{AA2526D3-A59B-873F-E1F3-A09104A57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699" y="342393"/>
          <a:ext cx="1219195" cy="1130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428625</xdr:colOff>
      <xdr:row>19</xdr:row>
      <xdr:rowOff>38100</xdr:rowOff>
    </xdr:from>
    <xdr:to>
      <xdr:col>17</xdr:col>
      <xdr:colOff>485775</xdr:colOff>
      <xdr:row>68</xdr:row>
      <xdr:rowOff>0</xdr:rowOff>
    </xdr:to>
    <xdr:pic>
      <xdr:nvPicPr>
        <xdr:cNvPr id="6558" name="Picture 1">
          <a:extLst>
            <a:ext uri="{FF2B5EF4-FFF2-40B4-BE49-F238E27FC236}">
              <a16:creationId xmlns:a16="http://schemas.microsoft.com/office/drawing/2014/main" id="{FE973F8C-B403-3699-D430-86D3505B0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3114675"/>
          <a:ext cx="4324350" cy="789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66083</xdr:rowOff>
    </xdr:from>
    <xdr:to>
      <xdr:col>14</xdr:col>
      <xdr:colOff>175686</xdr:colOff>
      <xdr:row>16</xdr:row>
      <xdr:rowOff>136623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A09DCE-1647-1B4A-D42D-20BFE6C1C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713783"/>
          <a:ext cx="3833286" cy="1851715"/>
        </a:xfrm>
        <a:prstGeom prst="rect">
          <a:avLst/>
        </a:prstGeom>
      </xdr:spPr>
    </xdr:pic>
    <xdr:clientData/>
  </xdr:twoCellAnchor>
  <xdr:twoCellAnchor editAs="oneCell">
    <xdr:from>
      <xdr:col>8</xdr:col>
      <xdr:colOff>18585</xdr:colOff>
      <xdr:row>17</xdr:row>
      <xdr:rowOff>155033</xdr:rowOff>
    </xdr:from>
    <xdr:to>
      <xdr:col>14</xdr:col>
      <xdr:colOff>445961</xdr:colOff>
      <xdr:row>30</xdr:row>
      <xdr:rowOff>126586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6D5AEE-385A-201D-5608-6DEFD9A0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04317" y="2919606"/>
          <a:ext cx="4079400" cy="2085639"/>
        </a:xfrm>
        <a:prstGeom prst="rect">
          <a:avLst/>
        </a:prstGeom>
      </xdr:spPr>
    </xdr:pic>
    <xdr:clientData/>
  </xdr:twoCellAnchor>
  <xdr:twoCellAnchor editAs="oneCell">
    <xdr:from>
      <xdr:col>8</xdr:col>
      <xdr:colOff>47626</xdr:colOff>
      <xdr:row>31</xdr:row>
      <xdr:rowOff>138693</xdr:rowOff>
    </xdr:from>
    <xdr:to>
      <xdr:col>17</xdr:col>
      <xdr:colOff>24387</xdr:colOff>
      <xdr:row>49</xdr:row>
      <xdr:rowOff>68782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FDF99-D54A-C586-D47A-9C368653C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22032" y="5121459"/>
          <a:ext cx="5441730" cy="2823307"/>
        </a:xfrm>
        <a:prstGeom prst="rect">
          <a:avLst/>
        </a:prstGeom>
      </xdr:spPr>
    </xdr:pic>
    <xdr:clientData/>
  </xdr:twoCellAnchor>
  <xdr:twoCellAnchor editAs="oneCell">
    <xdr:from>
      <xdr:col>7</xdr:col>
      <xdr:colOff>604629</xdr:colOff>
      <xdr:row>51</xdr:row>
      <xdr:rowOff>66621</xdr:rowOff>
    </xdr:from>
    <xdr:to>
      <xdr:col>15</xdr:col>
      <xdr:colOff>570422</xdr:colOff>
      <xdr:row>67</xdr:row>
      <xdr:rowOff>15879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4AD1F-BE56-A80C-67B2-43894443E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3912" y="8514882"/>
          <a:ext cx="4869097" cy="2599693"/>
        </a:xfrm>
        <a:prstGeom prst="rect">
          <a:avLst/>
        </a:prstGeom>
      </xdr:spPr>
    </xdr:pic>
    <xdr:clientData/>
  </xdr:twoCellAnchor>
  <xdr:twoCellAnchor editAs="oneCell">
    <xdr:from>
      <xdr:col>8</xdr:col>
      <xdr:colOff>74542</xdr:colOff>
      <xdr:row>68</xdr:row>
      <xdr:rowOff>140648</xdr:rowOff>
    </xdr:from>
    <xdr:to>
      <xdr:col>16</xdr:col>
      <xdr:colOff>511227</xdr:colOff>
      <xdr:row>85</xdr:row>
      <xdr:rowOff>56023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84C8771-849C-840A-29B4-022428BEB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86738" y="11404996"/>
          <a:ext cx="5339989" cy="27314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A895112F-5F85-4B64-BDC7-EC2B8A981C44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Q4" dT="2024-10-06T19:25:00.18" personId="{A895112F-5F85-4B64-BDC7-EC2B8A981C44}" id="{D62DBF2F-287A-4010-A155-AA24966F2AA4}">
    <text>45m milestone in Japan
Authorized generic!?!?!</text>
  </threadedComment>
  <threadedComment ref="CQ5" dT="2024-10-06T19:03:03.93" personId="{A895112F-5F85-4B64-BDC7-EC2B8A981C44}" id="{BD1794CD-A4A5-4162-9B72-64E6057D9510}">
    <text>Some biosimilar erosion in EU</text>
  </threadedComment>
  <threadedComment ref="EC8" dT="2023-01-03T03:18:16.36" personId="{A895112F-5F85-4B64-BDC7-EC2B8A981C44}" id="{6DCB1BC1-8D2E-4EF8-B674-A4FBAAB84212}">
    <text>Most patents expire 2024</text>
  </threadedComment>
  <threadedComment ref="CN9" dT="2024-11-07T01:34:44.70" personId="{A895112F-5F85-4B64-BDC7-EC2B8A981C44}" id="{259D8D03-FC68-4E9B-93F5-A87012CBE182}">
    <text>180m COVID-19 mabs in alliance?</text>
  </threadedComment>
  <threadedComment ref="CR9" dT="2024-11-07T04:49:12.84" personId="{A895112F-5F85-4B64-BDC7-EC2B8A981C44}" id="{62D1F299-BA77-4B11-916A-3E9C8453E5BB}">
    <text>344m alliance</text>
  </threadedComment>
  <threadedComment ref="CK10" dT="2023-01-03T02:57:13.37" personId="{A895112F-5F85-4B64-BDC7-EC2B8A981C44}" id="{9F14EA27-52F6-4D58-A621-BE9B3020F31F}">
    <text>7/21/21 acquisition close</text>
  </threadedComment>
  <threadedComment ref="CN21" dT="2024-11-07T01:33:32.42" personId="{A895112F-5F85-4B64-BDC7-EC2B8A981C44}" id="{0E601E2F-7ECF-4CDD-A344-E00EF29B2A68}">
    <text>62m alliance revenue?</text>
  </threadedComment>
  <threadedComment ref="CQ21" dT="2024-10-06T19:10:12.28" personId="{A895112F-5F85-4B64-BDC7-EC2B8A981C44}" id="{EE1FF094-4FA8-478F-B53F-2BD79A909715}">
    <text>Amgen recorded 94m</text>
  </threadedComment>
  <threadedComment ref="CR21" dT="2024-11-07T01:33:18.11" personId="{A895112F-5F85-4B64-BDC7-EC2B8A981C44}" id="{8AACDF9E-579A-45C7-B0D3-BE8111D3CD6A}">
    <text>104m in alliance</text>
  </threadedComment>
  <threadedComment ref="CR32" dT="2024-11-07T04:49:46.12" personId="{A895112F-5F85-4B64-BDC7-EC2B8A981C44}" id="{29EDF96C-E7AA-48B8-8C08-0DD18E859291}">
    <text>7m alliance</text>
  </threadedComment>
  <threadedComment ref="CR55" dT="2024-11-07T04:50:43.66" personId="{A895112F-5F85-4B64-BDC7-EC2B8A981C44}" id="{07C2355C-2F91-4FEC-B7AF-2C093C23087B}">
    <text>4m Farxiga sales milestones</text>
  </threadedComment>
  <threadedComment ref="CR58" dT="2024-11-07T01:34:57.37" personId="{A895112F-5F85-4B64-BDC7-EC2B8A981C44}" id="{42C52143-ABD2-4472-8E88-4E9D4130E218}">
    <text>4m collaboration</text>
  </threadedComment>
  <threadedComment ref="EB86" dT="2024-11-07T01:17:44.63" personId="{A895112F-5F85-4B64-BDC7-EC2B8A981C44}" id="{1F159F62-A8AF-4547-8349-2CF314B5051A}">
    <text>Q224: Collaboration revenue will not increase in 2024</text>
  </threadedComment>
  <threadedComment ref="EH87" dT="2024-11-07T00:28:07.29" personId="{A895112F-5F85-4B64-BDC7-EC2B8A981C44}" id="{047CC09F-8B58-4663-92EB-4563859FCE43}">
    <text>80B ambition by 2030</text>
  </threadedComment>
  <threadedComment ref="CK99" dT="2023-01-03T02:56:36.43" personId="{A895112F-5F85-4B64-BDC7-EC2B8A981C44}" id="{8323C141-3819-4911-BF8C-26B7E5B6D8CB}">
    <text>Core 1.67</text>
  </threadedComment>
  <threadedComment ref="CR99" dT="2024-11-06T16:40:47.43" personId="{A895112F-5F85-4B64-BDC7-EC2B8A981C44}" id="{932DB68E-5116-47DB-9126-3DF300A7FFC0}">
    <text>1.98 core</text>
  </threadedComment>
  <threadedComment ref="CR103" dT="2024-11-07T02:48:51.82" personId="{A895112F-5F85-4B64-BDC7-EC2B8A981C44}" id="{33B8DB53-52E5-4394-B981-829628410B78}">
    <text>Product GM 83%</text>
  </threadedComment>
  <threadedComment ref="EB107" dT="2024-11-07T01:12:50.41" personId="{A895112F-5F85-4B64-BDC7-EC2B8A981C44}" id="{85A3583F-D75C-4861-A947-94586CB03356}">
    <text>Q224: 18-22%</text>
  </threadedComment>
  <threadedComment ref="EB109" dT="2024-11-07T01:02:32.09" personId="{A895112F-5F85-4B64-BDC7-EC2B8A981C44}" id="{98490C7F-6D1E-4D48-BF90-62A6F0C0ADB0}">
    <text>Q224: raised guidance to mid teens (was low DD to low teens)</text>
  </threadedComment>
  <threadedComment ref="CR111" dT="2024-11-07T01:29:04.50" personId="{A895112F-5F85-4B64-BDC7-EC2B8A981C44}" id="{80E3A555-D5AE-4A57-876F-770B75A4A3CF}">
    <text>12% CER</text>
  </threadedComment>
  <threadedComment ref="CR138" dT="2024-11-11T13:30:06.53" personId="{A895112F-5F85-4B64-BDC7-EC2B8A981C44}" id="{4512D24D-9ACD-4DEA-91C8-FC67B27621E0}">
    <text>1.742B BMS diabetes alliance CoCo</text>
  </threadedComment>
</ThreadedComment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AZN/Phase%20I%20AZD2171%20JCO.pdf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AZN/Iressa%20Lancet%20INTEREST%20study%202008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577A-D40B-4093-9643-6B6CC0E53E8F}">
  <dimension ref="A2:K87"/>
  <sheetViews>
    <sheetView topLeftCell="A49" zoomScale="160" zoomScaleNormal="160" workbookViewId="0">
      <selection activeCell="C73" sqref="C73"/>
    </sheetView>
  </sheetViews>
  <sheetFormatPr defaultColWidth="8.85546875" defaultRowHeight="12.75"/>
  <cols>
    <col min="2" max="2" width="22.140625" customWidth="1"/>
    <col min="3" max="3" width="11.7109375" customWidth="1"/>
    <col min="5" max="5" width="10.85546875" customWidth="1"/>
  </cols>
  <sheetData>
    <row r="2" spans="2:10">
      <c r="B2" s="57" t="s">
        <v>425</v>
      </c>
    </row>
    <row r="3" spans="2:10">
      <c r="B3" s="5" t="s">
        <v>117</v>
      </c>
      <c r="C3" s="7" t="s">
        <v>119</v>
      </c>
      <c r="D3" s="6" t="s">
        <v>118</v>
      </c>
      <c r="E3" s="6"/>
      <c r="F3" s="7" t="s">
        <v>211</v>
      </c>
    </row>
    <row r="4" spans="2:10">
      <c r="B4" s="11" t="s">
        <v>36</v>
      </c>
    </row>
    <row r="5" spans="2:10">
      <c r="B5" s="35" t="s">
        <v>288</v>
      </c>
      <c r="C5" s="20" t="s">
        <v>289</v>
      </c>
      <c r="D5" s="36" t="s">
        <v>204</v>
      </c>
      <c r="E5" s="36"/>
      <c r="F5" s="20" t="s">
        <v>290</v>
      </c>
      <c r="G5" s="20" t="s">
        <v>94</v>
      </c>
      <c r="H5" s="8"/>
    </row>
    <row r="6" spans="2:10">
      <c r="B6" s="12" t="s">
        <v>426</v>
      </c>
      <c r="C6" s="7" t="s">
        <v>81</v>
      </c>
      <c r="D6" s="6"/>
      <c r="E6" s="6"/>
      <c r="F6" s="7"/>
      <c r="G6" s="7" t="s">
        <v>94</v>
      </c>
    </row>
    <row r="7" spans="2:10">
      <c r="B7" s="124" t="s">
        <v>395</v>
      </c>
      <c r="C7" s="7"/>
      <c r="D7" s="6"/>
      <c r="E7" s="6"/>
      <c r="F7" s="7"/>
      <c r="G7" s="7"/>
    </row>
    <row r="8" spans="2:10">
      <c r="B8" s="124" t="s">
        <v>627</v>
      </c>
      <c r="C8" s="118" t="s">
        <v>639</v>
      </c>
      <c r="D8" s="6"/>
      <c r="E8" s="6"/>
      <c r="F8" s="7"/>
      <c r="G8" s="118" t="s">
        <v>555</v>
      </c>
      <c r="J8" s="120" t="s">
        <v>640</v>
      </c>
    </row>
    <row r="9" spans="2:10">
      <c r="B9" s="5" t="s">
        <v>39</v>
      </c>
      <c r="C9" s="20" t="s">
        <v>125</v>
      </c>
      <c r="D9" s="6"/>
      <c r="E9" s="6"/>
      <c r="F9" s="7"/>
      <c r="G9" s="7"/>
    </row>
    <row r="10" spans="2:10">
      <c r="B10" s="30" t="s">
        <v>319</v>
      </c>
      <c r="C10" s="20" t="s">
        <v>320</v>
      </c>
      <c r="D10" s="36" t="s">
        <v>321</v>
      </c>
      <c r="E10" s="20" t="s">
        <v>52</v>
      </c>
      <c r="F10" s="20" t="s">
        <v>424</v>
      </c>
      <c r="G10" s="7"/>
    </row>
    <row r="11" spans="2:10">
      <c r="B11" s="12" t="s">
        <v>313</v>
      </c>
      <c r="C11" s="7" t="s">
        <v>59</v>
      </c>
      <c r="D11" s="6" t="s">
        <v>58</v>
      </c>
      <c r="E11" s="37">
        <v>37845</v>
      </c>
      <c r="F11" s="7" t="s">
        <v>160</v>
      </c>
      <c r="G11" s="7" t="s">
        <v>94</v>
      </c>
      <c r="H11" s="8"/>
    </row>
    <row r="12" spans="2:10">
      <c r="B12" s="119" t="s">
        <v>741</v>
      </c>
      <c r="C12" s="7"/>
      <c r="D12" s="6"/>
      <c r="E12" s="37"/>
      <c r="F12" s="7"/>
      <c r="G12" s="7"/>
      <c r="H12" s="155"/>
    </row>
    <row r="13" spans="2:10">
      <c r="B13" s="11" t="s">
        <v>42</v>
      </c>
    </row>
    <row r="14" spans="2:10">
      <c r="B14" s="12" t="s">
        <v>286</v>
      </c>
      <c r="C14" s="7" t="s">
        <v>95</v>
      </c>
      <c r="D14" s="6">
        <v>1</v>
      </c>
      <c r="E14" s="6"/>
      <c r="F14" s="7" t="s">
        <v>161</v>
      </c>
      <c r="G14" s="7" t="s">
        <v>94</v>
      </c>
      <c r="H14" s="27"/>
    </row>
    <row r="15" spans="2:10">
      <c r="B15" s="11" t="s">
        <v>37</v>
      </c>
    </row>
    <row r="16" spans="2:10">
      <c r="B16" s="124" t="s">
        <v>638</v>
      </c>
      <c r="C16" s="7"/>
      <c r="D16" s="6"/>
      <c r="E16" s="6"/>
      <c r="F16" s="7"/>
      <c r="G16" s="7"/>
      <c r="J16" s="120" t="s">
        <v>736</v>
      </c>
    </row>
    <row r="17" spans="1:9">
      <c r="B17" s="12" t="s">
        <v>314</v>
      </c>
      <c r="C17" s="7" t="s">
        <v>93</v>
      </c>
      <c r="D17" s="6">
        <v>1</v>
      </c>
      <c r="E17" s="21">
        <v>39219</v>
      </c>
      <c r="F17" s="7" t="s">
        <v>162</v>
      </c>
      <c r="G17" s="7" t="s">
        <v>94</v>
      </c>
      <c r="H17" s="38"/>
    </row>
    <row r="18" spans="1:9">
      <c r="B18" s="12" t="s">
        <v>315</v>
      </c>
      <c r="C18" s="7" t="s">
        <v>93</v>
      </c>
      <c r="D18" s="6">
        <v>1</v>
      </c>
      <c r="E18" s="21">
        <v>35699</v>
      </c>
      <c r="F18" s="20" t="s">
        <v>162</v>
      </c>
      <c r="G18" s="20" t="s">
        <v>94</v>
      </c>
      <c r="H18" s="38"/>
    </row>
    <row r="19" spans="1:9">
      <c r="B19" s="12" t="s">
        <v>291</v>
      </c>
      <c r="C19" s="7" t="s">
        <v>81</v>
      </c>
      <c r="D19" s="6"/>
      <c r="E19" s="6"/>
      <c r="F19" s="7"/>
      <c r="G19" s="7" t="s">
        <v>94</v>
      </c>
    </row>
    <row r="20" spans="1:9">
      <c r="B20" s="162" t="s">
        <v>519</v>
      </c>
      <c r="C20" s="118" t="s">
        <v>740</v>
      </c>
      <c r="D20" s="6"/>
      <c r="E20" s="6"/>
      <c r="F20" s="7"/>
      <c r="G20" s="7"/>
    </row>
    <row r="21" spans="1:9">
      <c r="B21" s="30" t="s">
        <v>278</v>
      </c>
      <c r="C21" s="7" t="s">
        <v>95</v>
      </c>
      <c r="D21" s="7" t="s">
        <v>205</v>
      </c>
      <c r="E21" s="37">
        <v>40298</v>
      </c>
      <c r="F21" s="20" t="s">
        <v>400</v>
      </c>
      <c r="G21" s="20" t="s">
        <v>401</v>
      </c>
      <c r="H21" s="20" t="s">
        <v>94</v>
      </c>
      <c r="I21" s="38" t="s">
        <v>402</v>
      </c>
    </row>
    <row r="22" spans="1:9">
      <c r="B22" s="162" t="s">
        <v>737</v>
      </c>
      <c r="C22" s="118" t="s">
        <v>738</v>
      </c>
      <c r="D22" s="7"/>
      <c r="E22" s="37"/>
      <c r="F22" s="20"/>
      <c r="G22" s="20"/>
      <c r="H22" s="20"/>
      <c r="I22" s="142"/>
    </row>
    <row r="23" spans="1:9">
      <c r="B23" s="5" t="s">
        <v>40</v>
      </c>
      <c r="C23" s="20" t="s">
        <v>125</v>
      </c>
      <c r="D23" s="6"/>
      <c r="E23" s="6"/>
      <c r="F23" s="7"/>
      <c r="G23" s="7"/>
      <c r="H23" s="8"/>
    </row>
    <row r="24" spans="1:9">
      <c r="A24" s="146"/>
      <c r="B24" s="145"/>
      <c r="C24" s="147"/>
      <c r="D24" s="148"/>
      <c r="E24" s="148"/>
      <c r="F24" s="147"/>
      <c r="G24" s="7"/>
    </row>
    <row r="25" spans="1:9">
      <c r="A25" s="146"/>
      <c r="B25" s="149" t="s">
        <v>360</v>
      </c>
      <c r="C25" s="146"/>
      <c r="D25" s="146"/>
      <c r="E25" s="146"/>
      <c r="F25" s="146"/>
    </row>
    <row r="26" spans="1:9">
      <c r="A26" s="146"/>
      <c r="B26" s="150" t="s">
        <v>552</v>
      </c>
      <c r="C26" s="150" t="s">
        <v>551</v>
      </c>
      <c r="D26" s="146"/>
      <c r="E26" s="146"/>
      <c r="F26" s="146"/>
    </row>
    <row r="27" spans="1:9">
      <c r="A27" s="146"/>
      <c r="B27" s="151" t="s">
        <v>372</v>
      </c>
      <c r="C27" s="146"/>
      <c r="D27" s="146"/>
      <c r="E27" s="146"/>
      <c r="F27" s="146"/>
    </row>
    <row r="28" spans="1:9">
      <c r="A28" s="146"/>
      <c r="B28" s="151" t="s">
        <v>369</v>
      </c>
      <c r="C28" s="146"/>
      <c r="D28" s="146"/>
      <c r="E28" s="146"/>
      <c r="F28" s="146"/>
    </row>
    <row r="29" spans="1:9">
      <c r="A29" s="146"/>
      <c r="B29" s="150" t="s">
        <v>682</v>
      </c>
      <c r="C29" s="150" t="s">
        <v>551</v>
      </c>
      <c r="D29" s="146"/>
      <c r="E29" s="146"/>
      <c r="F29" s="146"/>
    </row>
    <row r="30" spans="1:9">
      <c r="A30" s="146"/>
      <c r="B30" s="150" t="s">
        <v>681</v>
      </c>
      <c r="C30" s="146"/>
      <c r="D30" s="146"/>
      <c r="E30" s="146"/>
      <c r="F30" s="146"/>
    </row>
    <row r="31" spans="1:9">
      <c r="A31" s="146"/>
      <c r="B31" s="152" t="s">
        <v>683</v>
      </c>
      <c r="C31" s="157" t="s">
        <v>56</v>
      </c>
      <c r="D31" s="148">
        <v>1</v>
      </c>
      <c r="E31" s="153" t="s">
        <v>51</v>
      </c>
      <c r="F31" s="147" t="s">
        <v>252</v>
      </c>
    </row>
    <row r="32" spans="1:9">
      <c r="A32" s="146"/>
      <c r="B32" s="150" t="s">
        <v>579</v>
      </c>
      <c r="C32" s="158" t="s">
        <v>580</v>
      </c>
      <c r="D32" s="150" t="s">
        <v>359</v>
      </c>
      <c r="E32" s="146"/>
      <c r="F32" s="146"/>
    </row>
    <row r="33" spans="1:11">
      <c r="A33" s="146"/>
      <c r="B33" s="151" t="s">
        <v>367</v>
      </c>
      <c r="C33" s="159"/>
      <c r="D33" s="146"/>
      <c r="E33" s="146"/>
      <c r="F33" s="146"/>
    </row>
    <row r="34" spans="1:11">
      <c r="A34" s="146"/>
      <c r="B34" s="151" t="s">
        <v>460</v>
      </c>
      <c r="C34" s="159"/>
      <c r="D34" s="146"/>
      <c r="E34" s="146"/>
      <c r="F34" s="146"/>
    </row>
    <row r="35" spans="1:11">
      <c r="A35" s="146"/>
      <c r="B35" s="151" t="s">
        <v>370</v>
      </c>
      <c r="C35" s="159"/>
      <c r="D35" s="146"/>
      <c r="E35" s="146"/>
      <c r="F35" s="159"/>
    </row>
    <row r="36" spans="1:11">
      <c r="A36" s="146"/>
      <c r="B36" s="151" t="s">
        <v>381</v>
      </c>
      <c r="C36" s="159"/>
      <c r="D36" s="146"/>
      <c r="E36" s="146"/>
      <c r="F36" s="159"/>
    </row>
    <row r="37" spans="1:11">
      <c r="A37" s="146"/>
      <c r="B37" s="151" t="s">
        <v>462</v>
      </c>
      <c r="C37" s="157" t="s">
        <v>251</v>
      </c>
      <c r="D37" s="148">
        <v>1</v>
      </c>
      <c r="E37" s="153" t="s">
        <v>51</v>
      </c>
      <c r="F37" s="157" t="s">
        <v>387</v>
      </c>
      <c r="G37" s="146"/>
      <c r="H37" s="146"/>
    </row>
    <row r="38" spans="1:11">
      <c r="A38" s="146"/>
      <c r="B38" s="154" t="s">
        <v>684</v>
      </c>
      <c r="C38" s="157" t="s">
        <v>389</v>
      </c>
      <c r="D38" s="148">
        <v>1</v>
      </c>
      <c r="E38" s="153" t="s">
        <v>51</v>
      </c>
      <c r="F38" s="157" t="s">
        <v>379</v>
      </c>
      <c r="G38" s="146"/>
      <c r="H38" s="146"/>
    </row>
    <row r="39" spans="1:11">
      <c r="A39" s="146"/>
      <c r="B39" s="151" t="s">
        <v>373</v>
      </c>
      <c r="C39" s="159"/>
      <c r="D39" s="146"/>
      <c r="E39" s="146"/>
      <c r="F39" s="159"/>
      <c r="G39" s="146"/>
      <c r="H39" s="146"/>
    </row>
    <row r="40" spans="1:11">
      <c r="A40" s="146"/>
      <c r="B40" s="152" t="s">
        <v>685</v>
      </c>
      <c r="C40" s="157" t="s">
        <v>56</v>
      </c>
      <c r="D40" s="148">
        <v>1</v>
      </c>
      <c r="E40" s="153" t="s">
        <v>57</v>
      </c>
      <c r="F40" s="157" t="s">
        <v>387</v>
      </c>
      <c r="G40" s="146"/>
      <c r="H40" s="146"/>
    </row>
    <row r="41" spans="1:11">
      <c r="A41" s="146"/>
      <c r="B41" s="151" t="s">
        <v>463</v>
      </c>
      <c r="C41" s="159"/>
      <c r="D41" s="146"/>
      <c r="E41" s="146"/>
      <c r="F41" s="159"/>
      <c r="G41" s="146"/>
      <c r="H41" s="146"/>
    </row>
    <row r="42" spans="1:11">
      <c r="A42" s="146"/>
      <c r="B42" s="150" t="s">
        <v>687</v>
      </c>
      <c r="C42" s="158" t="s">
        <v>688</v>
      </c>
      <c r="D42" s="146"/>
      <c r="E42" s="146"/>
      <c r="F42" s="158" t="s">
        <v>783</v>
      </c>
      <c r="G42" s="146"/>
      <c r="H42" s="146"/>
      <c r="K42" s="120"/>
    </row>
    <row r="43" spans="1:11">
      <c r="A43" s="146"/>
      <c r="B43" s="151" t="s">
        <v>371</v>
      </c>
      <c r="C43" s="159"/>
      <c r="D43" s="146"/>
      <c r="E43" s="146"/>
      <c r="F43" s="159"/>
      <c r="G43" s="146"/>
      <c r="H43" s="146"/>
      <c r="I43" s="146"/>
      <c r="J43" s="146"/>
    </row>
    <row r="44" spans="1:11">
      <c r="A44" s="146"/>
      <c r="B44" s="152" t="s">
        <v>686</v>
      </c>
      <c r="C44" s="159" t="s">
        <v>56</v>
      </c>
      <c r="D44" s="148">
        <v>1</v>
      </c>
      <c r="E44" s="153" t="s">
        <v>51</v>
      </c>
      <c r="F44" s="157" t="s">
        <v>368</v>
      </c>
      <c r="G44" s="146"/>
      <c r="H44" s="146"/>
      <c r="I44" s="146"/>
      <c r="J44" s="146"/>
    </row>
    <row r="45" spans="1:11">
      <c r="A45" s="146"/>
      <c r="B45" s="150" t="s">
        <v>571</v>
      </c>
      <c r="C45" s="158" t="s">
        <v>570</v>
      </c>
      <c r="D45" s="150" t="s">
        <v>126</v>
      </c>
      <c r="E45" s="147" t="s">
        <v>51</v>
      </c>
      <c r="F45" s="157" t="s">
        <v>362</v>
      </c>
      <c r="G45" s="153" t="s">
        <v>94</v>
      </c>
      <c r="H45" s="146"/>
      <c r="I45" s="146"/>
      <c r="J45" s="146"/>
    </row>
    <row r="46" spans="1:11">
      <c r="A46" s="146"/>
      <c r="B46" s="152" t="s">
        <v>689</v>
      </c>
      <c r="C46" s="157" t="s">
        <v>249</v>
      </c>
      <c r="D46" s="148">
        <v>1</v>
      </c>
      <c r="E46" s="153" t="s">
        <v>57</v>
      </c>
      <c r="F46" s="157" t="s">
        <v>383</v>
      </c>
      <c r="G46" s="146"/>
      <c r="H46" s="146"/>
      <c r="I46" s="146"/>
      <c r="J46" s="146"/>
    </row>
    <row r="47" spans="1:11">
      <c r="A47" s="146"/>
      <c r="B47" s="150" t="s">
        <v>558</v>
      </c>
      <c r="C47" s="158" t="s">
        <v>287</v>
      </c>
      <c r="D47" s="146"/>
      <c r="E47" s="146"/>
      <c r="F47" s="159"/>
      <c r="G47" s="146"/>
      <c r="H47" s="146"/>
      <c r="I47" s="146"/>
      <c r="J47" s="146"/>
    </row>
    <row r="48" spans="1:11">
      <c r="A48" s="146"/>
      <c r="B48" s="150" t="s">
        <v>568</v>
      </c>
      <c r="C48" s="158" t="s">
        <v>569</v>
      </c>
      <c r="D48" s="146"/>
      <c r="E48" s="146"/>
      <c r="F48" s="159"/>
      <c r="G48" s="146"/>
      <c r="H48" s="146"/>
      <c r="I48" s="146"/>
      <c r="J48" s="146"/>
    </row>
    <row r="49" spans="1:11">
      <c r="A49" s="146"/>
      <c r="B49" s="151" t="s">
        <v>380</v>
      </c>
      <c r="C49" s="159"/>
      <c r="D49" s="146"/>
      <c r="E49" s="146"/>
      <c r="F49" s="159"/>
      <c r="G49" s="146"/>
      <c r="H49" s="146"/>
      <c r="I49" s="146"/>
      <c r="J49" s="146"/>
    </row>
    <row r="50" spans="1:11">
      <c r="A50" s="146"/>
      <c r="B50" s="151" t="s">
        <v>366</v>
      </c>
      <c r="C50" s="159"/>
      <c r="D50" s="146"/>
      <c r="E50" s="146"/>
      <c r="F50" s="159"/>
      <c r="G50" s="146"/>
      <c r="H50" s="146"/>
      <c r="I50" s="146"/>
    </row>
    <row r="51" spans="1:11">
      <c r="A51" s="146"/>
      <c r="B51" s="152" t="s">
        <v>691</v>
      </c>
      <c r="C51" s="159" t="s">
        <v>249</v>
      </c>
      <c r="D51" s="148">
        <v>1</v>
      </c>
      <c r="E51" s="153" t="s">
        <v>51</v>
      </c>
      <c r="F51" s="159" t="s">
        <v>250</v>
      </c>
      <c r="G51" s="146"/>
      <c r="H51" s="146"/>
      <c r="I51" s="146"/>
    </row>
    <row r="52" spans="1:11">
      <c r="A52" s="146"/>
      <c r="B52" s="152" t="s">
        <v>692</v>
      </c>
      <c r="C52" s="157" t="s">
        <v>55</v>
      </c>
      <c r="D52" s="148">
        <v>1</v>
      </c>
      <c r="E52" s="153" t="s">
        <v>57</v>
      </c>
      <c r="F52" s="153" t="s">
        <v>382</v>
      </c>
      <c r="G52" s="146"/>
      <c r="H52" s="146"/>
      <c r="I52" s="146"/>
    </row>
    <row r="53" spans="1:11">
      <c r="A53" s="146"/>
      <c r="B53" s="151" t="s">
        <v>374</v>
      </c>
      <c r="C53" s="159"/>
      <c r="D53" s="146"/>
      <c r="E53" s="146"/>
      <c r="F53" s="159"/>
      <c r="G53" s="146"/>
      <c r="H53" s="146"/>
      <c r="I53" s="146"/>
    </row>
    <row r="54" spans="1:11">
      <c r="A54" s="146"/>
      <c r="B54" s="151" t="s">
        <v>461</v>
      </c>
      <c r="C54" s="159"/>
      <c r="D54" s="146"/>
      <c r="E54" s="146"/>
      <c r="F54" s="159"/>
      <c r="G54" s="146"/>
      <c r="H54" s="146"/>
      <c r="I54" s="146"/>
    </row>
    <row r="55" spans="1:11">
      <c r="A55" s="146"/>
      <c r="B55" s="154" t="s">
        <v>690</v>
      </c>
      <c r="C55" s="157" t="s">
        <v>378</v>
      </c>
      <c r="D55" s="148">
        <v>1</v>
      </c>
      <c r="E55" s="153" t="s">
        <v>51</v>
      </c>
      <c r="F55" s="157" t="s">
        <v>388</v>
      </c>
      <c r="G55" s="146"/>
      <c r="H55" s="146"/>
      <c r="I55" s="146"/>
    </row>
    <row r="56" spans="1:11">
      <c r="A56" s="146"/>
      <c r="B56" s="151" t="s">
        <v>376</v>
      </c>
      <c r="C56" s="159"/>
      <c r="D56" s="146"/>
      <c r="E56" s="146"/>
      <c r="F56" s="159"/>
      <c r="G56" s="146"/>
      <c r="H56" s="146"/>
      <c r="I56" s="146"/>
    </row>
    <row r="57" spans="1:11">
      <c r="A57" s="146"/>
      <c r="B57" s="154" t="s">
        <v>693</v>
      </c>
      <c r="C57" s="147" t="s">
        <v>357</v>
      </c>
      <c r="D57" s="148">
        <v>1</v>
      </c>
      <c r="E57" s="147" t="s">
        <v>51</v>
      </c>
      <c r="F57" s="147" t="s">
        <v>358</v>
      </c>
      <c r="G57" s="146"/>
      <c r="H57" s="146"/>
      <c r="I57" s="146"/>
    </row>
    <row r="58" spans="1:11">
      <c r="A58" s="146"/>
      <c r="B58" s="154" t="s">
        <v>833</v>
      </c>
      <c r="C58" s="147"/>
      <c r="D58" s="148"/>
      <c r="E58" s="147"/>
      <c r="F58" s="147" t="s">
        <v>834</v>
      </c>
      <c r="G58" s="146"/>
      <c r="H58" s="146"/>
      <c r="I58" s="146"/>
    </row>
    <row r="59" spans="1:11">
      <c r="A59" s="146"/>
      <c r="B59" s="151" t="s">
        <v>365</v>
      </c>
      <c r="C59" s="159" t="s">
        <v>111</v>
      </c>
      <c r="D59" s="146"/>
      <c r="E59" s="146"/>
      <c r="F59" s="159"/>
      <c r="G59" s="146"/>
      <c r="H59" s="146"/>
      <c r="I59" s="146"/>
    </row>
    <row r="60" spans="1:11">
      <c r="A60" s="146"/>
      <c r="B60" s="151" t="s">
        <v>364</v>
      </c>
      <c r="C60" s="159"/>
      <c r="D60" s="146"/>
      <c r="E60" s="146"/>
      <c r="F60" s="159"/>
      <c r="G60" s="146"/>
      <c r="H60" s="146"/>
      <c r="I60" s="146"/>
    </row>
    <row r="61" spans="1:11">
      <c r="A61" s="146"/>
      <c r="B61" s="151" t="s">
        <v>361</v>
      </c>
      <c r="C61" s="159"/>
      <c r="D61" s="146"/>
      <c r="E61" s="146"/>
      <c r="F61" s="146"/>
      <c r="G61" s="146"/>
      <c r="H61" s="146"/>
      <c r="I61" s="146"/>
    </row>
    <row r="62" spans="1:11">
      <c r="A62" s="146"/>
      <c r="B62" s="151" t="s">
        <v>375</v>
      </c>
      <c r="C62" s="146"/>
      <c r="D62" s="146"/>
      <c r="E62" s="146"/>
      <c r="F62" s="146"/>
      <c r="G62" s="146"/>
      <c r="H62" s="146"/>
      <c r="I62" s="146"/>
    </row>
    <row r="63" spans="1:11">
      <c r="A63" s="146"/>
      <c r="B63" s="151" t="s">
        <v>377</v>
      </c>
      <c r="C63" s="146"/>
      <c r="D63" s="146"/>
      <c r="E63" s="146"/>
      <c r="F63" s="146"/>
      <c r="G63" s="146"/>
      <c r="H63" s="146"/>
      <c r="I63" s="146"/>
      <c r="K63" s="11" t="s">
        <v>459</v>
      </c>
    </row>
    <row r="64" spans="1:11">
      <c r="A64" s="146"/>
      <c r="B64" s="151" t="s">
        <v>328</v>
      </c>
      <c r="C64" s="153" t="s">
        <v>329</v>
      </c>
      <c r="D64" s="153" t="s">
        <v>549</v>
      </c>
      <c r="E64" s="153" t="s">
        <v>52</v>
      </c>
      <c r="F64" s="153" t="s">
        <v>390</v>
      </c>
      <c r="G64" s="146"/>
      <c r="H64" s="146"/>
      <c r="I64" s="146"/>
    </row>
    <row r="65" spans="1:9">
      <c r="A65" s="146"/>
      <c r="B65" s="151" t="s">
        <v>441</v>
      </c>
      <c r="C65" s="146"/>
      <c r="D65" s="146"/>
      <c r="E65" s="146"/>
      <c r="F65" s="146"/>
      <c r="G65" s="146"/>
      <c r="H65" s="146"/>
      <c r="I65" s="146"/>
    </row>
    <row r="66" spans="1:9">
      <c r="A66" s="146"/>
      <c r="B66" s="151" t="s">
        <v>448</v>
      </c>
      <c r="C66" s="146"/>
      <c r="D66" s="146"/>
      <c r="E66" s="146"/>
      <c r="F66" s="146"/>
      <c r="G66" s="146"/>
      <c r="H66" s="146"/>
      <c r="I66" s="146"/>
    </row>
    <row r="67" spans="1:9">
      <c r="A67" s="146"/>
      <c r="B67" s="151" t="s">
        <v>391</v>
      </c>
      <c r="C67" s="150"/>
      <c r="D67" s="150"/>
      <c r="E67" s="150"/>
      <c r="F67" s="150"/>
      <c r="G67" s="150"/>
      <c r="H67" s="150"/>
      <c r="I67" s="150"/>
    </row>
    <row r="68" spans="1:9">
      <c r="A68" s="146"/>
      <c r="B68" s="151" t="s">
        <v>392</v>
      </c>
      <c r="C68" s="150"/>
      <c r="D68" s="150"/>
      <c r="E68" s="150"/>
      <c r="F68" s="150"/>
      <c r="G68" s="150"/>
      <c r="H68" s="150"/>
      <c r="I68" s="150"/>
    </row>
    <row r="69" spans="1:9">
      <c r="A69" s="146"/>
      <c r="B69" s="157" t="s">
        <v>350</v>
      </c>
      <c r="C69" s="156" t="s">
        <v>351</v>
      </c>
      <c r="D69" s="160" t="s">
        <v>548</v>
      </c>
      <c r="E69" s="156" t="s">
        <v>52</v>
      </c>
      <c r="F69" s="156" t="s">
        <v>352</v>
      </c>
      <c r="G69" s="156" t="s">
        <v>94</v>
      </c>
      <c r="H69" s="156" t="s">
        <v>353</v>
      </c>
      <c r="I69" s="150"/>
    </row>
    <row r="70" spans="1:9">
      <c r="A70" s="146"/>
      <c r="B70" s="151" t="s">
        <v>248</v>
      </c>
      <c r="C70" s="146"/>
      <c r="D70" s="146"/>
      <c r="E70" s="146"/>
      <c r="F70" s="146"/>
      <c r="G70" s="146"/>
      <c r="H70" s="146"/>
      <c r="I70" s="146"/>
    </row>
    <row r="71" spans="1:9">
      <c r="B71" s="11" t="s">
        <v>464</v>
      </c>
    </row>
    <row r="72" spans="1:9">
      <c r="B72" s="119" t="s">
        <v>831</v>
      </c>
      <c r="C72" t="s">
        <v>316</v>
      </c>
      <c r="F72" t="s">
        <v>832</v>
      </c>
    </row>
    <row r="73" spans="1:9">
      <c r="B73" s="119" t="s">
        <v>324</v>
      </c>
      <c r="F73" t="s">
        <v>838</v>
      </c>
    </row>
    <row r="74" spans="1:9">
      <c r="B74" s="119" t="s">
        <v>323</v>
      </c>
      <c r="C74" t="s">
        <v>836</v>
      </c>
      <c r="F74" t="s">
        <v>835</v>
      </c>
    </row>
    <row r="75" spans="1:9">
      <c r="B75" s="11" t="s">
        <v>170</v>
      </c>
    </row>
    <row r="76" spans="1:9">
      <c r="B76" s="12" t="s">
        <v>134</v>
      </c>
      <c r="C76" s="7" t="s">
        <v>53</v>
      </c>
      <c r="D76" s="6">
        <v>1</v>
      </c>
      <c r="E76" s="20" t="s">
        <v>279</v>
      </c>
      <c r="F76" s="7" t="s">
        <v>122</v>
      </c>
      <c r="G76" s="7" t="s">
        <v>94</v>
      </c>
    </row>
    <row r="77" spans="1:9">
      <c r="B77" s="30" t="s">
        <v>393</v>
      </c>
      <c r="C77" s="7" t="s">
        <v>54</v>
      </c>
      <c r="D77" s="7" t="s">
        <v>126</v>
      </c>
      <c r="E77" s="7" t="s">
        <v>51</v>
      </c>
      <c r="F77" s="20" t="s">
        <v>363</v>
      </c>
      <c r="G77" s="20" t="s">
        <v>94</v>
      </c>
      <c r="H77" s="8"/>
    </row>
    <row r="78" spans="1:9">
      <c r="B78" s="17" t="s">
        <v>355</v>
      </c>
      <c r="C78" s="7" t="s">
        <v>93</v>
      </c>
      <c r="D78" s="6">
        <v>1</v>
      </c>
      <c r="E78" s="7" t="s">
        <v>51</v>
      </c>
      <c r="F78" s="7" t="s">
        <v>356</v>
      </c>
      <c r="G78" s="7"/>
      <c r="H78" s="8"/>
    </row>
    <row r="79" spans="1:9">
      <c r="B79" s="30" t="s">
        <v>322</v>
      </c>
      <c r="C79" s="20" t="s">
        <v>125</v>
      </c>
      <c r="D79" s="6">
        <v>1</v>
      </c>
      <c r="E79" s="20" t="s">
        <v>57</v>
      </c>
      <c r="F79" s="20" t="s">
        <v>325</v>
      </c>
    </row>
    <row r="80" spans="1:9">
      <c r="B80" t="s">
        <v>113</v>
      </c>
      <c r="C80" t="s">
        <v>114</v>
      </c>
      <c r="D80" s="31" t="s">
        <v>294</v>
      </c>
      <c r="F80" t="s">
        <v>115</v>
      </c>
    </row>
    <row r="81" spans="2:9">
      <c r="B81" s="59" t="s">
        <v>394</v>
      </c>
      <c r="C81" s="20" t="s">
        <v>389</v>
      </c>
      <c r="D81" s="6">
        <v>1</v>
      </c>
      <c r="E81" s="20" t="s">
        <v>51</v>
      </c>
      <c r="F81" s="20" t="s">
        <v>379</v>
      </c>
    </row>
    <row r="82" spans="2:9">
      <c r="B82" s="62" t="s">
        <v>384</v>
      </c>
      <c r="C82" s="20" t="s">
        <v>249</v>
      </c>
      <c r="D82" s="6">
        <v>1</v>
      </c>
      <c r="E82" s="20" t="s">
        <v>57</v>
      </c>
      <c r="F82" s="20" t="s">
        <v>383</v>
      </c>
    </row>
    <row r="83" spans="2:9">
      <c r="B83" s="62" t="s">
        <v>385</v>
      </c>
      <c r="C83" s="20" t="s">
        <v>249</v>
      </c>
      <c r="D83" s="6">
        <v>1</v>
      </c>
      <c r="E83" s="20" t="s">
        <v>57</v>
      </c>
      <c r="F83" s="20" t="s">
        <v>386</v>
      </c>
    </row>
    <row r="84" spans="2:9">
      <c r="B84" s="31" t="s">
        <v>295</v>
      </c>
    </row>
    <row r="85" spans="2:9">
      <c r="B85" s="31" t="s">
        <v>296</v>
      </c>
    </row>
    <row r="86" spans="2:9">
      <c r="B86" s="31" t="s">
        <v>297</v>
      </c>
    </row>
    <row r="87" spans="2:9">
      <c r="B87" s="120" t="s">
        <v>632</v>
      </c>
      <c r="C87" s="120" t="s">
        <v>633</v>
      </c>
      <c r="I87" s="120" t="s">
        <v>807</v>
      </c>
    </row>
  </sheetData>
  <hyperlinks>
    <hyperlink ref="B76" location="Zactima!A1" display="Zactima" xr:uid="{00000000-0004-0000-0000-000009000000}"/>
    <hyperlink ref="B19" location="'Toprol-XL'!A1" display="Toprol XL" xr:uid="{00000000-0004-0000-0000-000006000000}"/>
    <hyperlink ref="B6" location="Atacand!A1" display="Atacand" xr:uid="{00000000-0004-0000-0000-000005000000}"/>
    <hyperlink ref="B11" location="Crestor!A1" display="Crestor" xr:uid="{5A900483-973F-4F3D-ADB4-620416E5D4AD}"/>
    <hyperlink ref="B14" location="'Nexium-Prilosec'!A1" display="Nexium" xr:uid="{0C970C23-5C52-48C3-B55D-49238936BD4A}"/>
    <hyperlink ref="B17" location="Seroquel!A1" display="Seroquel" xr:uid="{8913E2A4-8F49-4CF7-A160-574DBB9C1F30}"/>
    <hyperlink ref="B18" location="Seroquel!A1" display="Seroquel SR" xr:uid="{84B489DC-E3BD-4E8F-A278-559372F21E9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C728-DD65-49A0-847C-75A92E5E7781}">
  <dimension ref="A1:C21"/>
  <sheetViews>
    <sheetView zoomScale="145" zoomScaleNormal="145" workbookViewId="0"/>
  </sheetViews>
  <sheetFormatPr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671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5" spans="1:3">
      <c r="B5" s="120" t="s">
        <v>92</v>
      </c>
      <c r="C5" s="120" t="s">
        <v>732</v>
      </c>
    </row>
    <row r="6" spans="1:3">
      <c r="B6" s="120" t="s">
        <v>60</v>
      </c>
    </row>
    <row r="7" spans="1:3">
      <c r="B7" s="120"/>
      <c r="C7" s="121" t="s">
        <v>781</v>
      </c>
    </row>
    <row r="8" spans="1:3">
      <c r="B8" s="120"/>
      <c r="C8" s="166" t="s">
        <v>782</v>
      </c>
    </row>
    <row r="9" spans="1:3">
      <c r="B9" s="120"/>
    </row>
    <row r="10" spans="1:3">
      <c r="B10" s="120"/>
    </row>
    <row r="11" spans="1:3">
      <c r="C11" s="121" t="s">
        <v>778</v>
      </c>
    </row>
    <row r="12" spans="1:3">
      <c r="C12" s="120" t="s">
        <v>779</v>
      </c>
    </row>
    <row r="13" spans="1:3">
      <c r="C13" s="120" t="s">
        <v>780</v>
      </c>
    </row>
    <row r="14" spans="1:3">
      <c r="C14" s="120"/>
    </row>
    <row r="16" spans="1:3">
      <c r="B16" s="120" t="s">
        <v>666</v>
      </c>
      <c r="C16">
        <v>180</v>
      </c>
    </row>
    <row r="17" spans="2:3">
      <c r="B17" s="120" t="s">
        <v>668</v>
      </c>
      <c r="C17">
        <v>5</v>
      </c>
    </row>
    <row r="18" spans="2:3">
      <c r="B18" s="120" t="s">
        <v>669</v>
      </c>
      <c r="C18">
        <v>61</v>
      </c>
    </row>
    <row r="19" spans="2:3">
      <c r="B19" s="120" t="s">
        <v>670</v>
      </c>
      <c r="C19">
        <v>34</v>
      </c>
    </row>
    <row r="20" spans="2:3">
      <c r="B20" s="120" t="s">
        <v>706</v>
      </c>
      <c r="C20">
        <f>SUM(C16:C19)</f>
        <v>280</v>
      </c>
    </row>
    <row r="21" spans="2:3">
      <c r="B21" s="120" t="s">
        <v>716</v>
      </c>
      <c r="C21">
        <v>507</v>
      </c>
    </row>
  </sheetData>
  <hyperlinks>
    <hyperlink ref="A1" location="Main!A1" display="Main" xr:uid="{E21B6CAC-DFA7-4CDC-B00C-67D78C9FDBC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4FDD-2E26-4C06-918E-F4663300AAC4}">
  <dimension ref="A1:C11"/>
  <sheetViews>
    <sheetView zoomScale="190" zoomScaleNormal="190" workbookViewId="0"/>
  </sheetViews>
  <sheetFormatPr defaultRowHeight="12.75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516</v>
      </c>
    </row>
    <row r="3" spans="1:3">
      <c r="B3" s="120" t="s">
        <v>560</v>
      </c>
    </row>
    <row r="4" spans="1:3">
      <c r="B4" s="120" t="s">
        <v>1</v>
      </c>
      <c r="C4" s="120" t="s">
        <v>69</v>
      </c>
    </row>
    <row r="7" spans="1:3">
      <c r="B7" s="120" t="s">
        <v>666</v>
      </c>
      <c r="C7">
        <v>225</v>
      </c>
    </row>
    <row r="8" spans="1:3">
      <c r="A8" s="120"/>
      <c r="B8" s="120" t="s">
        <v>668</v>
      </c>
      <c r="C8">
        <v>131</v>
      </c>
    </row>
    <row r="9" spans="1:3">
      <c r="B9" s="120" t="s">
        <v>669</v>
      </c>
      <c r="C9">
        <v>65</v>
      </c>
    </row>
    <row r="10" spans="1:3">
      <c r="B10" s="120" t="s">
        <v>670</v>
      </c>
      <c r="C10">
        <v>33</v>
      </c>
    </row>
    <row r="11" spans="1:3">
      <c r="B11" s="120" t="s">
        <v>706</v>
      </c>
      <c r="C11">
        <f>SUM(C7:C10)</f>
        <v>454</v>
      </c>
    </row>
  </sheetData>
  <hyperlinks>
    <hyperlink ref="A1" location="Main!A1" display="Main" xr:uid="{0FC42C9A-B1A3-4C40-9337-00FA158A52B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6DCAB-2F80-434F-A5DB-6D085783520D}">
  <dimension ref="A1:C11"/>
  <sheetViews>
    <sheetView zoomScale="220" zoomScaleNormal="220" workbookViewId="0"/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A2" s="120"/>
      <c r="B2" s="120" t="s">
        <v>559</v>
      </c>
      <c r="C2" s="120" t="s">
        <v>657</v>
      </c>
    </row>
    <row r="3" spans="1:3">
      <c r="B3" s="120" t="s">
        <v>560</v>
      </c>
      <c r="C3" s="120" t="s">
        <v>658</v>
      </c>
    </row>
    <row r="4" spans="1:3">
      <c r="B4" s="120" t="s">
        <v>1</v>
      </c>
      <c r="C4" s="120" t="s">
        <v>659</v>
      </c>
    </row>
    <row r="5" spans="1:3">
      <c r="B5" s="120" t="s">
        <v>60</v>
      </c>
    </row>
    <row r="6" spans="1:3">
      <c r="C6" s="121" t="s">
        <v>660</v>
      </c>
    </row>
    <row r="10" spans="1:3">
      <c r="C10" s="121" t="s">
        <v>762</v>
      </c>
    </row>
    <row r="11" spans="1:3">
      <c r="C11" s="120" t="s">
        <v>763</v>
      </c>
    </row>
  </sheetData>
  <hyperlinks>
    <hyperlink ref="A1" location="Main!A1" display="Main" xr:uid="{D6769D66-A81E-4542-8408-4625A872829B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35F-5A36-46E1-A938-1C11FCF95610}">
  <dimension ref="A1:C5"/>
  <sheetViews>
    <sheetView zoomScale="205" zoomScaleNormal="205" workbookViewId="0"/>
  </sheetViews>
  <sheetFormatPr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627</v>
      </c>
    </row>
    <row r="3" spans="1:3">
      <c r="B3" s="120" t="s">
        <v>560</v>
      </c>
      <c r="C3" s="120" t="s">
        <v>639</v>
      </c>
    </row>
    <row r="4" spans="1:3">
      <c r="B4" s="120" t="s">
        <v>1</v>
      </c>
      <c r="C4" s="120" t="s">
        <v>629</v>
      </c>
    </row>
    <row r="5" spans="1:3">
      <c r="B5" s="120" t="s">
        <v>92</v>
      </c>
      <c r="C5" s="120" t="s">
        <v>739</v>
      </c>
    </row>
  </sheetData>
  <hyperlinks>
    <hyperlink ref="A1" location="Main!A1" display="Main" xr:uid="{44546DE8-1F39-4440-81C0-0FC0417819D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33E9-CB27-4627-9EBD-78D8F47D4F81}">
  <dimension ref="A1:C32"/>
  <sheetViews>
    <sheetView zoomScale="175" zoomScaleNormal="175" workbookViewId="0">
      <selection activeCell="C8" sqref="C8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508</v>
      </c>
    </row>
    <row r="3" spans="1:3">
      <c r="B3" s="120" t="s">
        <v>560</v>
      </c>
      <c r="C3" s="120" t="s">
        <v>645</v>
      </c>
    </row>
    <row r="4" spans="1:3">
      <c r="B4" s="120" t="s">
        <v>1</v>
      </c>
      <c r="C4" s="120" t="s">
        <v>662</v>
      </c>
    </row>
    <row r="5" spans="1:3">
      <c r="B5" s="120" t="s">
        <v>4</v>
      </c>
      <c r="C5" s="120" t="s">
        <v>817</v>
      </c>
    </row>
    <row r="6" spans="1:3">
      <c r="B6" s="120"/>
      <c r="C6" s="120" t="s">
        <v>846</v>
      </c>
    </row>
    <row r="7" spans="1:3">
      <c r="B7" s="120"/>
      <c r="C7" s="120" t="s">
        <v>847</v>
      </c>
    </row>
    <row r="8" spans="1:3">
      <c r="B8" s="120"/>
    </row>
    <row r="9" spans="1:3">
      <c r="B9" s="120" t="s">
        <v>60</v>
      </c>
    </row>
    <row r="10" spans="1:3">
      <c r="C10" s="121" t="s">
        <v>761</v>
      </c>
    </row>
    <row r="11" spans="1:3">
      <c r="C11" s="120" t="s">
        <v>759</v>
      </c>
    </row>
    <row r="12" spans="1:3">
      <c r="C12" s="120" t="s">
        <v>760</v>
      </c>
    </row>
    <row r="13" spans="1:3">
      <c r="C13" s="120"/>
    </row>
    <row r="14" spans="1:3">
      <c r="C14" s="121" t="s">
        <v>713</v>
      </c>
    </row>
    <row r="22" spans="2:3">
      <c r="B22" s="120" t="s">
        <v>666</v>
      </c>
      <c r="C22">
        <v>1048</v>
      </c>
    </row>
    <row r="23" spans="2:3">
      <c r="B23" s="120" t="s">
        <v>668</v>
      </c>
      <c r="C23">
        <v>75</v>
      </c>
    </row>
    <row r="24" spans="2:3">
      <c r="B24" s="120" t="s">
        <v>669</v>
      </c>
      <c r="C24">
        <v>320</v>
      </c>
    </row>
    <row r="25" spans="2:3">
      <c r="B25" s="120" t="s">
        <v>670</v>
      </c>
      <c r="C25">
        <v>65</v>
      </c>
    </row>
    <row r="26" spans="2:3">
      <c r="B26" s="120" t="s">
        <v>706</v>
      </c>
      <c r="C26">
        <f>SUM(C22:C25)</f>
        <v>1508</v>
      </c>
    </row>
    <row r="28" spans="2:3">
      <c r="B28" s="120" t="s">
        <v>666</v>
      </c>
      <c r="C28" s="141">
        <f>+C22/$C$26</f>
        <v>0.69496021220159154</v>
      </c>
    </row>
    <row r="29" spans="2:3">
      <c r="B29" s="120" t="s">
        <v>668</v>
      </c>
      <c r="C29" s="141">
        <f>+C23/$C$26</f>
        <v>4.9734748010610078E-2</v>
      </c>
    </row>
    <row r="30" spans="2:3">
      <c r="B30" s="120" t="s">
        <v>669</v>
      </c>
      <c r="C30" s="141">
        <f>+C24/$C$26</f>
        <v>0.21220159151193635</v>
      </c>
    </row>
    <row r="31" spans="2:3">
      <c r="B31" s="120" t="s">
        <v>670</v>
      </c>
      <c r="C31" s="141">
        <f>+C25/$C$26</f>
        <v>4.3103448275862072E-2</v>
      </c>
    </row>
    <row r="32" spans="2:3">
      <c r="B32" s="120"/>
    </row>
  </sheetData>
  <hyperlinks>
    <hyperlink ref="A1" location="Main!A1" display="Main" xr:uid="{4350F2E7-B440-4DC8-9456-DB4880931E3F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BB3-2FC1-4194-99FB-E758F91D22B3}">
  <dimension ref="A1:C19"/>
  <sheetViews>
    <sheetView zoomScale="220" zoomScaleNormal="220" workbookViewId="0">
      <selection activeCell="C9" sqref="C9"/>
    </sheetView>
  </sheetViews>
  <sheetFormatPr defaultColWidth="8.85546875" defaultRowHeight="12.75"/>
  <cols>
    <col min="1" max="1" width="5" bestFit="1" customWidth="1"/>
    <col min="2" max="2" width="10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522</v>
      </c>
    </row>
    <row r="3" spans="1:3">
      <c r="B3" s="120" t="s">
        <v>560</v>
      </c>
      <c r="C3" s="120" t="s">
        <v>561</v>
      </c>
    </row>
    <row r="4" spans="1:3">
      <c r="B4" s="120" t="s">
        <v>1</v>
      </c>
      <c r="C4" s="120" t="s">
        <v>562</v>
      </c>
    </row>
    <row r="5" spans="1:3">
      <c r="B5" s="120" t="s">
        <v>92</v>
      </c>
      <c r="C5" s="120" t="s">
        <v>563</v>
      </c>
    </row>
    <row r="6" spans="1:3">
      <c r="B6" s="120" t="s">
        <v>4</v>
      </c>
      <c r="C6" s="120" t="s">
        <v>820</v>
      </c>
    </row>
    <row r="7" spans="1:3">
      <c r="B7" s="120" t="s">
        <v>564</v>
      </c>
      <c r="C7" s="120" t="s">
        <v>557</v>
      </c>
    </row>
    <row r="9" spans="1:3">
      <c r="C9" s="163" t="s">
        <v>705</v>
      </c>
    </row>
    <row r="10" spans="1:3">
      <c r="B10" s="120" t="s">
        <v>666</v>
      </c>
      <c r="C10">
        <v>808</v>
      </c>
    </row>
    <row r="11" spans="1:3">
      <c r="B11" s="120" t="s">
        <v>668</v>
      </c>
      <c r="C11">
        <v>255</v>
      </c>
    </row>
    <row r="12" spans="1:3">
      <c r="B12" s="120" t="s">
        <v>669</v>
      </c>
      <c r="C12">
        <v>260</v>
      </c>
    </row>
    <row r="13" spans="1:3">
      <c r="B13" s="120" t="s">
        <v>670</v>
      </c>
      <c r="C13">
        <v>166</v>
      </c>
    </row>
    <row r="14" spans="1:3">
      <c r="B14" s="120" t="s">
        <v>706</v>
      </c>
      <c r="C14">
        <f>SUM(C10:C13)</f>
        <v>1489</v>
      </c>
    </row>
    <row r="16" spans="1:3">
      <c r="B16" s="120" t="s">
        <v>666</v>
      </c>
      <c r="C16" s="141">
        <f>+C10/$C$14</f>
        <v>0.54264607118871722</v>
      </c>
    </row>
    <row r="17" spans="2:3">
      <c r="B17" s="120" t="s">
        <v>668</v>
      </c>
      <c r="C17" s="141">
        <f>+C11/$C$14</f>
        <v>0.1712558764271323</v>
      </c>
    </row>
    <row r="18" spans="2:3">
      <c r="B18" s="120" t="s">
        <v>669</v>
      </c>
      <c r="C18" s="141">
        <f>+C12/$C$14</f>
        <v>0.17461383478844864</v>
      </c>
    </row>
    <row r="19" spans="2:3">
      <c r="B19" s="120" t="s">
        <v>670</v>
      </c>
      <c r="C19" s="141">
        <f>+C13/$C$14</f>
        <v>0.11148421759570182</v>
      </c>
    </row>
  </sheetData>
  <hyperlinks>
    <hyperlink ref="A1" location="Main!A1" display="Main" xr:uid="{21BCB9E6-B03D-4640-8DBE-F8B9C4C32AF4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1B09-347D-49F4-AB2B-6F7A7463E736}">
  <dimension ref="A1:C29"/>
  <sheetViews>
    <sheetView zoomScale="220" zoomScaleNormal="220" workbookViewId="0"/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509</v>
      </c>
    </row>
    <row r="3" spans="1:3">
      <c r="B3" s="120" t="s">
        <v>560</v>
      </c>
      <c r="C3" s="120" t="s">
        <v>654</v>
      </c>
    </row>
    <row r="4" spans="1:3">
      <c r="B4" s="120" t="s">
        <v>1</v>
      </c>
      <c r="C4" s="120" t="s">
        <v>653</v>
      </c>
    </row>
    <row r="5" spans="1:3">
      <c r="B5" s="120" t="s">
        <v>92</v>
      </c>
      <c r="C5" s="120" t="s">
        <v>717</v>
      </c>
    </row>
    <row r="6" spans="1:3">
      <c r="B6" s="120" t="s">
        <v>4</v>
      </c>
      <c r="C6" s="120" t="s">
        <v>816</v>
      </c>
    </row>
    <row r="7" spans="1:3">
      <c r="B7" s="120" t="s">
        <v>60</v>
      </c>
    </row>
    <row r="8" spans="1:3">
      <c r="B8" s="120"/>
      <c r="C8" s="120" t="s">
        <v>723</v>
      </c>
    </row>
    <row r="9" spans="1:3">
      <c r="B9" s="120"/>
    </row>
    <row r="10" spans="1:3">
      <c r="B10" s="120"/>
      <c r="C10" s="120" t="s">
        <v>724</v>
      </c>
    </row>
    <row r="11" spans="1:3">
      <c r="B11" s="120"/>
    </row>
    <row r="12" spans="1:3">
      <c r="B12" s="120"/>
    </row>
    <row r="13" spans="1:3">
      <c r="C13" s="121" t="s">
        <v>694</v>
      </c>
    </row>
    <row r="14" spans="1:3">
      <c r="C14" s="120" t="s">
        <v>758</v>
      </c>
    </row>
    <row r="16" spans="1:3">
      <c r="C16" s="121" t="s">
        <v>720</v>
      </c>
    </row>
    <row r="18" spans="2:3">
      <c r="C18" s="121" t="s">
        <v>721</v>
      </c>
    </row>
    <row r="20" spans="2:3">
      <c r="C20" s="121" t="s">
        <v>722</v>
      </c>
    </row>
    <row r="22" spans="2:3">
      <c r="C22" s="163" t="s">
        <v>705</v>
      </c>
    </row>
    <row r="23" spans="2:3">
      <c r="B23" s="120" t="s">
        <v>666</v>
      </c>
      <c r="C23">
        <v>414</v>
      </c>
    </row>
    <row r="24" spans="2:3">
      <c r="B24" s="120" t="s">
        <v>718</v>
      </c>
      <c r="C24">
        <v>865</v>
      </c>
    </row>
    <row r="25" spans="2:3">
      <c r="B25" s="120" t="s">
        <v>668</v>
      </c>
      <c r="C25">
        <v>224</v>
      </c>
    </row>
    <row r="26" spans="2:3">
      <c r="B26" s="120" t="s">
        <v>669</v>
      </c>
      <c r="C26">
        <v>263</v>
      </c>
    </row>
    <row r="27" spans="2:3">
      <c r="B27" s="120" t="s">
        <v>670</v>
      </c>
      <c r="C27">
        <v>31</v>
      </c>
    </row>
    <row r="28" spans="2:3">
      <c r="B28" s="120" t="s">
        <v>719</v>
      </c>
      <c r="C28">
        <f>+C23+C25+C26+C27</f>
        <v>932</v>
      </c>
    </row>
    <row r="29" spans="2:3">
      <c r="B29" s="120" t="s">
        <v>716</v>
      </c>
      <c r="C29">
        <v>1772</v>
      </c>
    </row>
  </sheetData>
  <hyperlinks>
    <hyperlink ref="A1" location="Main!A1" display="Main" xr:uid="{16C85278-336F-4571-A60E-FAF994FE26B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8BB-1DBF-436A-833E-0913FB793470}">
  <dimension ref="A1:C14"/>
  <sheetViews>
    <sheetView zoomScale="220" zoomScaleNormal="220" workbookViewId="0"/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515</v>
      </c>
    </row>
    <row r="3" spans="1:3">
      <c r="B3" s="120" t="s">
        <v>560</v>
      </c>
      <c r="C3" s="120" t="s">
        <v>729</v>
      </c>
    </row>
    <row r="4" spans="1:3">
      <c r="B4" s="120" t="s">
        <v>1</v>
      </c>
      <c r="C4" s="120" t="s">
        <v>730</v>
      </c>
    </row>
    <row r="5" spans="1:3">
      <c r="B5" s="120" t="s">
        <v>564</v>
      </c>
      <c r="C5" s="120" t="s">
        <v>731</v>
      </c>
    </row>
    <row r="6" spans="1:3">
      <c r="B6" s="120" t="s">
        <v>60</v>
      </c>
    </row>
    <row r="10" spans="1:3">
      <c r="B10" s="120" t="s">
        <v>666</v>
      </c>
      <c r="C10">
        <v>478</v>
      </c>
    </row>
    <row r="11" spans="1:3">
      <c r="B11" s="120" t="s">
        <v>668</v>
      </c>
      <c r="C11">
        <v>41</v>
      </c>
    </row>
    <row r="12" spans="1:3">
      <c r="B12" s="120" t="s">
        <v>669</v>
      </c>
      <c r="C12">
        <v>192</v>
      </c>
    </row>
    <row r="13" spans="1:3">
      <c r="B13" s="120" t="s">
        <v>670</v>
      </c>
      <c r="C13">
        <v>70</v>
      </c>
    </row>
    <row r="14" spans="1:3">
      <c r="B14" s="120" t="s">
        <v>706</v>
      </c>
      <c r="C14">
        <f>SUM(C10:C13)</f>
        <v>781</v>
      </c>
    </row>
  </sheetData>
  <hyperlinks>
    <hyperlink ref="A1" location="Main!A1" display="Main" xr:uid="{6B6D5655-DDEF-4CF7-88C4-65BFB46A527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0"/>
  <sheetViews>
    <sheetView zoomScale="125" workbookViewId="0"/>
  </sheetViews>
  <sheetFormatPr defaultColWidth="8.85546875" defaultRowHeight="12.75"/>
  <cols>
    <col min="1" max="1" width="5" bestFit="1" customWidth="1"/>
    <col min="2" max="2" width="12.85546875" bestFit="1" customWidth="1"/>
  </cols>
  <sheetData>
    <row r="1" spans="1:3">
      <c r="A1" s="94" t="s">
        <v>65</v>
      </c>
    </row>
    <row r="2" spans="1:3">
      <c r="B2" t="s">
        <v>78</v>
      </c>
      <c r="C2" s="120" t="s">
        <v>511</v>
      </c>
    </row>
    <row r="3" spans="1:3">
      <c r="B3" t="s">
        <v>82</v>
      </c>
      <c r="C3" s="120" t="s">
        <v>601</v>
      </c>
    </row>
    <row r="4" spans="1:3">
      <c r="B4" t="s">
        <v>92</v>
      </c>
      <c r="C4" s="120" t="s">
        <v>726</v>
      </c>
    </row>
    <row r="5" spans="1:3">
      <c r="B5" s="120" t="s">
        <v>564</v>
      </c>
      <c r="C5" s="120" t="s">
        <v>602</v>
      </c>
    </row>
    <row r="6" spans="1:3">
      <c r="B6" s="120" t="s">
        <v>4</v>
      </c>
      <c r="C6" s="120" t="s">
        <v>603</v>
      </c>
    </row>
    <row r="7" spans="1:3">
      <c r="B7" s="120"/>
      <c r="C7" s="120" t="s">
        <v>604</v>
      </c>
    </row>
    <row r="8" spans="1:3">
      <c r="B8" t="s">
        <v>60</v>
      </c>
    </row>
    <row r="9" spans="1:3">
      <c r="C9" s="121" t="s">
        <v>243</v>
      </c>
    </row>
    <row r="10" spans="1:3">
      <c r="C10" t="s">
        <v>244</v>
      </c>
    </row>
    <row r="13" spans="1:3">
      <c r="C13" s="121" t="s">
        <v>764</v>
      </c>
    </row>
    <row r="21" spans="2:3">
      <c r="B21" s="120" t="s">
        <v>666</v>
      </c>
      <c r="C21">
        <v>869</v>
      </c>
    </row>
    <row r="22" spans="2:3">
      <c r="B22" s="120" t="s">
        <v>668</v>
      </c>
      <c r="C22">
        <v>1474</v>
      </c>
    </row>
    <row r="23" spans="2:3">
      <c r="B23" s="120" t="s">
        <v>669</v>
      </c>
      <c r="C23">
        <v>1233</v>
      </c>
    </row>
    <row r="24" spans="2:3">
      <c r="B24" s="120" t="s">
        <v>725</v>
      </c>
      <c r="C24">
        <v>260</v>
      </c>
    </row>
    <row r="25" spans="2:3">
      <c r="B25" s="120" t="s">
        <v>706</v>
      </c>
      <c r="C25">
        <f>SUM(C21:C24)</f>
        <v>3836</v>
      </c>
    </row>
    <row r="27" spans="2:3">
      <c r="B27" s="120" t="s">
        <v>666</v>
      </c>
      <c r="C27" s="141">
        <f>+C21/$C$25</f>
        <v>0.22653806047966632</v>
      </c>
    </row>
    <row r="28" spans="2:3">
      <c r="B28" s="120" t="s">
        <v>668</v>
      </c>
      <c r="C28" s="141">
        <f>+C22/$C$25</f>
        <v>0.38425443169968715</v>
      </c>
    </row>
    <row r="29" spans="2:3">
      <c r="B29" s="120" t="s">
        <v>669</v>
      </c>
      <c r="C29" s="141">
        <f>+C23/$C$25</f>
        <v>0.32142857142857145</v>
      </c>
    </row>
    <row r="30" spans="2:3">
      <c r="B30" s="120" t="s">
        <v>725</v>
      </c>
      <c r="C30" s="141">
        <f>+C24/$C$25</f>
        <v>6.7778936392075079E-2</v>
      </c>
    </row>
  </sheetData>
  <phoneticPr fontId="3" type="noConversion"/>
  <hyperlinks>
    <hyperlink ref="A1" location="Main!A1" display="Main" xr:uid="{00000000-0004-0000-1300-000000000000}"/>
  </hyperlinks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1571-91DB-4287-B898-A9641BCEDE4F}">
  <dimension ref="A1:E46"/>
  <sheetViews>
    <sheetView zoomScale="190" zoomScaleNormal="190" workbookViewId="0"/>
  </sheetViews>
  <sheetFormatPr defaultColWidth="8.85546875" defaultRowHeight="12.75"/>
  <cols>
    <col min="1" max="1" width="5" bestFit="1" customWidth="1"/>
    <col min="2" max="2" width="12.28515625" customWidth="1"/>
  </cols>
  <sheetData>
    <row r="1" spans="1:3">
      <c r="A1" s="15" t="s">
        <v>65</v>
      </c>
    </row>
    <row r="2" spans="1:3">
      <c r="B2" s="120" t="s">
        <v>559</v>
      </c>
      <c r="C2" s="120" t="s">
        <v>574</v>
      </c>
    </row>
    <row r="3" spans="1:3">
      <c r="B3" s="120" t="s">
        <v>560</v>
      </c>
      <c r="C3" s="120" t="s">
        <v>575</v>
      </c>
    </row>
    <row r="4" spans="1:3">
      <c r="B4" s="120" t="s">
        <v>564</v>
      </c>
      <c r="C4" s="120" t="s">
        <v>581</v>
      </c>
    </row>
    <row r="5" spans="1:3">
      <c r="B5" s="120" t="s">
        <v>1</v>
      </c>
      <c r="C5" s="120" t="s">
        <v>582</v>
      </c>
    </row>
    <row r="6" spans="1:3">
      <c r="B6" s="120" t="s">
        <v>92</v>
      </c>
      <c r="C6" s="120" t="s">
        <v>584</v>
      </c>
    </row>
    <row r="7" spans="1:3">
      <c r="B7" s="120" t="s">
        <v>587</v>
      </c>
      <c r="C7" s="120" t="s">
        <v>590</v>
      </c>
    </row>
    <row r="8" spans="1:3">
      <c r="B8" s="120" t="s">
        <v>4</v>
      </c>
      <c r="C8" s="120" t="s">
        <v>819</v>
      </c>
    </row>
    <row r="9" spans="1:3">
      <c r="B9" s="120"/>
      <c r="C9" s="120" t="s">
        <v>821</v>
      </c>
    </row>
    <row r="10" spans="1:3">
      <c r="B10" s="120"/>
      <c r="C10" s="120" t="s">
        <v>592</v>
      </c>
    </row>
    <row r="11" spans="1:3">
      <c r="B11" s="120"/>
      <c r="C11" s="120" t="s">
        <v>591</v>
      </c>
    </row>
    <row r="12" spans="1:3">
      <c r="B12" s="120"/>
      <c r="C12" s="120" t="s">
        <v>596</v>
      </c>
    </row>
    <row r="13" spans="1:3">
      <c r="B13" s="120"/>
      <c r="C13" s="120" t="s">
        <v>595</v>
      </c>
    </row>
    <row r="14" spans="1:3">
      <c r="B14" s="120"/>
      <c r="C14" s="120" t="s">
        <v>594</v>
      </c>
    </row>
    <row r="15" spans="1:3">
      <c r="B15" s="120"/>
      <c r="C15" s="120" t="s">
        <v>593</v>
      </c>
    </row>
    <row r="16" spans="1:3">
      <c r="B16" s="120" t="s">
        <v>60</v>
      </c>
    </row>
    <row r="17" spans="3:3">
      <c r="C17" s="121" t="s">
        <v>585</v>
      </c>
    </row>
    <row r="19" spans="3:3">
      <c r="C19" s="121" t="s">
        <v>586</v>
      </c>
    </row>
    <row r="21" spans="3:3">
      <c r="C21" s="121" t="s">
        <v>589</v>
      </c>
    </row>
    <row r="22" spans="3:3">
      <c r="C22" s="120" t="s">
        <v>588</v>
      </c>
    </row>
    <row r="24" spans="3:3">
      <c r="C24" s="121" t="s">
        <v>599</v>
      </c>
    </row>
    <row r="25" spans="3:3">
      <c r="C25" s="120" t="s">
        <v>597</v>
      </c>
    </row>
    <row r="26" spans="3:3">
      <c r="C26" s="120" t="s">
        <v>598</v>
      </c>
    </row>
    <row r="29" spans="3:3">
      <c r="C29" s="121" t="s">
        <v>714</v>
      </c>
    </row>
    <row r="31" spans="3:3">
      <c r="C31" s="121" t="s">
        <v>715</v>
      </c>
    </row>
    <row r="33" spans="2:5">
      <c r="E33" s="121" t="s">
        <v>656</v>
      </c>
    </row>
    <row r="34" spans="2:5">
      <c r="E34" s="120" t="s">
        <v>655</v>
      </c>
    </row>
    <row r="35" spans="2:5">
      <c r="E35" s="120" t="s">
        <v>673</v>
      </c>
    </row>
    <row r="37" spans="2:5">
      <c r="B37" s="120" t="s">
        <v>666</v>
      </c>
      <c r="C37">
        <v>607</v>
      </c>
    </row>
    <row r="38" spans="2:5">
      <c r="B38" s="120" t="s">
        <v>668</v>
      </c>
      <c r="C38">
        <v>320</v>
      </c>
    </row>
    <row r="39" spans="2:5">
      <c r="B39" s="120" t="s">
        <v>669</v>
      </c>
      <c r="C39">
        <v>398</v>
      </c>
    </row>
    <row r="40" spans="2:5">
      <c r="B40" s="120" t="s">
        <v>670</v>
      </c>
      <c r="C40">
        <v>125</v>
      </c>
    </row>
    <row r="41" spans="2:5">
      <c r="B41" s="120" t="s">
        <v>706</v>
      </c>
      <c r="C41">
        <f>SUM(C37:C40)</f>
        <v>1450</v>
      </c>
    </row>
    <row r="43" spans="2:5">
      <c r="B43" s="120" t="s">
        <v>666</v>
      </c>
      <c r="C43" s="141">
        <f>+C37/$C$41</f>
        <v>0.41862068965517241</v>
      </c>
    </row>
    <row r="44" spans="2:5">
      <c r="B44" s="120" t="s">
        <v>668</v>
      </c>
      <c r="C44" s="141">
        <f>+C38/$C$41</f>
        <v>0.22068965517241379</v>
      </c>
    </row>
    <row r="45" spans="2:5">
      <c r="B45" s="120" t="s">
        <v>669</v>
      </c>
      <c r="C45" s="141">
        <f>+C39/$C$41</f>
        <v>0.27448275862068966</v>
      </c>
    </row>
    <row r="46" spans="2:5">
      <c r="B46" s="120" t="s">
        <v>670</v>
      </c>
      <c r="C46" s="141">
        <f>+C40/$C$41</f>
        <v>8.6206896551724144E-2</v>
      </c>
    </row>
  </sheetData>
  <hyperlinks>
    <hyperlink ref="A1" location="Main!A1" display="Main" xr:uid="{EE605A43-45E0-4E35-9057-DE3E7709B61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opLeftCell="A19" zoomScale="145" zoomScaleNormal="145" workbookViewId="0">
      <selection activeCell="B46" sqref="B46"/>
    </sheetView>
  </sheetViews>
  <sheetFormatPr defaultColWidth="9.140625" defaultRowHeight="12.75"/>
  <cols>
    <col min="1" max="1" width="2.7109375" style="1" customWidth="1"/>
    <col min="2" max="2" width="22.28515625" style="1" customWidth="1"/>
    <col min="3" max="3" width="17.85546875" style="1" customWidth="1"/>
    <col min="4" max="4" width="10.28515625" style="1" customWidth="1"/>
    <col min="5" max="5" width="13.42578125" style="1" customWidth="1"/>
    <col min="6" max="6" width="15.42578125" style="1" customWidth="1"/>
    <col min="7" max="7" width="12.140625" style="1" customWidth="1"/>
    <col min="8" max="8" width="10.42578125" style="1" customWidth="1"/>
    <col min="9" max="9" width="7" style="1" customWidth="1"/>
    <col min="10" max="10" width="9.28515625" style="1" customWidth="1"/>
    <col min="11" max="11" width="12.42578125" style="1" customWidth="1"/>
    <col min="12" max="12" width="9.28515625" style="1" bestFit="1" customWidth="1"/>
    <col min="13" max="13" width="7" style="1" customWidth="1"/>
    <col min="14" max="16384" width="9.140625" style="1"/>
  </cols>
  <sheetData>
    <row r="1" spans="1:12">
      <c r="A1" s="11"/>
    </row>
    <row r="2" spans="1:12">
      <c r="B2" s="2" t="s">
        <v>0</v>
      </c>
      <c r="C2" s="3" t="s">
        <v>1</v>
      </c>
      <c r="D2" s="3" t="s">
        <v>2</v>
      </c>
      <c r="E2" s="54" t="s">
        <v>336</v>
      </c>
      <c r="F2" s="3" t="s">
        <v>112</v>
      </c>
      <c r="G2" s="3" t="s">
        <v>96</v>
      </c>
      <c r="H2" s="4" t="s">
        <v>4</v>
      </c>
      <c r="J2" s="1" t="s">
        <v>179</v>
      </c>
      <c r="K2" s="26">
        <v>64</v>
      </c>
    </row>
    <row r="3" spans="1:12">
      <c r="B3" s="12" t="s">
        <v>553</v>
      </c>
      <c r="C3" s="118" t="s">
        <v>554</v>
      </c>
      <c r="D3" s="6">
        <v>1</v>
      </c>
      <c r="E3" s="21">
        <v>39157</v>
      </c>
      <c r="F3" s="118" t="s">
        <v>557</v>
      </c>
      <c r="G3" s="118" t="s">
        <v>555</v>
      </c>
      <c r="H3" s="126" t="s">
        <v>823</v>
      </c>
      <c r="J3" s="1" t="s">
        <v>180</v>
      </c>
      <c r="K3" s="24">
        <f>1560*2</f>
        <v>3120</v>
      </c>
      <c r="L3" s="133" t="s">
        <v>607</v>
      </c>
    </row>
    <row r="4" spans="1:12">
      <c r="B4" s="12" t="s">
        <v>545</v>
      </c>
      <c r="C4" s="118" t="s">
        <v>9</v>
      </c>
      <c r="D4" s="6">
        <v>1</v>
      </c>
      <c r="E4" s="21">
        <v>42321</v>
      </c>
      <c r="F4" s="118" t="s">
        <v>567</v>
      </c>
      <c r="G4" s="7" t="s">
        <v>94</v>
      </c>
      <c r="H4" s="8">
        <v>2032</v>
      </c>
      <c r="J4" s="1" t="s">
        <v>213</v>
      </c>
      <c r="K4" s="24">
        <f>K2*K3</f>
        <v>199680</v>
      </c>
    </row>
    <row r="5" spans="1:12">
      <c r="B5" s="12" t="s">
        <v>615</v>
      </c>
      <c r="C5" s="118" t="s">
        <v>9</v>
      </c>
      <c r="D5" s="6">
        <v>1</v>
      </c>
      <c r="E5" s="21">
        <v>42856</v>
      </c>
      <c r="F5" s="118" t="s">
        <v>556</v>
      </c>
      <c r="G5" s="118" t="s">
        <v>555</v>
      </c>
      <c r="H5" s="8"/>
      <c r="J5" s="1" t="s">
        <v>183</v>
      </c>
      <c r="K5" s="24">
        <v>0</v>
      </c>
      <c r="L5" s="133" t="s">
        <v>607</v>
      </c>
    </row>
    <row r="6" spans="1:12">
      <c r="B6" s="12" t="s">
        <v>550</v>
      </c>
      <c r="C6" s="7" t="s">
        <v>163</v>
      </c>
      <c r="D6" s="7" t="s">
        <v>164</v>
      </c>
      <c r="E6" s="37">
        <v>41647</v>
      </c>
      <c r="F6" s="7" t="s">
        <v>354</v>
      </c>
      <c r="G6" s="20" t="s">
        <v>94</v>
      </c>
      <c r="H6" s="8">
        <v>2025</v>
      </c>
      <c r="J6" s="1" t="s">
        <v>184</v>
      </c>
      <c r="K6" s="24">
        <v>26324</v>
      </c>
      <c r="L6" s="133" t="s">
        <v>607</v>
      </c>
    </row>
    <row r="7" spans="1:12">
      <c r="B7" s="12" t="s">
        <v>49</v>
      </c>
      <c r="C7" s="7" t="s">
        <v>69</v>
      </c>
      <c r="D7" s="6">
        <v>1</v>
      </c>
      <c r="E7" s="6"/>
      <c r="F7" s="118" t="s">
        <v>734</v>
      </c>
      <c r="G7" s="7" t="s">
        <v>121</v>
      </c>
      <c r="H7" s="8"/>
      <c r="J7" s="1" t="s">
        <v>212</v>
      </c>
      <c r="K7" s="24">
        <f>K4-K5+K6</f>
        <v>226004</v>
      </c>
    </row>
    <row r="8" spans="1:12">
      <c r="B8" s="16" t="s">
        <v>233</v>
      </c>
      <c r="C8" s="7" t="s">
        <v>163</v>
      </c>
      <c r="D8" s="6" t="s">
        <v>164</v>
      </c>
      <c r="E8" s="6"/>
      <c r="F8" s="20" t="s">
        <v>281</v>
      </c>
      <c r="G8" s="7" t="s">
        <v>94</v>
      </c>
      <c r="H8" s="8"/>
      <c r="J8" s="23"/>
      <c r="K8" s="122"/>
    </row>
    <row r="9" spans="1:12">
      <c r="B9" s="12" t="s">
        <v>298</v>
      </c>
      <c r="C9" s="7" t="s">
        <v>10</v>
      </c>
      <c r="D9" s="6">
        <v>1</v>
      </c>
      <c r="E9" s="20"/>
      <c r="F9" s="7" t="s">
        <v>165</v>
      </c>
      <c r="G9" s="7" t="s">
        <v>94</v>
      </c>
      <c r="H9" s="8"/>
      <c r="J9" s="128" t="s">
        <v>605</v>
      </c>
      <c r="K9" s="122"/>
    </row>
    <row r="10" spans="1:12">
      <c r="B10" s="12" t="s">
        <v>573</v>
      </c>
      <c r="C10" s="7" t="s">
        <v>125</v>
      </c>
      <c r="D10" s="125" t="s">
        <v>583</v>
      </c>
      <c r="E10" s="21">
        <v>41992</v>
      </c>
      <c r="F10" s="7" t="s">
        <v>127</v>
      </c>
      <c r="G10" s="7" t="s">
        <v>94</v>
      </c>
      <c r="H10" s="126">
        <v>2024</v>
      </c>
      <c r="J10" s="128" t="s">
        <v>772</v>
      </c>
      <c r="K10" s="122"/>
    </row>
    <row r="11" spans="1:12">
      <c r="B11" s="12" t="s">
        <v>572</v>
      </c>
      <c r="C11" s="118" t="s">
        <v>554</v>
      </c>
      <c r="D11" s="6">
        <v>1</v>
      </c>
      <c r="E11" s="21">
        <v>43455</v>
      </c>
      <c r="F11" s="118" t="s">
        <v>557</v>
      </c>
      <c r="G11" s="118" t="s">
        <v>555</v>
      </c>
      <c r="H11" s="8"/>
      <c r="J11" s="128" t="s">
        <v>870</v>
      </c>
      <c r="K11" s="122"/>
    </row>
    <row r="12" spans="1:12">
      <c r="B12" s="12" t="s">
        <v>646</v>
      </c>
      <c r="C12" s="118" t="s">
        <v>647</v>
      </c>
      <c r="D12" s="125" t="s">
        <v>648</v>
      </c>
      <c r="E12" s="21">
        <v>43039</v>
      </c>
      <c r="F12" s="118" t="s">
        <v>649</v>
      </c>
      <c r="G12" s="118" t="s">
        <v>94</v>
      </c>
      <c r="H12" s="8"/>
      <c r="J12" s="23"/>
      <c r="K12" s="122"/>
    </row>
    <row r="13" spans="1:12">
      <c r="B13" s="12" t="s">
        <v>618</v>
      </c>
      <c r="C13" s="118" t="s">
        <v>69</v>
      </c>
      <c r="D13" s="125" t="s">
        <v>733</v>
      </c>
      <c r="F13" s="7"/>
      <c r="G13" s="7"/>
      <c r="H13" s="8"/>
      <c r="J13" s="23"/>
      <c r="K13" s="122"/>
    </row>
    <row r="14" spans="1:12">
      <c r="B14" s="12" t="s">
        <v>652</v>
      </c>
      <c r="C14" s="118" t="s">
        <v>653</v>
      </c>
      <c r="D14" s="125" t="s">
        <v>650</v>
      </c>
      <c r="E14" s="21">
        <v>43819</v>
      </c>
      <c r="F14" s="118" t="s">
        <v>651</v>
      </c>
      <c r="G14" s="118" t="s">
        <v>555</v>
      </c>
      <c r="H14" s="8"/>
      <c r="J14" s="23"/>
      <c r="K14" s="122"/>
    </row>
    <row r="15" spans="1:12">
      <c r="B15" s="12" t="s">
        <v>728</v>
      </c>
      <c r="C15" s="118" t="s">
        <v>69</v>
      </c>
      <c r="D15" s="6"/>
      <c r="F15" s="118" t="s">
        <v>727</v>
      </c>
      <c r="G15" s="7"/>
      <c r="H15" s="8"/>
      <c r="J15" s="23"/>
      <c r="K15" s="122"/>
    </row>
    <row r="16" spans="1:12">
      <c r="B16" s="12" t="s">
        <v>746</v>
      </c>
      <c r="C16" s="118" t="s">
        <v>745</v>
      </c>
      <c r="D16" s="6">
        <v>1</v>
      </c>
      <c r="F16" s="118"/>
      <c r="G16" s="118" t="s">
        <v>555</v>
      </c>
      <c r="H16" s="8"/>
      <c r="J16" s="23"/>
      <c r="K16" s="122"/>
    </row>
    <row r="17" spans="2:11">
      <c r="B17" s="12" t="s">
        <v>664</v>
      </c>
      <c r="C17" s="118" t="s">
        <v>69</v>
      </c>
      <c r="D17" s="6"/>
      <c r="E17" s="21">
        <v>44035</v>
      </c>
      <c r="F17" s="118" t="s">
        <v>665</v>
      </c>
      <c r="G17" s="118" t="s">
        <v>121</v>
      </c>
      <c r="H17" s="8"/>
      <c r="J17" s="23"/>
      <c r="K17" s="122"/>
    </row>
    <row r="18" spans="2:11">
      <c r="B18" s="12" t="s">
        <v>620</v>
      </c>
      <c r="C18" s="118" t="s">
        <v>629</v>
      </c>
      <c r="D18" s="125" t="s">
        <v>628</v>
      </c>
      <c r="E18" s="21">
        <v>45124</v>
      </c>
      <c r="F18" s="7"/>
      <c r="G18" s="118" t="s">
        <v>555</v>
      </c>
      <c r="H18" s="8"/>
      <c r="J18" s="23"/>
      <c r="K18" s="122"/>
    </row>
    <row r="19" spans="2:11">
      <c r="B19" s="12" t="s">
        <v>616</v>
      </c>
      <c r="C19" s="118" t="s">
        <v>630</v>
      </c>
      <c r="D19" s="125"/>
      <c r="F19" s="7"/>
      <c r="G19" s="7"/>
      <c r="H19" s="8"/>
      <c r="J19" s="161" t="s">
        <v>697</v>
      </c>
      <c r="K19" s="122"/>
    </row>
    <row r="20" spans="2:11">
      <c r="B20" s="12" t="s">
        <v>614</v>
      </c>
      <c r="C20" s="118"/>
      <c r="D20" s="125"/>
      <c r="F20" s="118" t="s">
        <v>755</v>
      </c>
      <c r="G20" s="118" t="s">
        <v>555</v>
      </c>
      <c r="H20" s="8"/>
      <c r="J20" s="128" t="s">
        <v>698</v>
      </c>
      <c r="K20" s="122"/>
    </row>
    <row r="21" spans="2:11">
      <c r="B21" s="12" t="s">
        <v>826</v>
      </c>
      <c r="C21" s="118" t="s">
        <v>316</v>
      </c>
      <c r="D21" s="125">
        <v>1</v>
      </c>
      <c r="F21" s="118" t="s">
        <v>830</v>
      </c>
      <c r="G21" s="118"/>
      <c r="H21" s="8"/>
      <c r="J21" s="128"/>
      <c r="K21" s="122"/>
    </row>
    <row r="22" spans="2:11">
      <c r="B22" s="168" t="s">
        <v>512</v>
      </c>
      <c r="C22" s="118"/>
      <c r="D22" s="125"/>
      <c r="F22" s="118"/>
      <c r="G22" s="118"/>
      <c r="H22" s="126" t="s">
        <v>818</v>
      </c>
      <c r="J22" s="161"/>
      <c r="K22" s="122"/>
    </row>
    <row r="23" spans="2:11">
      <c r="B23" s="12" t="s">
        <v>544</v>
      </c>
      <c r="C23" s="7" t="s">
        <v>543</v>
      </c>
      <c r="D23" s="118" t="s">
        <v>747</v>
      </c>
      <c r="F23" s="7" t="s">
        <v>547</v>
      </c>
      <c r="G23" s="7" t="s">
        <v>94</v>
      </c>
      <c r="H23" s="27"/>
      <c r="K23" s="122"/>
    </row>
    <row r="24" spans="2:11">
      <c r="B24" s="116" t="s">
        <v>255</v>
      </c>
      <c r="C24" s="9" t="s">
        <v>9</v>
      </c>
      <c r="D24" s="117">
        <v>1</v>
      </c>
      <c r="E24" s="117"/>
      <c r="F24" s="9" t="s">
        <v>120</v>
      </c>
      <c r="G24" s="9" t="s">
        <v>94</v>
      </c>
      <c r="H24" s="61"/>
      <c r="K24" s="24"/>
    </row>
    <row r="25" spans="2:11">
      <c r="B25" s="2"/>
      <c r="C25" s="3"/>
      <c r="D25" s="3"/>
      <c r="E25" s="3" t="s">
        <v>5</v>
      </c>
      <c r="F25" s="3"/>
      <c r="G25" s="3"/>
      <c r="H25" s="4"/>
      <c r="J25" s="18" t="s">
        <v>748</v>
      </c>
      <c r="K25" s="24"/>
    </row>
    <row r="26" spans="2:11">
      <c r="B26" s="12" t="s">
        <v>676</v>
      </c>
      <c r="C26" s="118" t="s">
        <v>9</v>
      </c>
      <c r="D26" s="125" t="s">
        <v>650</v>
      </c>
      <c r="E26" s="118" t="s">
        <v>52</v>
      </c>
      <c r="F26" s="118" t="s">
        <v>677</v>
      </c>
      <c r="G26" s="118" t="s">
        <v>555</v>
      </c>
      <c r="H26" s="38"/>
      <c r="J26" s="119" t="s">
        <v>699</v>
      </c>
    </row>
    <row r="27" spans="2:11">
      <c r="B27" s="123" t="s">
        <v>851</v>
      </c>
      <c r="C27" s="118"/>
      <c r="D27" s="125"/>
      <c r="E27" s="118"/>
      <c r="F27" s="118" t="s">
        <v>852</v>
      </c>
      <c r="G27" s="118"/>
      <c r="H27" s="38"/>
      <c r="J27" s="119" t="s">
        <v>813</v>
      </c>
    </row>
    <row r="28" spans="2:11">
      <c r="B28" s="123" t="s">
        <v>853</v>
      </c>
      <c r="C28" s="118" t="s">
        <v>836</v>
      </c>
      <c r="D28" s="125"/>
      <c r="E28" s="118"/>
      <c r="F28" s="118" t="s">
        <v>854</v>
      </c>
      <c r="G28" s="118"/>
      <c r="H28" s="38"/>
      <c r="J28" s="119" t="s">
        <v>822</v>
      </c>
    </row>
    <row r="29" spans="2:11">
      <c r="B29" s="143" t="s">
        <v>855</v>
      </c>
      <c r="C29" s="118" t="s">
        <v>836</v>
      </c>
      <c r="D29" s="125"/>
      <c r="E29" s="118"/>
      <c r="F29" s="118" t="s">
        <v>127</v>
      </c>
      <c r="G29" s="118"/>
      <c r="H29" s="38"/>
      <c r="J29" s="119" t="s">
        <v>808</v>
      </c>
    </row>
    <row r="30" spans="2:11">
      <c r="B30" s="143" t="s">
        <v>856</v>
      </c>
      <c r="C30" s="118" t="s">
        <v>836</v>
      </c>
      <c r="D30" s="125"/>
      <c r="E30" s="118"/>
      <c r="F30" s="118" t="s">
        <v>857</v>
      </c>
      <c r="G30" s="118"/>
      <c r="H30" s="38"/>
      <c r="J30" s="119" t="s">
        <v>809</v>
      </c>
    </row>
    <row r="31" spans="2:11">
      <c r="B31" s="123" t="s">
        <v>702</v>
      </c>
      <c r="C31" s="118" t="s">
        <v>704</v>
      </c>
      <c r="D31" s="6"/>
      <c r="E31" s="20"/>
      <c r="F31" s="118" t="s">
        <v>703</v>
      </c>
      <c r="G31" s="7"/>
      <c r="H31" s="38"/>
    </row>
    <row r="32" spans="2:11">
      <c r="B32" s="123" t="s">
        <v>858</v>
      </c>
      <c r="C32" s="118" t="s">
        <v>860</v>
      </c>
      <c r="D32" s="6"/>
      <c r="E32" s="20"/>
      <c r="F32" s="118" t="s">
        <v>859</v>
      </c>
      <c r="G32" s="7"/>
      <c r="H32" s="38"/>
    </row>
    <row r="33" spans="2:10">
      <c r="B33" s="123" t="s">
        <v>864</v>
      </c>
      <c r="C33" s="118" t="s">
        <v>866</v>
      </c>
      <c r="D33" s="6"/>
      <c r="E33" s="20"/>
      <c r="F33" s="118" t="s">
        <v>865</v>
      </c>
      <c r="G33" s="7"/>
      <c r="H33" s="38"/>
    </row>
    <row r="34" spans="2:10">
      <c r="B34" s="123" t="s">
        <v>861</v>
      </c>
      <c r="C34" s="118" t="s">
        <v>862</v>
      </c>
      <c r="D34" s="6"/>
      <c r="E34" s="20"/>
      <c r="F34" s="118" t="s">
        <v>863</v>
      </c>
      <c r="G34" s="7"/>
      <c r="H34" s="38"/>
    </row>
    <row r="35" spans="2:10">
      <c r="B35" s="143" t="s">
        <v>867</v>
      </c>
      <c r="C35" s="118" t="s">
        <v>868</v>
      </c>
      <c r="D35" s="6"/>
      <c r="E35" s="20"/>
      <c r="F35" s="118"/>
      <c r="G35" s="7"/>
      <c r="H35" s="38"/>
    </row>
    <row r="36" spans="2:10">
      <c r="B36" s="165" t="s">
        <v>765</v>
      </c>
      <c r="C36" s="118" t="s">
        <v>767</v>
      </c>
      <c r="D36" s="6"/>
      <c r="E36" s="118" t="s">
        <v>57</v>
      </c>
      <c r="F36" s="118" t="s">
        <v>766</v>
      </c>
      <c r="G36" s="7"/>
      <c r="H36" s="8"/>
      <c r="J36" s="1" t="s">
        <v>749</v>
      </c>
    </row>
    <row r="37" spans="2:10">
      <c r="B37" s="162" t="s">
        <v>784</v>
      </c>
      <c r="C37" s="118" t="s">
        <v>786</v>
      </c>
      <c r="D37" s="6"/>
      <c r="E37" s="20"/>
      <c r="F37" s="20"/>
      <c r="G37" s="7"/>
      <c r="H37" s="38"/>
    </row>
    <row r="38" spans="2:10">
      <c r="B38" s="144" t="s">
        <v>810</v>
      </c>
      <c r="C38" s="118" t="s">
        <v>811</v>
      </c>
      <c r="D38" s="6"/>
      <c r="E38" s="20"/>
      <c r="F38" s="118" t="s">
        <v>812</v>
      </c>
      <c r="G38" s="7"/>
      <c r="H38" s="38"/>
    </row>
    <row r="39" spans="2:10">
      <c r="B39" s="162" t="s">
        <v>785</v>
      </c>
      <c r="C39" s="118" t="s">
        <v>787</v>
      </c>
      <c r="D39" s="6"/>
      <c r="E39" s="20"/>
      <c r="F39" s="20"/>
      <c r="G39" s="7"/>
      <c r="H39" s="38"/>
    </row>
    <row r="40" spans="2:10">
      <c r="B40" s="162" t="s">
        <v>700</v>
      </c>
      <c r="C40" s="118" t="s">
        <v>701</v>
      </c>
      <c r="D40" s="6"/>
      <c r="E40" s="20"/>
      <c r="F40" s="20"/>
      <c r="G40" s="7"/>
      <c r="H40" s="38"/>
    </row>
    <row r="41" spans="2:10">
      <c r="B41" s="162" t="s">
        <v>814</v>
      </c>
      <c r="C41" s="118"/>
      <c r="D41" s="6"/>
      <c r="E41" s="20"/>
      <c r="F41" s="20"/>
      <c r="G41" s="7"/>
      <c r="H41" s="38"/>
    </row>
    <row r="42" spans="2:10">
      <c r="B42" s="144" t="s">
        <v>815</v>
      </c>
      <c r="C42" s="118" t="s">
        <v>125</v>
      </c>
      <c r="D42" s="6"/>
      <c r="E42" s="20"/>
      <c r="F42" s="118" t="s">
        <v>837</v>
      </c>
      <c r="G42" s="118" t="s">
        <v>555</v>
      </c>
      <c r="H42" s="38"/>
    </row>
    <row r="43" spans="2:10">
      <c r="B43" s="144" t="s">
        <v>848</v>
      </c>
      <c r="C43" s="118" t="s">
        <v>849</v>
      </c>
      <c r="D43" s="6"/>
      <c r="E43" s="20"/>
      <c r="F43" s="118" t="s">
        <v>850</v>
      </c>
      <c r="G43" s="118"/>
      <c r="H43" s="38"/>
    </row>
    <row r="44" spans="2:10">
      <c r="B44" s="144" t="s">
        <v>842</v>
      </c>
      <c r="C44" s="118" t="s">
        <v>840</v>
      </c>
      <c r="D44" s="6"/>
      <c r="E44" s="118" t="s">
        <v>51</v>
      </c>
      <c r="F44" s="118" t="s">
        <v>843</v>
      </c>
      <c r="G44" s="118" t="s">
        <v>869</v>
      </c>
      <c r="H44" s="38"/>
    </row>
    <row r="45" spans="2:10">
      <c r="B45" s="144" t="s">
        <v>844</v>
      </c>
      <c r="C45" s="118" t="s">
        <v>840</v>
      </c>
      <c r="D45" s="6"/>
      <c r="E45" s="118" t="s">
        <v>51</v>
      </c>
      <c r="F45" s="118" t="s">
        <v>845</v>
      </c>
      <c r="G45" s="118" t="s">
        <v>869</v>
      </c>
      <c r="H45" s="38"/>
    </row>
    <row r="46" spans="2:10">
      <c r="B46" s="171" t="s">
        <v>839</v>
      </c>
      <c r="C46" s="170" t="s">
        <v>840</v>
      </c>
      <c r="D46" s="60"/>
      <c r="E46" s="170" t="s">
        <v>51</v>
      </c>
      <c r="F46" s="170" t="s">
        <v>841</v>
      </c>
      <c r="G46" s="170" t="s">
        <v>94</v>
      </c>
      <c r="H46" s="61"/>
    </row>
    <row r="47" spans="2:10">
      <c r="B47" s="58"/>
      <c r="C47" s="7"/>
      <c r="D47" s="6"/>
      <c r="E47" s="7"/>
      <c r="F47" s="7"/>
      <c r="G47" s="7"/>
      <c r="H47" s="7"/>
    </row>
    <row r="48" spans="2:10">
      <c r="G48" s="28" t="s">
        <v>235</v>
      </c>
    </row>
    <row r="49" spans="2:9">
      <c r="G49" s="28" t="s">
        <v>236</v>
      </c>
    </row>
    <row r="50" spans="2:9">
      <c r="G50" s="28" t="s">
        <v>327</v>
      </c>
    </row>
    <row r="51" spans="2:9">
      <c r="G51" s="28" t="s">
        <v>317</v>
      </c>
    </row>
    <row r="52" spans="2:9">
      <c r="G52" s="28" t="s">
        <v>318</v>
      </c>
    </row>
    <row r="53" spans="2:9">
      <c r="B53" s="10"/>
      <c r="G53" s="28" t="s">
        <v>293</v>
      </c>
    </row>
    <row r="54" spans="2:9">
      <c r="G54" s="11" t="s">
        <v>398</v>
      </c>
    </row>
    <row r="55" spans="2:9">
      <c r="G55" s="11" t="s">
        <v>403</v>
      </c>
      <c r="I55" s="7"/>
    </row>
    <row r="56" spans="2:9">
      <c r="F56" s="119"/>
      <c r="G56" s="28"/>
    </row>
    <row r="57" spans="2:9">
      <c r="G57" s="28"/>
    </row>
    <row r="62" spans="2:9">
      <c r="G62" s="1" t="s">
        <v>546</v>
      </c>
    </row>
    <row r="63" spans="2:9">
      <c r="G63" s="119" t="s">
        <v>635</v>
      </c>
    </row>
  </sheetData>
  <phoneticPr fontId="3" type="noConversion"/>
  <hyperlinks>
    <hyperlink ref="B9" location="Brilinta!A1" display="Brilinta" xr:uid="{00000000-0004-0000-0000-000003000000}"/>
    <hyperlink ref="B7" location="Symbicort!A1" display="Symbicort (budenoside/formoterol)" xr:uid="{00000000-0004-0000-0000-000008000000}"/>
    <hyperlink ref="B6" location="Farxiga!A1" display="Farxiga (dapaglifozin)" xr:uid="{00000000-0004-0000-0000-00000B000000}"/>
    <hyperlink ref="B24" location="Iressa!A1" display="Iressa (gefitinib)" xr:uid="{00000000-0004-0000-0000-00000C000000}"/>
    <hyperlink ref="B3" location="Soliris!A1" display="Soliris (eculizumab)" xr:uid="{AFCD11A2-3065-40D9-8123-D1EC2A0FC3F0}"/>
    <hyperlink ref="B4" location="Tagrisso!A1" display="Tagrisso (osimertinib)" xr:uid="{A7DBAA82-C3CC-445A-A0F3-7DF957772AED}"/>
    <hyperlink ref="B10" location="Lynparza!A1" display="Lynparza (olaparib)" xr:uid="{8905C321-8CB0-4C60-959B-EB5A1571CC67}"/>
    <hyperlink ref="B23" location="Koselugo!A1" display="Koselugo (selumetinib)" xr:uid="{C079BFF5-88CE-4E31-A28A-9BF18728AC21}"/>
    <hyperlink ref="B5" location="Imfinzi!A1" display="Imfinzi (durvalumab), FKA MEDI-4736" xr:uid="{13B29D0D-996B-4327-8A02-8E0C19231732}"/>
    <hyperlink ref="B12" location="Calquence!A1" display="Calquence (acalabrutinib)" xr:uid="{95593CFA-E247-44A5-9F41-173AA6CEF288}"/>
    <hyperlink ref="B14" location="Enhertu!A1" display="Enhertu (trastuzumab deruxtecan)" xr:uid="{E188E3AE-E89E-4FF4-BAFF-77F955C7E252}"/>
    <hyperlink ref="B19" location="Truqap!A1" display="Truqap (capivasertib)" xr:uid="{A6398A6F-FC3F-4095-85C3-80811A29008A}"/>
    <hyperlink ref="B26" location="datopotamab!A1" display="datopotamab deruxtecan" xr:uid="{D137A070-B80C-4A69-BE86-71FCD7B182CE}"/>
    <hyperlink ref="B15" location="Fasenra!A1" display="Fasenra (benralizumab)" xr:uid="{5C9C936B-02E5-46FA-BEB4-C2449905A465}"/>
    <hyperlink ref="B17" location="Breztri!A1" display="Breztri (budesonide, formoterol fumarate, glycopyrrolate)" xr:uid="{95EB26C8-F572-4075-BB47-A9002E9F9848}"/>
    <hyperlink ref="B13" location="Tezspire!A1" display="Tezspire (tezepelumab)" xr:uid="{662F758B-385F-4BCB-9A32-14A4177C239E}"/>
    <hyperlink ref="B18" location="Beyfortus!A1" display="Beyfortus (nirsevimab)" xr:uid="{D75103D5-DDAB-43D8-A08A-33E21A9B3E4B}"/>
    <hyperlink ref="B11" location="Ultomiris!A1" display="Ultomiris (ravulizumab)" xr:uid="{E75CE715-F00D-43D4-9A19-CD7EA9539481}"/>
    <hyperlink ref="B16" location="Strensiq!A1" display="Strensiq" xr:uid="{6967DEE7-F711-4696-A14A-AFF950B03636}"/>
    <hyperlink ref="B20" location="Imjudo!A1" display="Imjudo (tremelimumab)" xr:uid="{DACB874A-0491-47FC-B95E-B22F4D3AA658}"/>
    <hyperlink ref="B36" location="'0780'!A1" display="0780" xr:uid="{6EE157EE-D0CF-412F-ADD7-AFC09C3C2841}"/>
    <hyperlink ref="B21" location="Saphnelo!A1" display="Saphnelo (anifrolumab)" xr:uid="{F94D5D93-1C7D-4DFF-983E-57CA9C35774D}"/>
    <hyperlink ref="B46" location="'5004'!A1" display="5004" xr:uid="{D190A1B4-DB0D-49C0-AFC3-C2FAD061CEEA}"/>
  </hyperlinks>
  <pageMargins left="0.75" right="0.75" top="1" bottom="1" header="0.5" footer="0.5"/>
  <pageSetup scale="53" orientation="portrait" horizontalDpi="4294967293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205" zoomScaleNormal="205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34</v>
      </c>
    </row>
    <row r="3" spans="1:3">
      <c r="B3" s="1" t="s">
        <v>79</v>
      </c>
      <c r="C3" s="1" t="s">
        <v>132</v>
      </c>
    </row>
    <row r="4" spans="1:3">
      <c r="B4" s="1" t="s">
        <v>83</v>
      </c>
      <c r="C4" s="1" t="s">
        <v>131</v>
      </c>
    </row>
    <row r="5" spans="1:3">
      <c r="C5" s="1" t="s">
        <v>166</v>
      </c>
    </row>
    <row r="6" spans="1:3">
      <c r="B6" s="1" t="s">
        <v>1</v>
      </c>
      <c r="C6" s="1" t="s">
        <v>108</v>
      </c>
    </row>
    <row r="7" spans="1:3">
      <c r="B7" s="11" t="s">
        <v>92</v>
      </c>
      <c r="C7" s="11" t="s">
        <v>326</v>
      </c>
    </row>
    <row r="8" spans="1:3">
      <c r="B8" s="1" t="s">
        <v>3</v>
      </c>
      <c r="C8" s="1" t="s">
        <v>129</v>
      </c>
    </row>
    <row r="9" spans="1:3">
      <c r="C9" s="1" t="s">
        <v>167</v>
      </c>
    </row>
    <row r="10" spans="1:3">
      <c r="B10" s="1" t="s">
        <v>116</v>
      </c>
      <c r="C10" s="1" t="s">
        <v>185</v>
      </c>
    </row>
    <row r="11" spans="1:3">
      <c r="B11" s="119" t="s">
        <v>4</v>
      </c>
      <c r="C11" s="119" t="s">
        <v>735</v>
      </c>
    </row>
    <row r="12" spans="1:3">
      <c r="B12" s="1" t="s">
        <v>60</v>
      </c>
      <c r="C12" s="1" t="s">
        <v>133</v>
      </c>
    </row>
    <row r="13" spans="1:3">
      <c r="C13" s="1" t="s">
        <v>109</v>
      </c>
    </row>
    <row r="14" spans="1:3">
      <c r="C14" s="1" t="s">
        <v>110</v>
      </c>
    </row>
    <row r="15" spans="1:3">
      <c r="C15" s="1" t="s">
        <v>128</v>
      </c>
    </row>
    <row r="16" spans="1:3">
      <c r="C16" s="1" t="s">
        <v>130</v>
      </c>
    </row>
    <row r="18" spans="2:3">
      <c r="B18" s="119" t="s">
        <v>666</v>
      </c>
      <c r="C18" s="1">
        <v>598</v>
      </c>
    </row>
    <row r="19" spans="2:3">
      <c r="B19" s="119" t="s">
        <v>668</v>
      </c>
      <c r="C19" s="1">
        <v>450</v>
      </c>
    </row>
    <row r="20" spans="2:3">
      <c r="B20" s="119" t="s">
        <v>669</v>
      </c>
      <c r="C20" s="1">
        <v>286</v>
      </c>
    </row>
    <row r="21" spans="2:3">
      <c r="B21" s="119" t="s">
        <v>670</v>
      </c>
      <c r="C21" s="1">
        <v>157</v>
      </c>
    </row>
    <row r="22" spans="2:3">
      <c r="B22" s="119" t="s">
        <v>706</v>
      </c>
      <c r="C22" s="1">
        <f>SUM(C18:C21)</f>
        <v>1491</v>
      </c>
    </row>
  </sheetData>
  <phoneticPr fontId="3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ColWidth="8.85546875" defaultRowHeight="12.75"/>
  <cols>
    <col min="1" max="1" width="5" bestFit="1" customWidth="1"/>
    <col min="2" max="2" width="14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576</v>
      </c>
    </row>
    <row r="3" spans="1:3">
      <c r="B3" s="120" t="s">
        <v>560</v>
      </c>
      <c r="C3" s="120"/>
    </row>
    <row r="4" spans="1:3">
      <c r="B4" t="s">
        <v>79</v>
      </c>
      <c r="C4" t="s">
        <v>124</v>
      </c>
    </row>
    <row r="5" spans="1:3">
      <c r="B5" s="120" t="s">
        <v>1</v>
      </c>
      <c r="C5" s="120" t="s">
        <v>578</v>
      </c>
    </row>
    <row r="6" spans="1:3">
      <c r="B6" t="s">
        <v>92</v>
      </c>
      <c r="C6" s="120" t="s">
        <v>577</v>
      </c>
    </row>
    <row r="7" spans="1:3">
      <c r="B7" t="s">
        <v>80</v>
      </c>
    </row>
  </sheetData>
  <phoneticPr fontId="3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zoomScale="115" workbookViewId="0"/>
  </sheetViews>
  <sheetFormatPr defaultColWidth="9.140625" defaultRowHeight="12.75"/>
  <cols>
    <col min="1" max="1" width="5" style="1" bestFit="1" customWidth="1"/>
    <col min="2" max="2" width="11.42578125" style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6</v>
      </c>
    </row>
    <row r="3" spans="1:3">
      <c r="B3" s="1" t="s">
        <v>84</v>
      </c>
      <c r="C3" s="1" t="s">
        <v>97</v>
      </c>
    </row>
    <row r="4" spans="1:3">
      <c r="B4" s="1" t="s">
        <v>67</v>
      </c>
      <c r="C4" s="1" t="s">
        <v>68</v>
      </c>
    </row>
    <row r="5" spans="1:3">
      <c r="B5" s="1" t="s">
        <v>4</v>
      </c>
      <c r="C5" s="11" t="s">
        <v>285</v>
      </c>
    </row>
    <row r="6" spans="1:3">
      <c r="C6" s="1" t="s">
        <v>234</v>
      </c>
    </row>
    <row r="7" spans="1:3">
      <c r="C7" s="1" t="s">
        <v>98</v>
      </c>
    </row>
    <row r="8" spans="1:3">
      <c r="C8" s="1" t="s">
        <v>169</v>
      </c>
    </row>
    <row r="9" spans="1:3">
      <c r="C9" s="1" t="s">
        <v>232</v>
      </c>
    </row>
    <row r="10" spans="1:3">
      <c r="C10" s="1" t="s">
        <v>208</v>
      </c>
    </row>
    <row r="11" spans="1:3">
      <c r="C11" s="11" t="s">
        <v>427</v>
      </c>
    </row>
    <row r="12" spans="1:3">
      <c r="B12" s="1" t="s">
        <v>206</v>
      </c>
      <c r="C12" s="1" t="s">
        <v>207</v>
      </c>
    </row>
    <row r="13" spans="1:3">
      <c r="C13" s="1" t="s">
        <v>66</v>
      </c>
    </row>
  </sheetData>
  <phoneticPr fontId="3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10" workbookViewId="0">
      <selection activeCell="G14" sqref="G14"/>
    </sheetView>
  </sheetViews>
  <sheetFormatPr defaultColWidth="9.140625" defaultRowHeight="12.75"/>
  <cols>
    <col min="1" max="1" width="5" style="1" bestFit="1" customWidth="1"/>
    <col min="2" max="2" width="14" style="1" bestFit="1" customWidth="1"/>
    <col min="3" max="3" width="9.42578125" style="1" bestFit="1" customWidth="1"/>
    <col min="4" max="4" width="10.28515625" style="1" bestFit="1" customWidth="1"/>
    <col min="5" max="5" width="9.28515625" style="1" bestFit="1" customWidth="1"/>
    <col min="6" max="16384" width="9.140625" style="1"/>
  </cols>
  <sheetData>
    <row r="1" spans="1:3">
      <c r="A1" s="13" t="s">
        <v>65</v>
      </c>
    </row>
    <row r="2" spans="1:3">
      <c r="B2" s="1" t="s">
        <v>78</v>
      </c>
      <c r="C2" s="11" t="s">
        <v>439</v>
      </c>
    </row>
    <row r="3" spans="1:3">
      <c r="B3" s="1" t="s">
        <v>1</v>
      </c>
      <c r="C3" s="1" t="s">
        <v>102</v>
      </c>
    </row>
    <row r="4" spans="1:3">
      <c r="B4" s="1" t="s">
        <v>79</v>
      </c>
      <c r="C4" s="1" t="s">
        <v>100</v>
      </c>
    </row>
    <row r="5" spans="1:3">
      <c r="B5" s="1" t="s">
        <v>76</v>
      </c>
      <c r="C5" s="1" t="s">
        <v>103</v>
      </c>
    </row>
    <row r="6" spans="1:3">
      <c r="B6" s="1" t="s">
        <v>67</v>
      </c>
      <c r="C6" s="1" t="s">
        <v>99</v>
      </c>
    </row>
    <row r="7" spans="1:3">
      <c r="B7" s="1" t="s">
        <v>3</v>
      </c>
      <c r="C7" s="11" t="s">
        <v>440</v>
      </c>
    </row>
    <row r="8" spans="1:3">
      <c r="B8" s="1" t="s">
        <v>106</v>
      </c>
      <c r="C8" s="1" t="s">
        <v>107</v>
      </c>
    </row>
    <row r="9" spans="1:3">
      <c r="B9" s="1" t="s">
        <v>4</v>
      </c>
      <c r="C9" s="1" t="s">
        <v>247</v>
      </c>
    </row>
    <row r="10" spans="1:3">
      <c r="C10" s="1" t="s">
        <v>246</v>
      </c>
    </row>
    <row r="11" spans="1:3">
      <c r="C11" s="11" t="s">
        <v>428</v>
      </c>
    </row>
    <row r="12" spans="1:3">
      <c r="C12" s="11" t="s">
        <v>429</v>
      </c>
    </row>
    <row r="13" spans="1:3">
      <c r="B13" s="1" t="s">
        <v>80</v>
      </c>
      <c r="C13" s="1" t="s">
        <v>105</v>
      </c>
    </row>
    <row r="14" spans="1:3">
      <c r="C14" s="1" t="s">
        <v>104</v>
      </c>
    </row>
    <row r="16" spans="1:3">
      <c r="C16" s="1" t="s">
        <v>168</v>
      </c>
    </row>
    <row r="19" spans="2:5">
      <c r="B19" s="1" t="s">
        <v>101</v>
      </c>
      <c r="C19" s="7"/>
      <c r="D19" s="7" t="s">
        <v>177</v>
      </c>
      <c r="E19" s="7" t="s">
        <v>178</v>
      </c>
    </row>
    <row r="20" spans="2:5">
      <c r="C20" s="21">
        <v>39234</v>
      </c>
      <c r="D20" s="22">
        <v>287913</v>
      </c>
      <c r="E20" s="22">
        <v>141565</v>
      </c>
    </row>
    <row r="21" spans="2:5">
      <c r="C21" s="21">
        <f>C20-7</f>
        <v>39227</v>
      </c>
      <c r="D21" s="22">
        <v>297841</v>
      </c>
      <c r="E21" s="22">
        <v>152431</v>
      </c>
    </row>
    <row r="22" spans="2:5">
      <c r="C22" s="21">
        <f>C20-365</f>
        <v>38869</v>
      </c>
      <c r="D22" s="22">
        <v>264850</v>
      </c>
      <c r="E22" s="22">
        <v>130220</v>
      </c>
    </row>
  </sheetData>
  <phoneticPr fontId="3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"/>
  <sheetViews>
    <sheetView workbookViewId="0"/>
  </sheetViews>
  <sheetFormatPr defaultColWidth="9.140625" defaultRowHeight="12.75"/>
  <cols>
    <col min="1" max="1" width="5" style="1" bestFit="1" customWidth="1"/>
    <col min="2" max="2" width="13.42578125" style="1" customWidth="1"/>
    <col min="3" max="8" width="9.140625" style="7"/>
    <col min="9" max="16384" width="9.140625" style="1"/>
  </cols>
  <sheetData>
    <row r="1" spans="1:8">
      <c r="A1" s="13" t="s">
        <v>65</v>
      </c>
    </row>
    <row r="2" spans="1:8">
      <c r="B2" s="1" t="s">
        <v>78</v>
      </c>
      <c r="C2" s="1" t="s">
        <v>7</v>
      </c>
    </row>
    <row r="3" spans="1:8">
      <c r="B3" s="1" t="s">
        <v>82</v>
      </c>
      <c r="C3" s="11" t="s">
        <v>335</v>
      </c>
    </row>
    <row r="4" spans="1:8">
      <c r="B4" s="1" t="s">
        <v>76</v>
      </c>
      <c r="C4" s="1" t="s">
        <v>77</v>
      </c>
    </row>
    <row r="5" spans="1:8">
      <c r="B5" s="11" t="s">
        <v>92</v>
      </c>
      <c r="C5" s="11" t="s">
        <v>58</v>
      </c>
    </row>
    <row r="6" spans="1:8">
      <c r="B6" s="11" t="s">
        <v>4</v>
      </c>
      <c r="C6" s="11" t="s">
        <v>334</v>
      </c>
    </row>
    <row r="7" spans="1:8">
      <c r="B7" s="11"/>
      <c r="C7" s="11" t="s">
        <v>337</v>
      </c>
      <c r="H7" s="1" t="s">
        <v>346</v>
      </c>
    </row>
    <row r="8" spans="1:8">
      <c r="B8" s="11"/>
      <c r="C8" s="11" t="s">
        <v>338</v>
      </c>
    </row>
    <row r="9" spans="1:8">
      <c r="B9" s="11"/>
      <c r="C9" s="11" t="s">
        <v>339</v>
      </c>
    </row>
    <row r="10" spans="1:8">
      <c r="B10" s="1" t="s">
        <v>60</v>
      </c>
    </row>
    <row r="11" spans="1:8">
      <c r="C11" s="18" t="s">
        <v>245</v>
      </c>
    </row>
    <row r="12" spans="1:8">
      <c r="C12" s="1" t="s">
        <v>272</v>
      </c>
    </row>
    <row r="13" spans="1:8">
      <c r="C13" s="1" t="s">
        <v>273</v>
      </c>
    </row>
    <row r="14" spans="1:8">
      <c r="C14" s="1" t="s">
        <v>275</v>
      </c>
    </row>
    <row r="15" spans="1:8">
      <c r="C15" s="1" t="s">
        <v>274</v>
      </c>
    </row>
    <row r="19" spans="3:3">
      <c r="C19" s="1" t="s">
        <v>74</v>
      </c>
    </row>
    <row r="20" spans="3:3">
      <c r="C20" s="10" t="s">
        <v>72</v>
      </c>
    </row>
    <row r="21" spans="3:3">
      <c r="C21" s="1" t="s">
        <v>73</v>
      </c>
    </row>
    <row r="22" spans="3:3">
      <c r="C22" s="1" t="s">
        <v>70</v>
      </c>
    </row>
    <row r="23" spans="3:3">
      <c r="C23" s="1" t="s">
        <v>71</v>
      </c>
    </row>
    <row r="24" spans="3:3">
      <c r="C24" s="1" t="s">
        <v>75</v>
      </c>
    </row>
    <row r="25" spans="3:3">
      <c r="C25" s="1" t="s">
        <v>61</v>
      </c>
    </row>
    <row r="26" spans="3:3">
      <c r="C26" s="1" t="s">
        <v>62</v>
      </c>
    </row>
    <row r="27" spans="3:3">
      <c r="C27" s="1" t="s">
        <v>63</v>
      </c>
    </row>
    <row r="28" spans="3:3">
      <c r="C28" s="1" t="s">
        <v>64</v>
      </c>
    </row>
  </sheetData>
  <phoneticPr fontId="3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1"/>
  <sheetViews>
    <sheetView zoomScale="115" workbookViewId="0"/>
  </sheetViews>
  <sheetFormatPr defaultColWidth="9.140625" defaultRowHeight="12.75"/>
  <cols>
    <col min="1" max="1" width="5" style="1" bestFit="1" customWidth="1"/>
    <col min="2" max="2" width="14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1" t="s">
        <v>277</v>
      </c>
    </row>
    <row r="3" spans="1:3">
      <c r="B3" s="1" t="s">
        <v>82</v>
      </c>
      <c r="C3" s="1" t="s">
        <v>280</v>
      </c>
    </row>
    <row r="4" spans="1:3">
      <c r="B4" s="1" t="s">
        <v>79</v>
      </c>
      <c r="C4" s="1" t="s">
        <v>181</v>
      </c>
    </row>
    <row r="5" spans="1:3">
      <c r="C5" s="1" t="s">
        <v>182</v>
      </c>
    </row>
    <row r="6" spans="1:3">
      <c r="B6" s="1" t="s">
        <v>1</v>
      </c>
      <c r="C6" s="1" t="s">
        <v>87</v>
      </c>
    </row>
    <row r="7" spans="1:3">
      <c r="B7" s="1" t="s">
        <v>83</v>
      </c>
      <c r="C7" s="11" t="s">
        <v>312</v>
      </c>
    </row>
    <row r="8" spans="1:3">
      <c r="B8" s="1" t="s">
        <v>3</v>
      </c>
      <c r="C8" s="1" t="s">
        <v>11</v>
      </c>
    </row>
    <row r="9" spans="1:3">
      <c r="B9" s="1" t="s">
        <v>84</v>
      </c>
      <c r="C9" s="1" t="s">
        <v>85</v>
      </c>
    </row>
    <row r="10" spans="1:3">
      <c r="B10" s="1" t="s">
        <v>80</v>
      </c>
      <c r="C10" s="1" t="s">
        <v>86</v>
      </c>
    </row>
    <row r="12" spans="1:3">
      <c r="C12" s="18" t="s">
        <v>300</v>
      </c>
    </row>
    <row r="13" spans="1:3">
      <c r="C13" s="18" t="s">
        <v>299</v>
      </c>
    </row>
    <row r="14" spans="1:3">
      <c r="C14" s="11" t="s">
        <v>301</v>
      </c>
    </row>
    <row r="15" spans="1:3">
      <c r="C15" s="11" t="s">
        <v>442</v>
      </c>
    </row>
    <row r="16" spans="1:3">
      <c r="C16" s="11" t="s">
        <v>443</v>
      </c>
    </row>
    <row r="17" spans="3:4">
      <c r="C17" s="11"/>
    </row>
    <row r="18" spans="3:4">
      <c r="C18" s="18" t="s">
        <v>88</v>
      </c>
    </row>
    <row r="19" spans="3:4">
      <c r="D19" s="1" t="s">
        <v>89</v>
      </c>
    </row>
    <row r="20" spans="3:4">
      <c r="D20" s="1" t="s">
        <v>90</v>
      </c>
    </row>
    <row r="21" spans="3:4">
      <c r="D21" s="1" t="s">
        <v>91</v>
      </c>
    </row>
  </sheetData>
  <phoneticPr fontId="3" type="noConversion"/>
  <hyperlinks>
    <hyperlink ref="A1" location="Main!A1" display="Main" xr:uid="{00000000-0004-0000-0A00-000000000000}"/>
  </hyperlinks>
  <pageMargins left="0.75" right="0.75" top="1" bottom="1" header="0.5" footer="0.5"/>
  <pageSetup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A7B3-DF9D-4B47-A6AF-FBC32AB7404A}">
  <dimension ref="A1:C9"/>
  <sheetViews>
    <sheetView zoomScale="190" zoomScaleNormal="190" workbookViewId="0">
      <selection activeCell="C12" sqref="C12"/>
    </sheetView>
  </sheetViews>
  <sheetFormatPr defaultRowHeight="12.75"/>
  <cols>
    <col min="1" max="1" width="5" bestFit="1" customWidth="1"/>
    <col min="2" max="2" width="12.28515625" bestFit="1" customWidth="1"/>
  </cols>
  <sheetData>
    <row r="1" spans="1:3">
      <c r="A1" s="15" t="s">
        <v>65</v>
      </c>
    </row>
    <row r="2" spans="1:3">
      <c r="A2" s="120"/>
      <c r="B2" s="120" t="s">
        <v>559</v>
      </c>
    </row>
    <row r="3" spans="1:3">
      <c r="B3" s="120" t="s">
        <v>560</v>
      </c>
      <c r="C3" s="120" t="s">
        <v>676</v>
      </c>
    </row>
    <row r="4" spans="1:3">
      <c r="B4" s="120" t="s">
        <v>1</v>
      </c>
      <c r="C4" s="120" t="s">
        <v>9</v>
      </c>
    </row>
    <row r="5" spans="1:3">
      <c r="B5" s="120" t="s">
        <v>564</v>
      </c>
      <c r="C5" s="120" t="s">
        <v>678</v>
      </c>
    </row>
    <row r="6" spans="1:3">
      <c r="B6" s="120" t="s">
        <v>60</v>
      </c>
    </row>
    <row r="7" spans="1:3">
      <c r="C7" s="121" t="s">
        <v>770</v>
      </c>
    </row>
    <row r="8" spans="1:3">
      <c r="C8" s="120" t="s">
        <v>679</v>
      </c>
    </row>
    <row r="9" spans="1:3">
      <c r="C9" s="120" t="s">
        <v>680</v>
      </c>
    </row>
  </sheetData>
  <hyperlinks>
    <hyperlink ref="A1" location="Main!A1" display="Main" xr:uid="{A11C4A0D-DB08-4789-806E-66E5EF5ACE1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6FA6-F9F9-4220-975B-2370549FEDAC}">
  <dimension ref="A1:C14"/>
  <sheetViews>
    <sheetView zoomScale="250" zoomScaleNormal="250" workbookViewId="0"/>
  </sheetViews>
  <sheetFormatPr defaultRowHeight="12.75"/>
  <cols>
    <col min="1" max="1" width="5" bestFit="1" customWidth="1"/>
    <col min="2" max="2" width="12.14062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768</v>
      </c>
    </row>
    <row r="3" spans="1:3">
      <c r="B3" s="120" t="s">
        <v>560</v>
      </c>
    </row>
    <row r="4" spans="1:3">
      <c r="B4" s="120" t="s">
        <v>1</v>
      </c>
      <c r="C4" s="120" t="s">
        <v>769</v>
      </c>
    </row>
    <row r="5" spans="1:3">
      <c r="B5" s="120" t="s">
        <v>776</v>
      </c>
      <c r="C5" s="120" t="s">
        <v>777</v>
      </c>
    </row>
    <row r="6" spans="1:3">
      <c r="C6" s="120" t="s">
        <v>766</v>
      </c>
    </row>
    <row r="7" spans="1:3">
      <c r="B7" s="120" t="s">
        <v>60</v>
      </c>
    </row>
    <row r="8" spans="1:3">
      <c r="C8" s="121" t="s">
        <v>771</v>
      </c>
    </row>
    <row r="12" spans="1:3">
      <c r="C12" s="121" t="s">
        <v>773</v>
      </c>
    </row>
    <row r="13" spans="1:3">
      <c r="C13" s="166" t="s">
        <v>774</v>
      </c>
    </row>
    <row r="14" spans="1:3">
      <c r="C14" s="166" t="s">
        <v>775</v>
      </c>
    </row>
  </sheetData>
  <hyperlinks>
    <hyperlink ref="A1" location="Main!A1" display="Main" xr:uid="{F361C76E-8546-4990-822D-BE8514B64388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5"/>
  <sheetViews>
    <sheetView zoomScale="130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171</v>
      </c>
    </row>
    <row r="3" spans="1:3">
      <c r="B3" s="1" t="s">
        <v>82</v>
      </c>
      <c r="C3" s="1" t="s">
        <v>170</v>
      </c>
    </row>
    <row r="4" spans="1:3">
      <c r="B4" s="1" t="s">
        <v>79</v>
      </c>
      <c r="C4" s="1" t="s">
        <v>191</v>
      </c>
    </row>
    <row r="5" spans="1:3">
      <c r="C5" s="1" t="s">
        <v>196</v>
      </c>
    </row>
    <row r="6" spans="1:3">
      <c r="B6" s="1" t="s">
        <v>83</v>
      </c>
      <c r="C6" s="1" t="s">
        <v>197</v>
      </c>
    </row>
    <row r="7" spans="1:3">
      <c r="B7" s="1" t="s">
        <v>1</v>
      </c>
      <c r="C7" s="1" t="s">
        <v>203</v>
      </c>
    </row>
    <row r="8" spans="1:3">
      <c r="B8" s="1" t="s">
        <v>60</v>
      </c>
    </row>
    <row r="9" spans="1:3">
      <c r="C9" s="18" t="s">
        <v>399</v>
      </c>
    </row>
    <row r="11" spans="1:3">
      <c r="C11" s="18" t="s">
        <v>201</v>
      </c>
    </row>
    <row r="13" spans="1:3">
      <c r="C13" s="18" t="s">
        <v>200</v>
      </c>
    </row>
    <row r="14" spans="1:3">
      <c r="C14" s="11" t="s">
        <v>396</v>
      </c>
    </row>
    <row r="16" spans="1:3">
      <c r="C16" s="18" t="s">
        <v>198</v>
      </c>
    </row>
    <row r="17" spans="3:3">
      <c r="C17" s="11" t="s">
        <v>397</v>
      </c>
    </row>
    <row r="19" spans="3:3">
      <c r="C19" s="18" t="s">
        <v>199</v>
      </c>
    </row>
    <row r="21" spans="3:3">
      <c r="C21" s="18" t="s">
        <v>202</v>
      </c>
    </row>
    <row r="22" spans="3:3">
      <c r="C22" s="18"/>
    </row>
    <row r="23" spans="3:3">
      <c r="C23" s="18" t="s">
        <v>175</v>
      </c>
    </row>
    <row r="24" spans="3:3">
      <c r="C24" s="1" t="s">
        <v>176</v>
      </c>
    </row>
    <row r="26" spans="3:3">
      <c r="C26" s="18" t="s">
        <v>172</v>
      </c>
    </row>
    <row r="27" spans="3:3">
      <c r="C27" s="1" t="s">
        <v>173</v>
      </c>
    </row>
    <row r="28" spans="3:3">
      <c r="C28" s="1" t="s">
        <v>174</v>
      </c>
    </row>
    <row r="31" spans="3:3">
      <c r="C31" s="25" t="s">
        <v>190</v>
      </c>
    </row>
    <row r="32" spans="3:3">
      <c r="C32" s="1" t="s">
        <v>192</v>
      </c>
    </row>
    <row r="33" spans="3:3">
      <c r="C33" s="1" t="s">
        <v>193</v>
      </c>
    </row>
    <row r="34" spans="3:3">
      <c r="C34" s="1" t="s">
        <v>194</v>
      </c>
    </row>
    <row r="35" spans="3:3">
      <c r="C35" s="1" t="s">
        <v>195</v>
      </c>
    </row>
  </sheetData>
  <phoneticPr fontId="3" type="noConversion"/>
  <hyperlinks>
    <hyperlink ref="A1" location="Main!A1" display="Main" xr:uid="{00000000-0004-0000-0D00-000000000000}"/>
    <hyperlink ref="C31" r:id="rId1" xr:uid="{00000000-0004-0000-0D00-000001000000}"/>
  </hyperlinks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B2" s="1" t="s">
        <v>78</v>
      </c>
      <c r="C2" s="1" t="s">
        <v>8</v>
      </c>
    </row>
    <row r="3" spans="1:3">
      <c r="B3" s="1" t="s">
        <v>82</v>
      </c>
      <c r="C3" s="1" t="s">
        <v>253</v>
      </c>
    </row>
    <row r="4" spans="1:3">
      <c r="B4" s="1" t="s">
        <v>79</v>
      </c>
      <c r="C4" s="1" t="s">
        <v>254</v>
      </c>
    </row>
    <row r="5" spans="1:3">
      <c r="B5" s="1" t="s">
        <v>259</v>
      </c>
      <c r="C5" s="11" t="s">
        <v>260</v>
      </c>
    </row>
    <row r="6" spans="1:3">
      <c r="C6" s="1" t="s">
        <v>261</v>
      </c>
    </row>
    <row r="7" spans="1:3">
      <c r="C7" s="11" t="s">
        <v>311</v>
      </c>
    </row>
    <row r="8" spans="1:3">
      <c r="B8" s="1" t="s">
        <v>3</v>
      </c>
      <c r="C8" s="11" t="s">
        <v>309</v>
      </c>
    </row>
    <row r="9" spans="1:3">
      <c r="B9" s="11" t="s">
        <v>4</v>
      </c>
      <c r="C9" s="11" t="s">
        <v>310</v>
      </c>
    </row>
    <row r="10" spans="1:3">
      <c r="B10" s="1" t="s">
        <v>303</v>
      </c>
      <c r="C10" s="1" t="s">
        <v>304</v>
      </c>
    </row>
    <row r="11" spans="1:3">
      <c r="B11" s="1" t="s">
        <v>60</v>
      </c>
    </row>
    <row r="12" spans="1:3">
      <c r="C12" s="18" t="s">
        <v>306</v>
      </c>
    </row>
    <row r="13" spans="1:3">
      <c r="C13" s="11" t="s">
        <v>308</v>
      </c>
    </row>
    <row r="14" spans="1:3">
      <c r="C14" s="11" t="s">
        <v>307</v>
      </c>
    </row>
    <row r="15" spans="1:3">
      <c r="C15" s="11" t="s">
        <v>305</v>
      </c>
    </row>
    <row r="17" spans="3:3">
      <c r="C17" s="25" t="s">
        <v>263</v>
      </c>
    </row>
    <row r="18" spans="3:3">
      <c r="C18" s="1" t="s">
        <v>265</v>
      </c>
    </row>
    <row r="19" spans="3:3">
      <c r="C19" s="1" t="s">
        <v>264</v>
      </c>
    </row>
    <row r="21" spans="3:3">
      <c r="C21" s="18" t="s">
        <v>262</v>
      </c>
    </row>
    <row r="23" spans="3:3">
      <c r="C23" s="18" t="s">
        <v>268</v>
      </c>
    </row>
    <row r="24" spans="3:3">
      <c r="C24" s="1" t="s">
        <v>269</v>
      </c>
    </row>
    <row r="26" spans="3:3">
      <c r="C26" s="18" t="s">
        <v>266</v>
      </c>
    </row>
    <row r="28" spans="3:3">
      <c r="C28" s="18" t="s">
        <v>267</v>
      </c>
    </row>
    <row r="31" spans="3:3">
      <c r="C31" s="18" t="s">
        <v>270</v>
      </c>
    </row>
    <row r="32" spans="3:3">
      <c r="C32" s="1" t="s">
        <v>271</v>
      </c>
    </row>
  </sheetData>
  <phoneticPr fontId="3" type="noConversion"/>
  <hyperlinks>
    <hyperlink ref="A1" location="Main!A1" display="Main" xr:uid="{00000000-0004-0000-1100-000000000000}"/>
    <hyperlink ref="C17" r:id="rId1" display="Phase III INTEREST - Iressa vs Taxotere in 2L NSCLC - Lancet 2008" xr:uid="{00000000-0004-0000-1100-000001000000}"/>
  </hyperlinks>
  <pageMargins left="0.75" right="0.75" top="1" bottom="1" header="0.5" footer="0.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R180"/>
  <sheetViews>
    <sheetView zoomScale="145" zoomScaleNormal="145" workbookViewId="0">
      <pane xSplit="2" ySplit="2" topLeftCell="EA76" activePane="bottomRight" state="frozen"/>
      <selection pane="topRight" activeCell="B1" sqref="B1"/>
      <selection pane="bottomLeft" activeCell="A3" sqref="A3"/>
      <selection pane="bottomRight" activeCell="EC89" sqref="EC89"/>
    </sheetView>
  </sheetViews>
  <sheetFormatPr defaultColWidth="9.140625" defaultRowHeight="12.75"/>
  <cols>
    <col min="1" max="1" width="5" style="100" bestFit="1" customWidth="1"/>
    <col min="2" max="2" width="21.42578125" style="100" customWidth="1"/>
    <col min="3" max="66" width="6.7109375" style="41" customWidth="1"/>
    <col min="67" max="67" width="6.7109375" style="79" customWidth="1"/>
    <col min="68" max="74" width="6.7109375" style="41" customWidth="1"/>
    <col min="75" max="86" width="6.7109375" style="79" customWidth="1"/>
    <col min="87" max="90" width="6.85546875" style="79" customWidth="1"/>
    <col min="91" max="94" width="8" style="79" customWidth="1"/>
    <col min="95" max="102" width="7.85546875" style="79" customWidth="1"/>
    <col min="103" max="104" width="6.7109375" style="79" customWidth="1"/>
    <col min="105" max="119" width="6.7109375" style="41" customWidth="1"/>
    <col min="120" max="126" width="6.42578125" style="41" customWidth="1"/>
    <col min="127" max="128" width="7.5703125" style="41" customWidth="1"/>
    <col min="129" max="134" width="7.5703125" style="14" customWidth="1"/>
    <col min="135" max="143" width="7.28515625" style="14" customWidth="1"/>
    <col min="144" max="16384" width="9.140625" style="14"/>
  </cols>
  <sheetData>
    <row r="1" spans="1:143" s="11" customFormat="1">
      <c r="A1" s="94" t="s">
        <v>65</v>
      </c>
      <c r="B1" s="95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51"/>
      <c r="AL1" s="39"/>
      <c r="AM1" s="39"/>
      <c r="AN1" s="39"/>
      <c r="AO1" s="39"/>
      <c r="AP1" s="39"/>
      <c r="AQ1" s="51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74"/>
      <c r="BP1" s="39"/>
      <c r="BQ1" s="39"/>
      <c r="BR1" s="39"/>
      <c r="BS1" s="39"/>
      <c r="BT1" s="39"/>
      <c r="BU1" s="39"/>
      <c r="BV1" s="39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</row>
    <row r="2" spans="1:143" s="11" customFormat="1">
      <c r="A2" s="31"/>
      <c r="B2" s="96"/>
      <c r="C2" s="91" t="s">
        <v>25</v>
      </c>
      <c r="D2" s="91" t="s">
        <v>26</v>
      </c>
      <c r="E2" s="91" t="s">
        <v>27</v>
      </c>
      <c r="F2" s="91" t="s">
        <v>28</v>
      </c>
      <c r="G2" s="91" t="s">
        <v>29</v>
      </c>
      <c r="H2" s="91" t="s">
        <v>30</v>
      </c>
      <c r="I2" s="91" t="s">
        <v>31</v>
      </c>
      <c r="J2" s="91" t="s">
        <v>32</v>
      </c>
      <c r="K2" s="91" t="s">
        <v>18</v>
      </c>
      <c r="L2" s="91" t="s">
        <v>19</v>
      </c>
      <c r="M2" s="91" t="s">
        <v>20</v>
      </c>
      <c r="N2" s="91" t="s">
        <v>21</v>
      </c>
      <c r="O2" s="91" t="s">
        <v>444</v>
      </c>
      <c r="P2" s="91" t="s">
        <v>447</v>
      </c>
      <c r="Q2" s="91" t="s">
        <v>446</v>
      </c>
      <c r="R2" s="91" t="s">
        <v>445</v>
      </c>
      <c r="S2" s="91" t="s">
        <v>230</v>
      </c>
      <c r="T2" s="91" t="s">
        <v>231</v>
      </c>
      <c r="U2" s="91" t="s">
        <v>229</v>
      </c>
      <c r="V2" s="91" t="s">
        <v>228</v>
      </c>
      <c r="W2" s="91" t="s">
        <v>223</v>
      </c>
      <c r="X2" s="91" t="s">
        <v>221</v>
      </c>
      <c r="Y2" s="91" t="s">
        <v>220</v>
      </c>
      <c r="Z2" s="91" t="s">
        <v>219</v>
      </c>
      <c r="AA2" s="91" t="s">
        <v>218</v>
      </c>
      <c r="AB2" s="91" t="s">
        <v>217</v>
      </c>
      <c r="AC2" s="91" t="s">
        <v>214</v>
      </c>
      <c r="AD2" s="91" t="s">
        <v>216</v>
      </c>
      <c r="AE2" s="91" t="s">
        <v>224</v>
      </c>
      <c r="AF2" s="91" t="s">
        <v>225</v>
      </c>
      <c r="AG2" s="91" t="s">
        <v>226</v>
      </c>
      <c r="AH2" s="91" t="s">
        <v>227</v>
      </c>
      <c r="AI2" s="91" t="s">
        <v>276</v>
      </c>
      <c r="AJ2" s="91" t="s">
        <v>282</v>
      </c>
      <c r="AK2" s="92" t="s">
        <v>283</v>
      </c>
      <c r="AL2" s="91" t="s">
        <v>284</v>
      </c>
      <c r="AM2" s="91" t="s">
        <v>342</v>
      </c>
      <c r="AN2" s="91" t="s">
        <v>343</v>
      </c>
      <c r="AO2" s="91" t="s">
        <v>344</v>
      </c>
      <c r="AP2" s="91" t="s">
        <v>345</v>
      </c>
      <c r="AQ2" s="92" t="s">
        <v>431</v>
      </c>
      <c r="AR2" s="91" t="s">
        <v>432</v>
      </c>
      <c r="AS2" s="91" t="s">
        <v>433</v>
      </c>
      <c r="AT2" s="91" t="s">
        <v>434</v>
      </c>
      <c r="AU2" s="91" t="s">
        <v>449</v>
      </c>
      <c r="AV2" s="91" t="s">
        <v>450</v>
      </c>
      <c r="AW2" s="91" t="s">
        <v>451</v>
      </c>
      <c r="AX2" s="91" t="s">
        <v>452</v>
      </c>
      <c r="AY2" s="91" t="s">
        <v>465</v>
      </c>
      <c r="AZ2" s="91" t="s">
        <v>466</v>
      </c>
      <c r="BA2" s="91" t="s">
        <v>467</v>
      </c>
      <c r="BB2" s="91" t="s">
        <v>468</v>
      </c>
      <c r="BC2" s="91" t="s">
        <v>469</v>
      </c>
      <c r="BD2" s="91" t="s">
        <v>470</v>
      </c>
      <c r="BE2" s="91" t="s">
        <v>471</v>
      </c>
      <c r="BF2" s="91" t="s">
        <v>472</v>
      </c>
      <c r="BG2" s="69" t="s">
        <v>474</v>
      </c>
      <c r="BH2" s="69" t="s">
        <v>475</v>
      </c>
      <c r="BI2" s="69" t="s">
        <v>476</v>
      </c>
      <c r="BJ2" s="69" t="s">
        <v>477</v>
      </c>
      <c r="BK2" s="69" t="s">
        <v>478</v>
      </c>
      <c r="BL2" s="69" t="s">
        <v>479</v>
      </c>
      <c r="BM2" s="69" t="s">
        <v>480</v>
      </c>
      <c r="BN2" s="69" t="s">
        <v>481</v>
      </c>
      <c r="BO2" s="75" t="s">
        <v>482</v>
      </c>
      <c r="BP2" s="69" t="s">
        <v>483</v>
      </c>
      <c r="BQ2" s="69" t="s">
        <v>484</v>
      </c>
      <c r="BR2" s="69" t="s">
        <v>485</v>
      </c>
      <c r="BS2" s="69" t="s">
        <v>486</v>
      </c>
      <c r="BT2" s="69" t="s">
        <v>487</v>
      </c>
      <c r="BU2" s="69" t="s">
        <v>488</v>
      </c>
      <c r="BV2" s="69" t="s">
        <v>489</v>
      </c>
      <c r="BW2" s="75" t="s">
        <v>490</v>
      </c>
      <c r="BX2" s="75" t="s">
        <v>491</v>
      </c>
      <c r="BY2" s="75" t="s">
        <v>492</v>
      </c>
      <c r="BZ2" s="75" t="s">
        <v>493</v>
      </c>
      <c r="CA2" s="75" t="s">
        <v>494</v>
      </c>
      <c r="CB2" s="75" t="s">
        <v>495</v>
      </c>
      <c r="CC2" s="75" t="s">
        <v>496</v>
      </c>
      <c r="CD2" s="75" t="s">
        <v>497</v>
      </c>
      <c r="CE2" s="75" t="s">
        <v>498</v>
      </c>
      <c r="CF2" s="75" t="s">
        <v>499</v>
      </c>
      <c r="CG2" s="75" t="s">
        <v>501</v>
      </c>
      <c r="CH2" s="75" t="s">
        <v>500</v>
      </c>
      <c r="CI2" s="75" t="s">
        <v>502</v>
      </c>
      <c r="CJ2" s="75" t="s">
        <v>503</v>
      </c>
      <c r="CK2" s="75" t="s">
        <v>504</v>
      </c>
      <c r="CL2" s="75" t="s">
        <v>505</v>
      </c>
      <c r="CM2" s="75" t="s">
        <v>528</v>
      </c>
      <c r="CN2" s="75" t="s">
        <v>529</v>
      </c>
      <c r="CO2" s="75" t="s">
        <v>530</v>
      </c>
      <c r="CP2" s="75" t="s">
        <v>531</v>
      </c>
      <c r="CQ2" s="129" t="s">
        <v>606</v>
      </c>
      <c r="CR2" s="129" t="s">
        <v>607</v>
      </c>
      <c r="CS2" s="129" t="s">
        <v>608</v>
      </c>
      <c r="CT2" s="129" t="s">
        <v>609</v>
      </c>
      <c r="CU2" s="129" t="s">
        <v>610</v>
      </c>
      <c r="CV2" s="129" t="s">
        <v>611</v>
      </c>
      <c r="CW2" s="129" t="s">
        <v>612</v>
      </c>
      <c r="CX2" s="129" t="s">
        <v>613</v>
      </c>
      <c r="CY2" s="75"/>
      <c r="CZ2" s="75"/>
      <c r="DA2" s="69"/>
      <c r="DB2" s="69"/>
      <c r="DC2" s="69"/>
      <c r="DD2" s="69"/>
      <c r="DE2" s="69"/>
      <c r="DF2" s="93">
        <v>2002</v>
      </c>
      <c r="DG2" s="93">
        <v>2003</v>
      </c>
      <c r="DH2" s="93">
        <v>2004</v>
      </c>
      <c r="DI2" s="93">
        <v>2005</v>
      </c>
      <c r="DJ2" s="93">
        <v>2006</v>
      </c>
      <c r="DK2" s="93">
        <f>DJ2+1</f>
        <v>2007</v>
      </c>
      <c r="DL2" s="93">
        <f t="shared" ref="DL2:DS2" si="0">DK2+1</f>
        <v>2008</v>
      </c>
      <c r="DM2" s="93">
        <f t="shared" si="0"/>
        <v>2009</v>
      </c>
      <c r="DN2" s="93">
        <f t="shared" si="0"/>
        <v>2010</v>
      </c>
      <c r="DO2" s="93">
        <f t="shared" si="0"/>
        <v>2011</v>
      </c>
      <c r="DP2" s="93">
        <f t="shared" si="0"/>
        <v>2012</v>
      </c>
      <c r="DQ2" s="93">
        <f t="shared" si="0"/>
        <v>2013</v>
      </c>
      <c r="DR2" s="93">
        <f t="shared" si="0"/>
        <v>2014</v>
      </c>
      <c r="DS2" s="93">
        <f t="shared" si="0"/>
        <v>2015</v>
      </c>
      <c r="DT2" s="93">
        <v>2016</v>
      </c>
      <c r="DU2" s="93">
        <v>2017</v>
      </c>
      <c r="DV2" s="93">
        <v>2018</v>
      </c>
      <c r="DW2" s="93">
        <v>2019</v>
      </c>
      <c r="DX2" s="93">
        <v>2020</v>
      </c>
      <c r="DY2" s="93">
        <v>2021</v>
      </c>
      <c r="DZ2" s="93">
        <v>2022</v>
      </c>
      <c r="EA2" s="93">
        <v>2023</v>
      </c>
      <c r="EB2" s="93">
        <v>2024</v>
      </c>
      <c r="EC2" s="93">
        <v>2025</v>
      </c>
      <c r="ED2" s="93">
        <f>+EC2+1</f>
        <v>2026</v>
      </c>
      <c r="EE2" s="93">
        <f t="shared" ref="EE2:EM2" si="1">+ED2+1</f>
        <v>2027</v>
      </c>
      <c r="EF2" s="93">
        <f t="shared" si="1"/>
        <v>2028</v>
      </c>
      <c r="EG2" s="93">
        <f t="shared" si="1"/>
        <v>2029</v>
      </c>
      <c r="EH2" s="93">
        <f t="shared" si="1"/>
        <v>2030</v>
      </c>
      <c r="EI2" s="93">
        <f t="shared" si="1"/>
        <v>2031</v>
      </c>
      <c r="EJ2" s="93">
        <f t="shared" si="1"/>
        <v>2032</v>
      </c>
      <c r="EK2" s="93">
        <f t="shared" si="1"/>
        <v>2033</v>
      </c>
      <c r="EL2" s="93">
        <f t="shared" si="1"/>
        <v>2034</v>
      </c>
      <c r="EM2" s="93">
        <f t="shared" si="1"/>
        <v>2035</v>
      </c>
    </row>
    <row r="3" spans="1:143" s="63" customFormat="1">
      <c r="A3" s="103"/>
      <c r="B3" s="127" t="s">
        <v>506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69">
        <v>0</v>
      </c>
      <c r="BJ3" s="69">
        <v>18</v>
      </c>
      <c r="BK3" s="69">
        <v>51</v>
      </c>
      <c r="BL3" s="69">
        <v>92</v>
      </c>
      <c r="BM3" s="69">
        <v>133</v>
      </c>
      <c r="BN3" s="69">
        <v>147</v>
      </c>
      <c r="BO3" s="75">
        <v>171</v>
      </c>
      <c r="BP3" s="69">
        <v>232</v>
      </c>
      <c r="BQ3" s="69">
        <v>248</v>
      </c>
      <c r="BR3" s="69">
        <v>304</v>
      </c>
      <c r="BS3" s="69">
        <v>338</v>
      </c>
      <c r="BT3" s="69">
        <v>422</v>
      </c>
      <c r="BU3" s="69">
        <v>506</v>
      </c>
      <c r="BV3" s="69">
        <v>594</v>
      </c>
      <c r="BW3" s="75">
        <v>630</v>
      </c>
      <c r="BX3" s="75">
        <v>784</v>
      </c>
      <c r="BY3" s="75">
        <v>891</v>
      </c>
      <c r="BZ3" s="75">
        <v>884</v>
      </c>
      <c r="CA3" s="75">
        <v>982</v>
      </c>
      <c r="CB3" s="75">
        <v>1034</v>
      </c>
      <c r="CC3" s="75">
        <v>1155</v>
      </c>
      <c r="CD3" s="75">
        <v>1157</v>
      </c>
      <c r="CE3" s="75">
        <v>1149</v>
      </c>
      <c r="CF3" s="75">
        <v>1306</v>
      </c>
      <c r="CG3" s="75">
        <v>1247</v>
      </c>
      <c r="CH3" s="75">
        <v>1314</v>
      </c>
      <c r="CI3" s="75">
        <v>1304</v>
      </c>
      <c r="CJ3" s="75">
        <v>1400</v>
      </c>
      <c r="CK3" s="75">
        <v>1398</v>
      </c>
      <c r="CL3" s="75">
        <v>1342</v>
      </c>
      <c r="CM3" s="75">
        <v>1424</v>
      </c>
      <c r="CN3" s="75">
        <v>1491</v>
      </c>
      <c r="CO3" s="75">
        <v>1465</v>
      </c>
      <c r="CP3" s="75">
        <v>1419</v>
      </c>
      <c r="CQ3" s="75">
        <v>1595</v>
      </c>
      <c r="CR3" s="75">
        <v>1608</v>
      </c>
      <c r="CS3" s="75">
        <f>+CO3*1.05</f>
        <v>1538.25</v>
      </c>
      <c r="CT3" s="75">
        <f>+CP3*1.05</f>
        <v>1489.95</v>
      </c>
      <c r="CU3" s="75">
        <f>+CQ3*1.05</f>
        <v>1674.75</v>
      </c>
      <c r="CV3" s="75">
        <f>+CR3*1.05</f>
        <v>1688.4</v>
      </c>
      <c r="CW3" s="75">
        <f>+CS3*1.05</f>
        <v>1615.1625000000001</v>
      </c>
      <c r="CX3" s="75">
        <f>+CT3*1.05</f>
        <v>1564.4475000000002</v>
      </c>
      <c r="CY3" s="75"/>
      <c r="CZ3" s="75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>
        <f>SUM(BK3:BN3)</f>
        <v>423</v>
      </c>
      <c r="DU3" s="69">
        <f>SUM(BO3:BR3)</f>
        <v>955</v>
      </c>
      <c r="DV3" s="69">
        <f>SUM(BS3:BV3)</f>
        <v>1860</v>
      </c>
      <c r="DW3" s="69">
        <f>SUM(BW3:BZ3)</f>
        <v>3189</v>
      </c>
      <c r="DX3" s="69">
        <f>SUM(CA3:CD3)</f>
        <v>4328</v>
      </c>
      <c r="DY3" s="69">
        <f t="shared" ref="DY3:DY7" si="2">SUM(CE3:CH3)</f>
        <v>5016</v>
      </c>
      <c r="DZ3" s="69">
        <f t="shared" ref="DZ3:DZ7" si="3">SUM(CI3:CL3)</f>
        <v>5444</v>
      </c>
      <c r="EA3" s="69">
        <f t="shared" ref="EA3:EA7" si="4">SUM(CM3:CP3)</f>
        <v>5799</v>
      </c>
      <c r="EB3" s="69">
        <f>SUM(CQ3:CT3)</f>
        <v>6231.2</v>
      </c>
      <c r="EC3" s="69">
        <f t="shared" ref="EC3:EF3" si="5">+EB3*1.01</f>
        <v>6293.5119999999997</v>
      </c>
      <c r="ED3" s="69">
        <f t="shared" si="5"/>
        <v>6356.4471199999998</v>
      </c>
      <c r="EE3" s="69">
        <f t="shared" si="5"/>
        <v>6420.0115912000001</v>
      </c>
      <c r="EF3" s="69">
        <f t="shared" si="5"/>
        <v>6484.2117071120001</v>
      </c>
      <c r="EG3" s="69">
        <f>+EF3*0.95</f>
        <v>6160.0011217563997</v>
      </c>
      <c r="EH3" s="69">
        <f>+EG3*0.95</f>
        <v>5852.001065668579</v>
      </c>
      <c r="EI3" s="69">
        <f>+EH3*0.95</f>
        <v>5559.4010123851494</v>
      </c>
      <c r="EJ3" s="69">
        <f>+EI3*0.5</f>
        <v>2779.7005061925747</v>
      </c>
      <c r="EK3" s="63">
        <f>+EJ3*0.2</f>
        <v>555.94010123851501</v>
      </c>
      <c r="EL3" s="63">
        <f t="shared" ref="EL3:EM3" si="6">+EK3*0.2</f>
        <v>111.18802024770301</v>
      </c>
      <c r="EM3" s="63">
        <f t="shared" si="6"/>
        <v>22.237604049540604</v>
      </c>
    </row>
    <row r="4" spans="1:143" s="11" customFormat="1">
      <c r="A4" s="31"/>
      <c r="B4" s="97" t="s">
        <v>511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70"/>
      <c r="AL4" s="69"/>
      <c r="AM4" s="69"/>
      <c r="AN4" s="69"/>
      <c r="AO4" s="69"/>
      <c r="AP4" s="69"/>
      <c r="AQ4" s="70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>
        <v>13</v>
      </c>
      <c r="BD4" s="69"/>
      <c r="BE4" s="69"/>
      <c r="BF4" s="69"/>
      <c r="BG4" s="69">
        <v>76</v>
      </c>
      <c r="BH4" s="69">
        <v>129</v>
      </c>
      <c r="BI4" s="75">
        <v>135</v>
      </c>
      <c r="BJ4" s="69">
        <v>152</v>
      </c>
      <c r="BK4" s="69">
        <v>165</v>
      </c>
      <c r="BL4" s="69">
        <v>211</v>
      </c>
      <c r="BM4" s="69">
        <v>220</v>
      </c>
      <c r="BN4" s="69">
        <v>239</v>
      </c>
      <c r="BO4" s="75">
        <v>207</v>
      </c>
      <c r="BP4" s="69">
        <v>250</v>
      </c>
      <c r="BQ4" s="69">
        <v>285</v>
      </c>
      <c r="BR4" s="69">
        <v>332</v>
      </c>
      <c r="BS4" s="69">
        <v>299</v>
      </c>
      <c r="BT4" s="69">
        <v>340</v>
      </c>
      <c r="BU4" s="69">
        <v>355</v>
      </c>
      <c r="BV4" s="69">
        <v>397</v>
      </c>
      <c r="BW4" s="75">
        <v>349</v>
      </c>
      <c r="BX4" s="75">
        <v>377</v>
      </c>
      <c r="BY4" s="75">
        <v>398</v>
      </c>
      <c r="BZ4" s="75">
        <v>419</v>
      </c>
      <c r="CA4" s="75">
        <v>405</v>
      </c>
      <c r="CB4" s="75">
        <v>443</v>
      </c>
      <c r="CC4" s="75">
        <v>525</v>
      </c>
      <c r="CD4" s="75">
        <v>586</v>
      </c>
      <c r="CE4" s="75">
        <v>624</v>
      </c>
      <c r="CF4" s="75">
        <v>732</v>
      </c>
      <c r="CG4" s="75">
        <v>796</v>
      </c>
      <c r="CH4" s="75">
        <v>848</v>
      </c>
      <c r="CI4" s="75">
        <v>1000</v>
      </c>
      <c r="CJ4" s="75">
        <v>1103</v>
      </c>
      <c r="CK4" s="75">
        <v>1101</v>
      </c>
      <c r="CL4" s="75">
        <v>1177</v>
      </c>
      <c r="CM4" s="75">
        <v>1299</v>
      </c>
      <c r="CN4" s="75">
        <v>1505</v>
      </c>
      <c r="CO4" s="75">
        <v>1554</v>
      </c>
      <c r="CP4" s="75">
        <v>1606</v>
      </c>
      <c r="CQ4" s="75">
        <v>1892</v>
      </c>
      <c r="CR4" s="75">
        <v>1945</v>
      </c>
      <c r="CS4" s="75">
        <f>+CO4*1.2</f>
        <v>1864.8</v>
      </c>
      <c r="CT4" s="75">
        <f t="shared" ref="CT4:CX4" si="7">+CP4*1.2</f>
        <v>1927.1999999999998</v>
      </c>
      <c r="CU4" s="75">
        <f t="shared" si="7"/>
        <v>2270.4</v>
      </c>
      <c r="CV4" s="75">
        <f>+CR4*0.5</f>
        <v>972.5</v>
      </c>
      <c r="CW4" s="75">
        <f>+CS4*0.5</f>
        <v>932.4</v>
      </c>
      <c r="CX4" s="75">
        <f>+CT4*0.5</f>
        <v>963.59999999999991</v>
      </c>
      <c r="CY4" s="75"/>
      <c r="CZ4" s="75"/>
      <c r="DA4" s="69"/>
      <c r="DB4" s="69"/>
      <c r="DC4" s="69"/>
      <c r="DD4" s="69"/>
      <c r="DE4" s="69"/>
      <c r="DF4" s="71"/>
      <c r="DG4" s="71"/>
      <c r="DH4" s="71"/>
      <c r="DI4" s="71"/>
      <c r="DJ4" s="71"/>
      <c r="DK4" s="71"/>
      <c r="DL4" s="71"/>
      <c r="DM4" s="71"/>
      <c r="DN4" s="71"/>
      <c r="DO4" s="71"/>
      <c r="DP4" s="71"/>
      <c r="DQ4" s="71"/>
      <c r="DR4" s="71"/>
      <c r="DS4" s="71"/>
      <c r="DT4" s="69">
        <f>SUM(BK4:BN4)</f>
        <v>835</v>
      </c>
      <c r="DU4" s="69">
        <f>SUM(BO4:BR4)</f>
        <v>1074</v>
      </c>
      <c r="DV4" s="69">
        <f>SUM(BS4:BV4)</f>
        <v>1391</v>
      </c>
      <c r="DW4" s="69">
        <f t="shared" ref="DW4:DW62" si="8">SUM(BW4:BZ4)</f>
        <v>1543</v>
      </c>
      <c r="DX4" s="69">
        <f t="shared" ref="DX4:DX62" si="9">SUM(CA4:CD4)</f>
        <v>1959</v>
      </c>
      <c r="DY4" s="69">
        <f t="shared" si="2"/>
        <v>3000</v>
      </c>
      <c r="DZ4" s="69">
        <f t="shared" si="3"/>
        <v>4381</v>
      </c>
      <c r="EA4" s="69">
        <f t="shared" si="4"/>
        <v>5964</v>
      </c>
      <c r="EB4" s="69">
        <f>SUM(CQ4:CT4)</f>
        <v>7629</v>
      </c>
      <c r="EC4" s="69">
        <f>+EB4*1.05</f>
        <v>8010.4500000000007</v>
      </c>
      <c r="ED4" s="63">
        <f>+EC4*0.2</f>
        <v>1602.0900000000001</v>
      </c>
      <c r="EE4" s="63">
        <f t="shared" ref="EE4:EM4" si="10">+ED4*0.2</f>
        <v>320.41800000000006</v>
      </c>
      <c r="EF4" s="63">
        <f t="shared" si="10"/>
        <v>64.083600000000018</v>
      </c>
      <c r="EG4" s="63">
        <f t="shared" si="10"/>
        <v>12.816720000000004</v>
      </c>
      <c r="EH4" s="63">
        <f t="shared" si="10"/>
        <v>2.5633440000000007</v>
      </c>
      <c r="EI4" s="63">
        <f t="shared" si="10"/>
        <v>0.51266880000000015</v>
      </c>
      <c r="EJ4" s="63">
        <f t="shared" si="10"/>
        <v>0.10253376000000003</v>
      </c>
      <c r="EK4" s="63">
        <f t="shared" si="10"/>
        <v>2.0506752000000007E-2</v>
      </c>
      <c r="EL4" s="63">
        <f t="shared" si="10"/>
        <v>4.1013504000000011E-3</v>
      </c>
      <c r="EM4" s="63">
        <f t="shared" si="10"/>
        <v>8.2027008000000023E-4</v>
      </c>
    </row>
    <row r="5" spans="1:143" s="11" customFormat="1">
      <c r="A5" s="31"/>
      <c r="B5" s="97" t="s">
        <v>522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70"/>
      <c r="AL5" s="69"/>
      <c r="AM5" s="69"/>
      <c r="AN5" s="69"/>
      <c r="AO5" s="69"/>
      <c r="AP5" s="69"/>
      <c r="AQ5" s="70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>
        <v>0</v>
      </c>
      <c r="BH5" s="69">
        <v>0</v>
      </c>
      <c r="BI5" s="75">
        <v>0</v>
      </c>
      <c r="BJ5" s="69">
        <v>0</v>
      </c>
      <c r="BK5" s="69">
        <v>0</v>
      </c>
      <c r="BL5" s="69">
        <v>0</v>
      </c>
      <c r="BM5" s="69">
        <v>0</v>
      </c>
      <c r="BN5" s="69">
        <v>0</v>
      </c>
      <c r="BO5" s="75">
        <v>0</v>
      </c>
      <c r="BP5" s="69">
        <v>0</v>
      </c>
      <c r="BQ5" s="69">
        <v>0</v>
      </c>
      <c r="BR5" s="69">
        <v>0</v>
      </c>
      <c r="BS5" s="69">
        <v>0</v>
      </c>
      <c r="BT5" s="69">
        <v>0</v>
      </c>
      <c r="BU5" s="69">
        <v>0</v>
      </c>
      <c r="BV5" s="69">
        <v>0</v>
      </c>
      <c r="BW5" s="75">
        <v>0</v>
      </c>
      <c r="BX5" s="75">
        <v>0</v>
      </c>
      <c r="BY5" s="75">
        <v>0</v>
      </c>
      <c r="BZ5" s="75">
        <v>0</v>
      </c>
      <c r="CA5" s="75">
        <v>0</v>
      </c>
      <c r="CB5" s="75">
        <v>0</v>
      </c>
      <c r="CC5" s="75">
        <v>0</v>
      </c>
      <c r="CD5" s="75">
        <v>0</v>
      </c>
      <c r="CE5" s="75">
        <v>0</v>
      </c>
      <c r="CF5" s="75">
        <v>0</v>
      </c>
      <c r="CG5" s="75">
        <v>798</v>
      </c>
      <c r="CH5" s="75">
        <v>1076</v>
      </c>
      <c r="CI5" s="75">
        <v>990</v>
      </c>
      <c r="CJ5" s="75">
        <v>1027</v>
      </c>
      <c r="CK5" s="75">
        <v>901</v>
      </c>
      <c r="CL5" s="75">
        <v>844</v>
      </c>
      <c r="CM5" s="75">
        <v>834</v>
      </c>
      <c r="CN5" s="75">
        <v>814</v>
      </c>
      <c r="CO5" s="75">
        <v>781</v>
      </c>
      <c r="CP5" s="75">
        <v>715</v>
      </c>
      <c r="CQ5" s="75">
        <v>739</v>
      </c>
      <c r="CR5" s="75">
        <v>700</v>
      </c>
      <c r="CS5" s="75">
        <f>+CO5*0.8</f>
        <v>624.80000000000007</v>
      </c>
      <c r="CT5" s="75">
        <f>+CP5*0.9</f>
        <v>643.5</v>
      </c>
      <c r="CU5" s="75">
        <f>+CQ5*0.9</f>
        <v>665.1</v>
      </c>
      <c r="CV5" s="75">
        <f>+CR5*0.9</f>
        <v>630</v>
      </c>
      <c r="CW5" s="75">
        <f>+CS5*0.9</f>
        <v>562.32000000000005</v>
      </c>
      <c r="CX5" s="75">
        <f>+CT5*0.9</f>
        <v>579.15</v>
      </c>
      <c r="CY5" s="75"/>
      <c r="CZ5" s="75"/>
      <c r="DA5" s="69"/>
      <c r="DB5" s="69"/>
      <c r="DC5" s="69"/>
      <c r="DD5" s="69"/>
      <c r="DE5" s="69"/>
      <c r="DF5" s="71"/>
      <c r="DG5" s="71"/>
      <c r="DH5" s="71"/>
      <c r="DI5" s="71"/>
      <c r="DJ5" s="71"/>
      <c r="DK5" s="71"/>
      <c r="DL5" s="71"/>
      <c r="DM5" s="71"/>
      <c r="DN5" s="71"/>
      <c r="DO5" s="71"/>
      <c r="DP5" s="71"/>
      <c r="DQ5" s="71"/>
      <c r="DR5" s="71"/>
      <c r="DS5" s="71"/>
      <c r="DT5" s="69">
        <f>SUM(BK5:BN5)</f>
        <v>0</v>
      </c>
      <c r="DU5" s="69">
        <f t="shared" ref="DU5:DU65" si="11">SUM(BO5:BR5)</f>
        <v>0</v>
      </c>
      <c r="DV5" s="69">
        <f>SUM(BS5:BV5)</f>
        <v>0</v>
      </c>
      <c r="DW5" s="69">
        <f t="shared" si="8"/>
        <v>0</v>
      </c>
      <c r="DX5" s="69">
        <f t="shared" si="9"/>
        <v>0</v>
      </c>
      <c r="DY5" s="69">
        <f t="shared" si="2"/>
        <v>1874</v>
      </c>
      <c r="DZ5" s="69">
        <f t="shared" si="3"/>
        <v>3762</v>
      </c>
      <c r="EA5" s="69">
        <f t="shared" si="4"/>
        <v>3144</v>
      </c>
      <c r="EB5" s="69">
        <f>SUM(CQ5:CT5)</f>
        <v>2707.3</v>
      </c>
      <c r="EC5" s="69">
        <f>+EB5*0.7</f>
        <v>1895.11</v>
      </c>
      <c r="ED5" s="69">
        <f>+EC5*0.5</f>
        <v>947.55499999999995</v>
      </c>
      <c r="EE5" s="69">
        <f t="shared" ref="EC5:EM5" si="12">+ED5*0.95</f>
        <v>900.17724999999996</v>
      </c>
      <c r="EF5" s="69">
        <f t="shared" si="12"/>
        <v>855.16838749999988</v>
      </c>
      <c r="EG5" s="69">
        <f t="shared" si="12"/>
        <v>812.40996812499986</v>
      </c>
      <c r="EH5" s="69">
        <f t="shared" si="12"/>
        <v>771.78946971874984</v>
      </c>
      <c r="EI5" s="69">
        <f t="shared" si="12"/>
        <v>733.19999623281228</v>
      </c>
      <c r="EJ5" s="69">
        <f t="shared" si="12"/>
        <v>696.53999642117162</v>
      </c>
      <c r="EK5" s="69">
        <f t="shared" si="12"/>
        <v>661.712996600113</v>
      </c>
      <c r="EL5" s="69">
        <f t="shared" si="12"/>
        <v>628.62734677010735</v>
      </c>
      <c r="EM5" s="69">
        <f t="shared" si="12"/>
        <v>597.19597943160193</v>
      </c>
    </row>
    <row r="6" spans="1:143" s="11" customFormat="1">
      <c r="A6" s="31"/>
      <c r="B6" s="131" t="s">
        <v>615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69">
        <v>1</v>
      </c>
      <c r="BQ6" s="69">
        <v>0</v>
      </c>
      <c r="BR6" s="69">
        <v>18</v>
      </c>
      <c r="BS6" s="69">
        <v>62</v>
      </c>
      <c r="BT6" s="69">
        <v>122</v>
      </c>
      <c r="BU6" s="69">
        <v>187</v>
      </c>
      <c r="BV6" s="69">
        <v>262</v>
      </c>
      <c r="BW6" s="75">
        <v>295</v>
      </c>
      <c r="BX6" s="75">
        <v>338</v>
      </c>
      <c r="BY6" s="75">
        <v>412</v>
      </c>
      <c r="BZ6" s="75">
        <v>424</v>
      </c>
      <c r="CA6" s="75">
        <v>462</v>
      </c>
      <c r="CB6" s="75">
        <v>492</v>
      </c>
      <c r="CC6" s="75">
        <v>533</v>
      </c>
      <c r="CD6" s="75">
        <v>555</v>
      </c>
      <c r="CE6" s="75">
        <v>556</v>
      </c>
      <c r="CF6" s="75">
        <v>604</v>
      </c>
      <c r="CG6" s="75">
        <v>618</v>
      </c>
      <c r="CH6" s="75">
        <v>634</v>
      </c>
      <c r="CI6" s="75">
        <v>599</v>
      </c>
      <c r="CJ6" s="75">
        <v>695</v>
      </c>
      <c r="CK6" s="75">
        <v>737</v>
      </c>
      <c r="CL6" s="75">
        <v>752</v>
      </c>
      <c r="CM6" s="75">
        <v>900</v>
      </c>
      <c r="CN6" s="75">
        <v>1076</v>
      </c>
      <c r="CO6" s="75">
        <v>1126</v>
      </c>
      <c r="CP6" s="75">
        <v>1135</v>
      </c>
      <c r="CQ6" s="75">
        <v>1113</v>
      </c>
      <c r="CR6" s="75">
        <v>1147</v>
      </c>
      <c r="CS6" s="75">
        <f>+CO6*1.1</f>
        <v>1238.6000000000001</v>
      </c>
      <c r="CT6" s="75">
        <f>+CP6*1.1</f>
        <v>1248.5</v>
      </c>
      <c r="CU6" s="75">
        <f>+CQ6*1.1</f>
        <v>1224.3000000000002</v>
      </c>
      <c r="CV6" s="75">
        <f>+CR6*1.1</f>
        <v>1261.7</v>
      </c>
      <c r="CW6" s="75">
        <f>+CS6*1.1</f>
        <v>1362.4600000000003</v>
      </c>
      <c r="CX6" s="75">
        <f>+CT6*1.1</f>
        <v>1373.3500000000001</v>
      </c>
      <c r="CY6" s="75"/>
      <c r="CZ6" s="75"/>
      <c r="DA6" s="69"/>
      <c r="DB6" s="69"/>
      <c r="DC6" s="69"/>
      <c r="DD6" s="69"/>
      <c r="DE6" s="69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69">
        <f t="shared" ref="DT6:DT75" si="13">SUM(BK6:BN6)</f>
        <v>0</v>
      </c>
      <c r="DU6" s="69">
        <f t="shared" si="11"/>
        <v>19</v>
      </c>
      <c r="DV6" s="69">
        <f>SUM(BS6:BV6)</f>
        <v>633</v>
      </c>
      <c r="DW6" s="69">
        <f t="shared" si="8"/>
        <v>1469</v>
      </c>
      <c r="DX6" s="69">
        <f t="shared" si="9"/>
        <v>2042</v>
      </c>
      <c r="DY6" s="69">
        <f t="shared" si="2"/>
        <v>2412</v>
      </c>
      <c r="DZ6" s="69">
        <f t="shared" si="3"/>
        <v>2783</v>
      </c>
      <c r="EA6" s="69">
        <f t="shared" si="4"/>
        <v>4237</v>
      </c>
      <c r="EB6" s="69">
        <f>SUM(CQ6:CT6)</f>
        <v>4747.1000000000004</v>
      </c>
      <c r="EC6" s="69">
        <f t="shared" ref="EC6:EF6" si="14">+EB6*1.05</f>
        <v>4984.4550000000008</v>
      </c>
      <c r="ED6" s="69">
        <f t="shared" si="14"/>
        <v>5233.6777500000007</v>
      </c>
      <c r="EE6" s="69">
        <f t="shared" si="14"/>
        <v>5495.3616375000011</v>
      </c>
      <c r="EF6" s="69">
        <f t="shared" si="14"/>
        <v>5770.1297193750015</v>
      </c>
      <c r="EG6" s="63">
        <f>+EF6*0.95</f>
        <v>5481.6232334062515</v>
      </c>
      <c r="EH6" s="63">
        <f t="shared" ref="EH6:EM6" si="15">+EG6*0.95</f>
        <v>5207.5420717359384</v>
      </c>
      <c r="EI6" s="63">
        <f t="shared" si="15"/>
        <v>4947.1649681491408</v>
      </c>
      <c r="EJ6" s="63">
        <f t="shared" si="15"/>
        <v>4699.806719741684</v>
      </c>
      <c r="EK6" s="63">
        <f t="shared" si="15"/>
        <v>4464.8163837545999</v>
      </c>
      <c r="EL6" s="63">
        <f t="shared" si="15"/>
        <v>4241.5755645668696</v>
      </c>
      <c r="EM6" s="63">
        <f t="shared" si="15"/>
        <v>4029.4967863385259</v>
      </c>
    </row>
    <row r="7" spans="1:143" s="11" customFormat="1">
      <c r="A7" s="31"/>
      <c r="B7" s="98" t="s">
        <v>347</v>
      </c>
      <c r="C7" s="40">
        <v>3</v>
      </c>
      <c r="D7" s="40">
        <v>11</v>
      </c>
      <c r="E7" s="40">
        <v>20</v>
      </c>
      <c r="F7" s="40">
        <v>49</v>
      </c>
      <c r="G7" s="40">
        <v>54</v>
      </c>
      <c r="H7" s="40">
        <v>68</v>
      </c>
      <c r="I7" s="40">
        <v>72</v>
      </c>
      <c r="J7" s="40">
        <v>105</v>
      </c>
      <c r="K7" s="40">
        <v>122</v>
      </c>
      <c r="L7" s="40">
        <v>127</v>
      </c>
      <c r="M7" s="40">
        <v>128</v>
      </c>
      <c r="N7" s="40">
        <v>172</v>
      </c>
      <c r="O7" s="40">
        <v>188</v>
      </c>
      <c r="P7" s="40">
        <v>205</v>
      </c>
      <c r="Q7" s="40">
        <v>185</v>
      </c>
      <c r="R7" s="40">
        <v>219</v>
      </c>
      <c r="S7" s="40">
        <v>247</v>
      </c>
      <c r="T7" s="40">
        <v>255</v>
      </c>
      <c r="U7" s="40">
        <v>240</v>
      </c>
      <c r="V7" s="40">
        <v>264</v>
      </c>
      <c r="W7" s="40">
        <v>277</v>
      </c>
      <c r="X7" s="40">
        <v>308</v>
      </c>
      <c r="Y7" s="40">
        <v>276</v>
      </c>
      <c r="Z7" s="40">
        <v>323</v>
      </c>
      <c r="AA7" s="40">
        <v>354</v>
      </c>
      <c r="AB7" s="40">
        <v>414</v>
      </c>
      <c r="AC7" s="40">
        <v>371</v>
      </c>
      <c r="AD7" s="40">
        <v>436</v>
      </c>
      <c r="AE7" s="40">
        <v>471</v>
      </c>
      <c r="AF7" s="40">
        <v>518</v>
      </c>
      <c r="AG7" s="40">
        <v>501</v>
      </c>
      <c r="AH7" s="40">
        <v>514</v>
      </c>
      <c r="AI7" s="40">
        <v>515</v>
      </c>
      <c r="AJ7" s="40">
        <v>551</v>
      </c>
      <c r="AK7" s="52">
        <v>562</v>
      </c>
      <c r="AL7" s="40">
        <v>666</v>
      </c>
      <c r="AM7" s="40">
        <v>701</v>
      </c>
      <c r="AN7" s="40">
        <v>664</v>
      </c>
      <c r="AO7" s="40">
        <v>640</v>
      </c>
      <c r="AP7" s="40">
        <v>741</v>
      </c>
      <c r="AQ7" s="67">
        <v>752</v>
      </c>
      <c r="AR7" s="40">
        <f>+AQ7+15</f>
        <v>767</v>
      </c>
      <c r="AS7" s="40">
        <v>755</v>
      </c>
      <c r="AT7" s="40">
        <v>839</v>
      </c>
      <c r="AU7" s="40">
        <v>723</v>
      </c>
      <c r="AV7" s="40"/>
      <c r="AW7" s="40"/>
      <c r="AX7" s="40"/>
      <c r="AY7" s="40">
        <v>826</v>
      </c>
      <c r="AZ7" s="40">
        <v>842</v>
      </c>
      <c r="BA7" s="40"/>
      <c r="BB7" s="40"/>
      <c r="BC7" s="40">
        <v>928</v>
      </c>
      <c r="BD7" s="40">
        <v>928</v>
      </c>
      <c r="BE7" s="40"/>
      <c r="BF7" s="40"/>
      <c r="BG7" s="40">
        <v>845</v>
      </c>
      <c r="BH7" s="40">
        <v>842</v>
      </c>
      <c r="BI7" s="72">
        <v>848</v>
      </c>
      <c r="BJ7" s="72">
        <v>859</v>
      </c>
      <c r="BK7" s="72">
        <v>749</v>
      </c>
      <c r="BL7" s="72">
        <v>803</v>
      </c>
      <c r="BM7" s="72">
        <v>697</v>
      </c>
      <c r="BN7" s="40">
        <v>740</v>
      </c>
      <c r="BO7" s="72">
        <v>677</v>
      </c>
      <c r="BP7" s="40">
        <v>706</v>
      </c>
      <c r="BQ7" s="40">
        <v>668</v>
      </c>
      <c r="BR7" s="40">
        <v>752</v>
      </c>
      <c r="BS7" s="40">
        <v>634</v>
      </c>
      <c r="BT7" s="40">
        <v>672</v>
      </c>
      <c r="BU7" s="40">
        <v>619</v>
      </c>
      <c r="BV7" s="40">
        <v>636</v>
      </c>
      <c r="BW7" s="72">
        <v>585</v>
      </c>
      <c r="BX7" s="72">
        <v>585</v>
      </c>
      <c r="BY7" s="72">
        <v>613</v>
      </c>
      <c r="BZ7" s="72">
        <v>712</v>
      </c>
      <c r="CA7" s="72">
        <v>790</v>
      </c>
      <c r="CB7" s="72">
        <v>653</v>
      </c>
      <c r="CC7" s="72">
        <v>599</v>
      </c>
      <c r="CD7" s="72">
        <v>680</v>
      </c>
      <c r="CE7" s="72">
        <v>691</v>
      </c>
      <c r="CF7" s="72">
        <v>680</v>
      </c>
      <c r="CG7" s="72">
        <v>676</v>
      </c>
      <c r="CH7" s="72">
        <v>681</v>
      </c>
      <c r="CI7" s="72">
        <v>674</v>
      </c>
      <c r="CJ7" s="72">
        <v>614</v>
      </c>
      <c r="CK7" s="72">
        <v>630</v>
      </c>
      <c r="CL7" s="72">
        <v>620</v>
      </c>
      <c r="CM7" s="72">
        <v>688</v>
      </c>
      <c r="CN7" s="72">
        <v>600</v>
      </c>
      <c r="CO7" s="72">
        <v>555</v>
      </c>
      <c r="CP7" s="72">
        <v>520</v>
      </c>
      <c r="CQ7" s="72">
        <v>769</v>
      </c>
      <c r="CR7" s="72">
        <v>722</v>
      </c>
      <c r="CS7" s="72">
        <f>+CO7*1.2</f>
        <v>666</v>
      </c>
      <c r="CT7" s="72">
        <f>+CP7*1.2</f>
        <v>624</v>
      </c>
      <c r="CU7" s="72">
        <f>+CQ7*1.05</f>
        <v>807.45</v>
      </c>
      <c r="CV7" s="72">
        <f>+CR7*1.05</f>
        <v>758.1</v>
      </c>
      <c r="CW7" s="72">
        <f>+CS7*1.1</f>
        <v>732.6</v>
      </c>
      <c r="CX7" s="72">
        <f>+CT7*1.1</f>
        <v>686.40000000000009</v>
      </c>
      <c r="CY7" s="72"/>
      <c r="CZ7" s="72"/>
      <c r="DA7" s="40"/>
      <c r="DB7" s="40"/>
      <c r="DC7" s="40"/>
      <c r="DD7" s="39"/>
      <c r="DE7" s="39"/>
      <c r="DF7" s="40">
        <v>299</v>
      </c>
      <c r="DG7" s="40">
        <v>549</v>
      </c>
      <c r="DH7" s="40">
        <v>797</v>
      </c>
      <c r="DI7" s="40">
        <f>SUM(S7:V7)</f>
        <v>1006</v>
      </c>
      <c r="DJ7" s="40">
        <f>SUM(W7:Z7)</f>
        <v>1184</v>
      </c>
      <c r="DK7" s="40">
        <f>SUM(AA7:AD7)</f>
        <v>1575</v>
      </c>
      <c r="DL7" s="40">
        <f>SUM(AE7:AH7)</f>
        <v>2004</v>
      </c>
      <c r="DM7" s="40">
        <f>SUM(AI7:AL7)</f>
        <v>2294</v>
      </c>
      <c r="DN7" s="40">
        <f>SUM(AM7:AP7)</f>
        <v>2746</v>
      </c>
      <c r="DO7" s="40">
        <f>SUM(AQ7:AT7)</f>
        <v>3113</v>
      </c>
      <c r="DP7" s="40">
        <f>SUM(AU7:AX7)</f>
        <v>723</v>
      </c>
      <c r="DQ7" s="40"/>
      <c r="DR7" s="40"/>
      <c r="DS7" s="40"/>
      <c r="DT7" s="69">
        <f t="shared" si="13"/>
        <v>2989</v>
      </c>
      <c r="DU7" s="69">
        <f t="shared" si="11"/>
        <v>2803</v>
      </c>
      <c r="DV7" s="69">
        <f>SUM(BS7:BV7)</f>
        <v>2561</v>
      </c>
      <c r="DW7" s="69">
        <f t="shared" si="8"/>
        <v>2495</v>
      </c>
      <c r="DX7" s="69">
        <f t="shared" si="9"/>
        <v>2722</v>
      </c>
      <c r="DY7" s="69">
        <f t="shared" si="2"/>
        <v>2728</v>
      </c>
      <c r="DZ7" s="69">
        <f t="shared" si="3"/>
        <v>2538</v>
      </c>
      <c r="EA7" s="69">
        <f t="shared" si="4"/>
        <v>2363</v>
      </c>
      <c r="EB7" s="69">
        <f>SUM(CQ7:CT7)</f>
        <v>2781</v>
      </c>
      <c r="EC7" s="63">
        <f t="shared" ref="EC7:EM7" si="16">+EB7*0.95</f>
        <v>2641.95</v>
      </c>
      <c r="ED7" s="63">
        <f t="shared" si="16"/>
        <v>2509.8524999999995</v>
      </c>
      <c r="EE7" s="63">
        <f t="shared" si="16"/>
        <v>2384.3598749999996</v>
      </c>
      <c r="EF7" s="63">
        <f t="shared" si="16"/>
        <v>2265.1418812499996</v>
      </c>
      <c r="EG7" s="63">
        <f t="shared" si="16"/>
        <v>2151.8847871874996</v>
      </c>
      <c r="EH7" s="63">
        <f t="shared" si="16"/>
        <v>2044.2905478281245</v>
      </c>
      <c r="EI7" s="63">
        <f t="shared" si="16"/>
        <v>1942.0760204367182</v>
      </c>
      <c r="EJ7" s="63">
        <f t="shared" si="16"/>
        <v>1844.9722194148821</v>
      </c>
      <c r="EK7" s="63">
        <f t="shared" si="16"/>
        <v>1752.7236084441379</v>
      </c>
      <c r="EL7" s="63">
        <f t="shared" si="16"/>
        <v>1665.0874280219309</v>
      </c>
      <c r="EM7" s="63">
        <f t="shared" si="16"/>
        <v>1581.8330566208342</v>
      </c>
    </row>
    <row r="8" spans="1:143" s="11" customFormat="1">
      <c r="A8" s="31"/>
      <c r="B8" s="97" t="s">
        <v>507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70"/>
      <c r="AL8" s="69"/>
      <c r="AM8" s="69"/>
      <c r="AN8" s="69"/>
      <c r="AO8" s="69"/>
      <c r="AP8" s="69"/>
      <c r="AQ8" s="70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>
        <v>0</v>
      </c>
      <c r="BD8" s="69"/>
      <c r="BE8" s="69"/>
      <c r="BF8" s="69"/>
      <c r="BG8" s="69">
        <v>9</v>
      </c>
      <c r="BH8" s="69">
        <v>21</v>
      </c>
      <c r="BI8" s="75">
        <v>28</v>
      </c>
      <c r="BJ8" s="75">
        <v>36</v>
      </c>
      <c r="BK8" s="75">
        <v>44</v>
      </c>
      <c r="BL8" s="75">
        <v>54</v>
      </c>
      <c r="BM8" s="75">
        <v>58</v>
      </c>
      <c r="BN8" s="69">
        <v>62</v>
      </c>
      <c r="BO8" s="75">
        <v>57</v>
      </c>
      <c r="BP8" s="69">
        <v>59</v>
      </c>
      <c r="BQ8" s="69">
        <v>81</v>
      </c>
      <c r="BR8" s="69">
        <v>100</v>
      </c>
      <c r="BS8" s="69">
        <v>119</v>
      </c>
      <c r="BT8" s="69">
        <v>150</v>
      </c>
      <c r="BU8" s="69">
        <v>169</v>
      </c>
      <c r="BV8" s="69">
        <v>209</v>
      </c>
      <c r="BW8" s="75">
        <v>237</v>
      </c>
      <c r="BX8" s="75">
        <v>283</v>
      </c>
      <c r="BY8" s="75">
        <v>327</v>
      </c>
      <c r="BZ8" s="75">
        <v>351</v>
      </c>
      <c r="CA8" s="75">
        <v>397</v>
      </c>
      <c r="CB8" s="75">
        <v>419</v>
      </c>
      <c r="CC8" s="75">
        <v>464</v>
      </c>
      <c r="CD8" s="75">
        <v>496</v>
      </c>
      <c r="CE8" s="75">
        <v>543</v>
      </c>
      <c r="CF8" s="75">
        <v>588</v>
      </c>
      <c r="CG8" s="75">
        <v>588</v>
      </c>
      <c r="CH8" s="75">
        <v>629</v>
      </c>
      <c r="CI8" s="75">
        <v>617</v>
      </c>
      <c r="CJ8" s="75">
        <v>673</v>
      </c>
      <c r="CK8" s="75">
        <v>659</v>
      </c>
      <c r="CL8" s="75">
        <v>689</v>
      </c>
      <c r="CM8" s="75">
        <v>651</v>
      </c>
      <c r="CN8" s="75">
        <v>717</v>
      </c>
      <c r="CO8" s="75">
        <v>702</v>
      </c>
      <c r="CP8" s="75">
        <v>741</v>
      </c>
      <c r="CQ8" s="75">
        <v>705</v>
      </c>
      <c r="CR8" s="75">
        <v>744</v>
      </c>
      <c r="CS8" s="75">
        <f>+CO8*1.05</f>
        <v>737.1</v>
      </c>
      <c r="CT8" s="75">
        <f>+CP8*1.05</f>
        <v>778.05000000000007</v>
      </c>
      <c r="CU8" s="75">
        <f>+CQ8*1.05</f>
        <v>740.25</v>
      </c>
      <c r="CV8" s="75">
        <f>+CR8*1.05</f>
        <v>781.2</v>
      </c>
      <c r="CW8" s="75">
        <f>+CS8*1.05</f>
        <v>773.95500000000004</v>
      </c>
      <c r="CX8" s="75">
        <f>+CT8*1.05</f>
        <v>816.9525000000001</v>
      </c>
      <c r="CY8" s="75"/>
      <c r="CZ8" s="75"/>
      <c r="DA8" s="69"/>
      <c r="DB8" s="69"/>
      <c r="DC8" s="69"/>
      <c r="DD8" s="69"/>
      <c r="DE8" s="69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69">
        <f t="shared" si="13"/>
        <v>218</v>
      </c>
      <c r="DU8" s="69">
        <f t="shared" si="11"/>
        <v>297</v>
      </c>
      <c r="DV8" s="69">
        <f>SUM(BS8:BV8)</f>
        <v>647</v>
      </c>
      <c r="DW8" s="69">
        <f t="shared" si="8"/>
        <v>1198</v>
      </c>
      <c r="DX8" s="69">
        <f t="shared" si="9"/>
        <v>1776</v>
      </c>
      <c r="DY8" s="69">
        <f>SUM(CE8:CH8)</f>
        <v>2348</v>
      </c>
      <c r="DZ8" s="69">
        <f>SUM(CI8:CL8)</f>
        <v>2638</v>
      </c>
      <c r="EA8" s="69">
        <f>SUM(CM8:CP8)</f>
        <v>2811</v>
      </c>
      <c r="EB8" s="69">
        <f>SUM(CQ8:CT8)</f>
        <v>2964.15</v>
      </c>
      <c r="EC8" s="69">
        <f>+EB8*0.2</f>
        <v>592.83000000000004</v>
      </c>
      <c r="ED8" s="69">
        <f t="shared" ref="ED8:EM8" si="17">+EC8*0.2</f>
        <v>118.56600000000002</v>
      </c>
      <c r="EE8" s="69">
        <f t="shared" si="17"/>
        <v>23.713200000000004</v>
      </c>
      <c r="EF8" s="69">
        <f t="shared" si="17"/>
        <v>4.7426400000000006</v>
      </c>
      <c r="EG8" s="69">
        <f t="shared" si="17"/>
        <v>0.94852800000000015</v>
      </c>
      <c r="EH8" s="69">
        <f t="shared" si="17"/>
        <v>0.18970560000000003</v>
      </c>
      <c r="EI8" s="69">
        <f t="shared" si="17"/>
        <v>3.7941120000000009E-2</v>
      </c>
      <c r="EJ8" s="69">
        <f t="shared" si="17"/>
        <v>7.5882240000000019E-3</v>
      </c>
      <c r="EK8" s="69">
        <f t="shared" si="17"/>
        <v>1.5176448000000006E-3</v>
      </c>
      <c r="EL8" s="69">
        <f t="shared" si="17"/>
        <v>3.0352896000000013E-4</v>
      </c>
      <c r="EM8" s="69">
        <f t="shared" si="17"/>
        <v>6.0705792000000029E-5</v>
      </c>
    </row>
    <row r="9" spans="1:143" s="11" customFormat="1">
      <c r="A9" s="31"/>
      <c r="B9" s="97" t="s">
        <v>509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69">
        <v>0</v>
      </c>
      <c r="BU9" s="69">
        <v>0</v>
      </c>
      <c r="BV9" s="69">
        <v>0</v>
      </c>
      <c r="BW9" s="75">
        <v>0</v>
      </c>
      <c r="BX9" s="75">
        <v>0</v>
      </c>
      <c r="BY9" s="75">
        <v>0</v>
      </c>
      <c r="BZ9" s="75">
        <v>0</v>
      </c>
      <c r="CA9" s="75">
        <v>0</v>
      </c>
      <c r="CB9" s="75">
        <v>0</v>
      </c>
      <c r="CC9" s="75">
        <v>0</v>
      </c>
      <c r="CD9" s="75">
        <v>0</v>
      </c>
      <c r="CE9" s="75">
        <v>1</v>
      </c>
      <c r="CF9" s="75">
        <v>3</v>
      </c>
      <c r="CG9" s="75">
        <v>5</v>
      </c>
      <c r="CH9" s="75">
        <v>7</v>
      </c>
      <c r="CI9" s="75">
        <v>11</v>
      </c>
      <c r="CJ9" s="75">
        <v>18</v>
      </c>
      <c r="CK9" s="75">
        <v>23</v>
      </c>
      <c r="CL9" s="75">
        <v>28</v>
      </c>
      <c r="CM9" s="75">
        <v>37</v>
      </c>
      <c r="CN9" s="75">
        <v>67</v>
      </c>
      <c r="CO9" s="75">
        <v>73</v>
      </c>
      <c r="CP9" s="75">
        <v>83</v>
      </c>
      <c r="CQ9" s="75">
        <v>461</v>
      </c>
      <c r="CR9" s="75">
        <v>472</v>
      </c>
      <c r="CS9" s="75">
        <f>+CR9+50</f>
        <v>522</v>
      </c>
      <c r="CT9" s="75">
        <f>+CS9+50</f>
        <v>572</v>
      </c>
      <c r="CU9" s="75">
        <f>+CT9+50</f>
        <v>622</v>
      </c>
      <c r="CV9" s="75">
        <f>+CU9+50</f>
        <v>672</v>
      </c>
      <c r="CW9" s="75">
        <f>+CV9+50</f>
        <v>722</v>
      </c>
      <c r="CX9" s="75">
        <f>+CW9+50</f>
        <v>772</v>
      </c>
      <c r="CY9" s="75"/>
      <c r="CZ9" s="75"/>
      <c r="DA9" s="69"/>
      <c r="DB9" s="69"/>
      <c r="DC9" s="69"/>
      <c r="DD9" s="69"/>
      <c r="DE9" s="69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69">
        <f t="shared" si="13"/>
        <v>0</v>
      </c>
      <c r="DU9" s="69">
        <f t="shared" si="11"/>
        <v>0</v>
      </c>
      <c r="DV9" s="69">
        <f>SUM(BS9:BV9)</f>
        <v>0</v>
      </c>
      <c r="DW9" s="69">
        <f>SUM(BW9:BZ9)</f>
        <v>0</v>
      </c>
      <c r="DX9" s="69">
        <f>SUM(CA9:CD9)</f>
        <v>0</v>
      </c>
      <c r="DY9" s="69">
        <f>SUM(CE9:CH9)</f>
        <v>16</v>
      </c>
      <c r="DZ9" s="69">
        <f>SUM(CI9:CL9)</f>
        <v>80</v>
      </c>
      <c r="EA9" s="69">
        <f>SUM(CM9:CP9)</f>
        <v>260</v>
      </c>
      <c r="EB9" s="69">
        <f>SUM(CQ9:CT9)</f>
        <v>2027</v>
      </c>
      <c r="EC9" s="69">
        <f>+EB9*1.4</f>
        <v>2837.7999999999997</v>
      </c>
      <c r="ED9" s="69">
        <f>+EC9*1.3</f>
        <v>3689.14</v>
      </c>
      <c r="EE9" s="69">
        <f>+ED9*1.2</f>
        <v>4426.9679999999998</v>
      </c>
      <c r="EF9" s="69">
        <f>+EE9*1.1</f>
        <v>4869.6648000000005</v>
      </c>
      <c r="EG9" s="69">
        <f>+EF9*1.03</f>
        <v>5015.7547440000008</v>
      </c>
      <c r="EH9" s="69">
        <f>+EG9*1.03</f>
        <v>5166.2273863200007</v>
      </c>
      <c r="EI9" s="69">
        <f>+EH9*1.03</f>
        <v>5321.2142079096011</v>
      </c>
      <c r="EJ9" s="69">
        <f>+EI9*1.03</f>
        <v>5480.8506341468892</v>
      </c>
      <c r="EK9" s="69">
        <f>+EJ9*1.03</f>
        <v>5645.2761531712958</v>
      </c>
      <c r="EL9" s="69">
        <f>+EK9*1.03</f>
        <v>5814.6344377664345</v>
      </c>
      <c r="EM9" s="69">
        <f>+EL9*1.03</f>
        <v>5989.0734708994278</v>
      </c>
    </row>
    <row r="10" spans="1:143" s="11" customFormat="1">
      <c r="A10" s="31"/>
      <c r="B10" s="97" t="s">
        <v>523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70"/>
      <c r="AL10" s="69"/>
      <c r="AM10" s="69"/>
      <c r="AN10" s="69"/>
      <c r="AO10" s="69"/>
      <c r="AP10" s="69"/>
      <c r="AQ10" s="70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>
        <v>0</v>
      </c>
      <c r="BL10" s="69">
        <v>0</v>
      </c>
      <c r="BM10" s="69">
        <v>0</v>
      </c>
      <c r="BN10" s="69">
        <v>0</v>
      </c>
      <c r="BO10" s="75">
        <v>0</v>
      </c>
      <c r="BP10" s="69">
        <v>0</v>
      </c>
      <c r="BQ10" s="69">
        <v>0</v>
      </c>
      <c r="BR10" s="69">
        <v>0</v>
      </c>
      <c r="BS10" s="69">
        <v>0</v>
      </c>
      <c r="BT10" s="69">
        <v>0</v>
      </c>
      <c r="BU10" s="69">
        <v>0</v>
      </c>
      <c r="BV10" s="69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0</v>
      </c>
      <c r="CE10" s="75">
        <v>0</v>
      </c>
      <c r="CF10" s="75">
        <v>0</v>
      </c>
      <c r="CG10" s="75">
        <v>297</v>
      </c>
      <c r="CH10" s="75">
        <v>391</v>
      </c>
      <c r="CI10" s="75">
        <v>419</v>
      </c>
      <c r="CJ10" s="75">
        <v>434</v>
      </c>
      <c r="CK10" s="75">
        <v>518</v>
      </c>
      <c r="CL10" s="75">
        <v>593</v>
      </c>
      <c r="CM10" s="75">
        <v>651</v>
      </c>
      <c r="CN10" s="75">
        <v>713</v>
      </c>
      <c r="CO10" s="75">
        <v>777</v>
      </c>
      <c r="CP10" s="75">
        <v>825</v>
      </c>
      <c r="CQ10" s="75">
        <v>859</v>
      </c>
      <c r="CR10" s="75">
        <v>946</v>
      </c>
      <c r="CS10" s="75">
        <f>+CO10*1.25</f>
        <v>971.25</v>
      </c>
      <c r="CT10" s="75">
        <f>+CP10*1.2</f>
        <v>990</v>
      </c>
      <c r="CU10" s="75">
        <f t="shared" ref="CU10:CX10" si="18">+CQ10*1.2</f>
        <v>1030.8</v>
      </c>
      <c r="CV10" s="75">
        <f t="shared" si="18"/>
        <v>1135.2</v>
      </c>
      <c r="CW10" s="75">
        <f t="shared" si="18"/>
        <v>1165.5</v>
      </c>
      <c r="CX10" s="75">
        <f t="shared" si="18"/>
        <v>1188</v>
      </c>
      <c r="CY10" s="75"/>
      <c r="CZ10" s="75"/>
      <c r="DA10" s="69"/>
      <c r="DB10" s="69"/>
      <c r="DC10" s="69"/>
      <c r="DD10" s="69"/>
      <c r="DE10" s="69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69">
        <f t="shared" si="13"/>
        <v>0</v>
      </c>
      <c r="DU10" s="69">
        <f t="shared" si="11"/>
        <v>0</v>
      </c>
      <c r="DV10" s="69">
        <f>SUM(BS10:BV10)</f>
        <v>0</v>
      </c>
      <c r="DW10" s="69">
        <f t="shared" si="8"/>
        <v>0</v>
      </c>
      <c r="DX10" s="69">
        <f t="shared" si="9"/>
        <v>0</v>
      </c>
      <c r="DY10" s="69">
        <f t="shared" ref="DY10:DY44" si="19">SUM(CE10:CH10)</f>
        <v>688</v>
      </c>
      <c r="DZ10" s="69">
        <f t="shared" ref="DZ10:DZ44" si="20">SUM(CI10:CL10)</f>
        <v>1964</v>
      </c>
      <c r="EA10" s="69">
        <f t="shared" ref="EA10:EA50" si="21">SUM(CM10:CP10)</f>
        <v>2966</v>
      </c>
      <c r="EB10" s="69">
        <f>SUM(CQ10:CT10)</f>
        <v>3766.25</v>
      </c>
      <c r="EC10" s="69">
        <f>+EB10*1.2</f>
        <v>4519.5</v>
      </c>
      <c r="ED10" s="63">
        <f>+EC10*1.02</f>
        <v>4609.8900000000003</v>
      </c>
      <c r="EE10" s="63">
        <f t="shared" ref="EE10:EM10" si="22">+ED10*1.02</f>
        <v>4702.0878000000002</v>
      </c>
      <c r="EF10" s="63">
        <f t="shared" si="22"/>
        <v>4796.1295560000008</v>
      </c>
      <c r="EG10" s="63">
        <f t="shared" si="22"/>
        <v>4892.0521471200009</v>
      </c>
      <c r="EH10" s="63">
        <f t="shared" si="22"/>
        <v>4989.8931900624011</v>
      </c>
      <c r="EI10" s="63">
        <f t="shared" si="22"/>
        <v>5089.6910538636494</v>
      </c>
      <c r="EJ10" s="63">
        <f t="shared" si="22"/>
        <v>5191.4848749409221</v>
      </c>
      <c r="EK10" s="63">
        <f t="shared" si="22"/>
        <v>5295.3145724397409</v>
      </c>
      <c r="EL10" s="63">
        <f t="shared" si="22"/>
        <v>5401.2208638885359</v>
      </c>
      <c r="EM10" s="63">
        <f t="shared" si="22"/>
        <v>5509.245281166307</v>
      </c>
    </row>
    <row r="11" spans="1:143" s="11" customFormat="1">
      <c r="A11" s="31"/>
      <c r="B11" s="97" t="s">
        <v>508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70"/>
      <c r="AL11" s="69"/>
      <c r="AM11" s="69"/>
      <c r="AN11" s="69"/>
      <c r="AO11" s="69"/>
      <c r="AP11" s="69"/>
      <c r="AQ11" s="70"/>
      <c r="AR11" s="69"/>
      <c r="AS11" s="69"/>
      <c r="AT11" s="69"/>
      <c r="AU11" s="69"/>
      <c r="AV11" s="69"/>
      <c r="AW11" s="69"/>
      <c r="AX11" s="69"/>
      <c r="AY11" s="69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69">
        <v>3</v>
      </c>
      <c r="BS11" s="69">
        <v>8</v>
      </c>
      <c r="BT11" s="69">
        <v>12</v>
      </c>
      <c r="BU11" s="69">
        <v>18</v>
      </c>
      <c r="BV11" s="69">
        <v>24</v>
      </c>
      <c r="BW11" s="75">
        <v>29</v>
      </c>
      <c r="BX11" s="75">
        <v>35</v>
      </c>
      <c r="BY11" s="75">
        <v>44</v>
      </c>
      <c r="BZ11" s="75">
        <v>56</v>
      </c>
      <c r="CA11" s="75">
        <v>88</v>
      </c>
      <c r="CB11" s="75">
        <v>107</v>
      </c>
      <c r="CC11" s="75">
        <v>145</v>
      </c>
      <c r="CD11" s="75">
        <v>182</v>
      </c>
      <c r="CE11" s="75">
        <v>209</v>
      </c>
      <c r="CF11" s="75">
        <v>280</v>
      </c>
      <c r="CG11" s="75">
        <v>354</v>
      </c>
      <c r="CH11" s="75">
        <v>395</v>
      </c>
      <c r="CI11" s="75">
        <v>414</v>
      </c>
      <c r="CJ11" s="75">
        <v>489</v>
      </c>
      <c r="CK11" s="75">
        <v>566</v>
      </c>
      <c r="CL11" s="75">
        <v>588</v>
      </c>
      <c r="CM11" s="75">
        <v>532</v>
      </c>
      <c r="CN11" s="75">
        <v>653</v>
      </c>
      <c r="CO11" s="75">
        <v>654</v>
      </c>
      <c r="CP11" s="75">
        <v>675</v>
      </c>
      <c r="CQ11" s="75">
        <v>718</v>
      </c>
      <c r="CR11" s="75">
        <v>790</v>
      </c>
      <c r="CS11" s="75">
        <f>+CO11*1.2</f>
        <v>784.8</v>
      </c>
      <c r="CT11" s="75">
        <f>+CP11*1.2</f>
        <v>810</v>
      </c>
      <c r="CU11" s="75">
        <f>+CQ11*1.2</f>
        <v>861.6</v>
      </c>
      <c r="CV11" s="75">
        <f>+CR11*1.2</f>
        <v>948</v>
      </c>
      <c r="CW11" s="75">
        <f>+CS11*1.2</f>
        <v>941.75999999999988</v>
      </c>
      <c r="CX11" s="75">
        <f>+CT11*1.2</f>
        <v>972</v>
      </c>
      <c r="CY11" s="75"/>
      <c r="CZ11" s="75"/>
      <c r="DA11" s="69"/>
      <c r="DB11" s="69"/>
      <c r="DC11" s="69"/>
      <c r="DD11" s="69"/>
      <c r="DE11" s="69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69">
        <f t="shared" si="13"/>
        <v>0</v>
      </c>
      <c r="DU11" s="69">
        <f t="shared" si="11"/>
        <v>3</v>
      </c>
      <c r="DV11" s="69">
        <f>SUM(BS11:BV11)</f>
        <v>62</v>
      </c>
      <c r="DW11" s="69">
        <f t="shared" si="8"/>
        <v>164</v>
      </c>
      <c r="DX11" s="69">
        <f t="shared" si="9"/>
        <v>522</v>
      </c>
      <c r="DY11" s="69">
        <f t="shared" si="19"/>
        <v>1238</v>
      </c>
      <c r="DZ11" s="69">
        <f t="shared" si="20"/>
        <v>2057</v>
      </c>
      <c r="EA11" s="69">
        <f t="shared" si="21"/>
        <v>2514</v>
      </c>
      <c r="EB11" s="69">
        <f>SUM(CQ11:CT11)</f>
        <v>3102.8</v>
      </c>
      <c r="EC11" s="69">
        <f>+EB11*1.1</f>
        <v>3413.0800000000004</v>
      </c>
      <c r="ED11" s="63">
        <f>+EC11*1.01</f>
        <v>3447.2108000000003</v>
      </c>
      <c r="EE11" s="63">
        <f t="shared" ref="EE11:EI11" si="23">+ED11*1.01</f>
        <v>3481.6829080000002</v>
      </c>
      <c r="EF11" s="63">
        <f t="shared" si="23"/>
        <v>3516.4997370800002</v>
      </c>
      <c r="EG11" s="63">
        <f t="shared" si="23"/>
        <v>3551.6647344508001</v>
      </c>
      <c r="EH11" s="63">
        <f t="shared" si="23"/>
        <v>3587.181381795308</v>
      </c>
      <c r="EI11" s="63">
        <f>+EH11*0.1</f>
        <v>358.7181381795308</v>
      </c>
      <c r="EJ11" s="63">
        <f t="shared" ref="EJ11:EM11" si="24">+EI11*0.1</f>
        <v>35.871813817953083</v>
      </c>
      <c r="EK11" s="63">
        <f t="shared" si="24"/>
        <v>3.5871813817953084</v>
      </c>
      <c r="EL11" s="63">
        <f t="shared" si="24"/>
        <v>0.35871813817953085</v>
      </c>
      <c r="EM11" s="63">
        <f t="shared" si="24"/>
        <v>3.587181381795309E-2</v>
      </c>
    </row>
    <row r="12" spans="1:143" s="11" customFormat="1">
      <c r="A12" s="31"/>
      <c r="B12" s="98" t="s">
        <v>302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52"/>
      <c r="AL12" s="40"/>
      <c r="AM12" s="40"/>
      <c r="AN12" s="40"/>
      <c r="AO12" s="40"/>
      <c r="AP12" s="40"/>
      <c r="AQ12" s="67">
        <v>1</v>
      </c>
      <c r="AR12" s="40">
        <f>AQ12</f>
        <v>1</v>
      </c>
      <c r="AS12" s="40">
        <v>13</v>
      </c>
      <c r="AT12" s="40">
        <v>5</v>
      </c>
      <c r="AU12" s="40">
        <v>9</v>
      </c>
      <c r="AV12" s="40"/>
      <c r="AW12" s="40"/>
      <c r="AX12" s="40"/>
      <c r="AY12" s="40">
        <v>51</v>
      </c>
      <c r="AZ12" s="40"/>
      <c r="BA12" s="40"/>
      <c r="BB12" s="40"/>
      <c r="BC12" s="40">
        <v>99</v>
      </c>
      <c r="BD12" s="40">
        <v>117</v>
      </c>
      <c r="BE12" s="40"/>
      <c r="BF12" s="40"/>
      <c r="BG12" s="40">
        <v>131</v>
      </c>
      <c r="BH12" s="40">
        <v>144</v>
      </c>
      <c r="BI12" s="72">
        <v>170</v>
      </c>
      <c r="BJ12" s="72">
        <v>174</v>
      </c>
      <c r="BK12" s="72">
        <v>181</v>
      </c>
      <c r="BL12" s="72">
        <v>214</v>
      </c>
      <c r="BM12" s="72">
        <v>208</v>
      </c>
      <c r="BN12" s="40">
        <v>236</v>
      </c>
      <c r="BO12" s="72">
        <v>224</v>
      </c>
      <c r="BP12" s="40">
        <v>272</v>
      </c>
      <c r="BQ12" s="40">
        <v>284</v>
      </c>
      <c r="BR12" s="40">
        <v>299</v>
      </c>
      <c r="BS12" s="40">
        <v>293</v>
      </c>
      <c r="BT12" s="40">
        <v>316</v>
      </c>
      <c r="BU12" s="40">
        <v>336</v>
      </c>
      <c r="BV12" s="40">
        <v>376</v>
      </c>
      <c r="BW12" s="72">
        <v>348</v>
      </c>
      <c r="BX12" s="72">
        <v>389</v>
      </c>
      <c r="BY12" s="72">
        <v>416</v>
      </c>
      <c r="BZ12" s="72">
        <v>428</v>
      </c>
      <c r="CA12" s="72">
        <v>408</v>
      </c>
      <c r="CB12" s="72">
        <v>437</v>
      </c>
      <c r="CC12" s="72">
        <v>385</v>
      </c>
      <c r="CD12" s="72">
        <v>363</v>
      </c>
      <c r="CE12" s="72">
        <v>374</v>
      </c>
      <c r="CF12" s="72">
        <v>375</v>
      </c>
      <c r="CG12" s="72">
        <v>375</v>
      </c>
      <c r="CH12" s="72">
        <v>348</v>
      </c>
      <c r="CI12" s="72">
        <v>325</v>
      </c>
      <c r="CJ12" s="72">
        <v>350</v>
      </c>
      <c r="CK12" s="72">
        <v>338</v>
      </c>
      <c r="CL12" s="72">
        <v>345</v>
      </c>
      <c r="CM12" s="72">
        <v>334</v>
      </c>
      <c r="CN12" s="72">
        <v>331</v>
      </c>
      <c r="CO12" s="72">
        <v>331</v>
      </c>
      <c r="CP12" s="72">
        <v>329</v>
      </c>
      <c r="CQ12" s="72">
        <v>323</v>
      </c>
      <c r="CR12" s="72">
        <v>342</v>
      </c>
      <c r="CS12" s="72">
        <f>+CO12*1.01</f>
        <v>334.31</v>
      </c>
      <c r="CT12" s="72">
        <f>+CP12*1.01</f>
        <v>332.29</v>
      </c>
      <c r="CU12" s="72">
        <f>+CQ12*1.01</f>
        <v>326.23</v>
      </c>
      <c r="CV12" s="72">
        <f>+CR12*1.01</f>
        <v>345.42</v>
      </c>
      <c r="CW12" s="72">
        <f>+CS12*1.01</f>
        <v>337.65309999999999</v>
      </c>
      <c r="CX12" s="72">
        <f>+CT12*1.01</f>
        <v>335.61290000000002</v>
      </c>
      <c r="CY12" s="72"/>
      <c r="CZ12" s="72"/>
      <c r="DA12" s="40"/>
      <c r="DB12" s="40"/>
      <c r="DC12" s="40"/>
      <c r="DD12" s="39"/>
      <c r="DE12" s="39"/>
      <c r="DF12" s="40"/>
      <c r="DG12" s="40"/>
      <c r="DH12" s="40"/>
      <c r="DI12" s="40"/>
      <c r="DJ12" s="40"/>
      <c r="DK12" s="40"/>
      <c r="DL12" s="40"/>
      <c r="DM12" s="40"/>
      <c r="DN12" s="40"/>
      <c r="DO12" s="40">
        <f>SUM(AQ12:AT12)</f>
        <v>20</v>
      </c>
      <c r="DP12" s="40">
        <f>SUM(AU12:AX12)</f>
        <v>9</v>
      </c>
      <c r="DQ12" s="40"/>
      <c r="DR12" s="40"/>
      <c r="DS12" s="40"/>
      <c r="DT12" s="69">
        <f t="shared" si="13"/>
        <v>839</v>
      </c>
      <c r="DU12" s="69">
        <f t="shared" si="11"/>
        <v>1079</v>
      </c>
      <c r="DV12" s="69">
        <f>SUM(BS12:BV12)</f>
        <v>1321</v>
      </c>
      <c r="DW12" s="69">
        <f t="shared" si="8"/>
        <v>1581</v>
      </c>
      <c r="DX12" s="69">
        <f t="shared" si="9"/>
        <v>1593</v>
      </c>
      <c r="DY12" s="69">
        <f t="shared" si="19"/>
        <v>1472</v>
      </c>
      <c r="DZ12" s="69">
        <f t="shared" si="20"/>
        <v>1358</v>
      </c>
      <c r="EA12" s="69">
        <f t="shared" si="21"/>
        <v>1325</v>
      </c>
      <c r="EB12" s="69">
        <f>SUM(CQ12:CT12)</f>
        <v>1331.6</v>
      </c>
      <c r="EC12" s="69">
        <f>+EB12*0.9</f>
        <v>1198.44</v>
      </c>
      <c r="ED12" s="69">
        <f t="shared" ref="ED12:EM12" si="25">+EC12*0.9</f>
        <v>1078.596</v>
      </c>
      <c r="EE12" s="69">
        <f t="shared" si="25"/>
        <v>970.7364</v>
      </c>
      <c r="EF12" s="69">
        <f t="shared" si="25"/>
        <v>873.66276000000005</v>
      </c>
      <c r="EG12" s="69">
        <f t="shared" si="25"/>
        <v>786.29648400000008</v>
      </c>
      <c r="EH12" s="69">
        <f t="shared" si="25"/>
        <v>707.66683560000013</v>
      </c>
      <c r="EI12" s="69">
        <f t="shared" si="25"/>
        <v>636.90015204000008</v>
      </c>
      <c r="EJ12" s="69">
        <f t="shared" si="25"/>
        <v>573.21013683600006</v>
      </c>
      <c r="EK12" s="69">
        <f t="shared" si="25"/>
        <v>515.88912315240009</v>
      </c>
      <c r="EL12" s="69">
        <f t="shared" si="25"/>
        <v>464.30021083716008</v>
      </c>
      <c r="EM12" s="69">
        <f t="shared" si="25"/>
        <v>417.87018975344409</v>
      </c>
    </row>
    <row r="13" spans="1:143" s="11" customFormat="1">
      <c r="A13" s="31"/>
      <c r="B13" s="98" t="s">
        <v>515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52"/>
      <c r="AL13" s="40"/>
      <c r="AM13" s="40"/>
      <c r="AN13" s="40"/>
      <c r="AO13" s="40"/>
      <c r="AP13" s="40"/>
      <c r="AQ13" s="67"/>
      <c r="AR13" s="40"/>
      <c r="AS13" s="40"/>
      <c r="AT13" s="40"/>
      <c r="AU13" s="40"/>
      <c r="AV13" s="40"/>
      <c r="AW13" s="40"/>
      <c r="AX13" s="40"/>
      <c r="AY13" s="40"/>
      <c r="AZ13" s="40"/>
      <c r="BA13" s="135"/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40">
        <v>0</v>
      </c>
      <c r="BR13" s="40">
        <v>0</v>
      </c>
      <c r="BS13" s="40">
        <v>21</v>
      </c>
      <c r="BT13" s="40">
        <v>65</v>
      </c>
      <c r="BU13" s="40">
        <v>86</v>
      </c>
      <c r="BV13" s="40">
        <v>125</v>
      </c>
      <c r="BW13" s="72">
        <v>129</v>
      </c>
      <c r="BX13" s="72">
        <v>167</v>
      </c>
      <c r="BY13" s="72">
        <v>202</v>
      </c>
      <c r="BZ13" s="72">
        <v>206</v>
      </c>
      <c r="CA13" s="72">
        <v>199</v>
      </c>
      <c r="CB13" s="72">
        <v>227</v>
      </c>
      <c r="CC13" s="72">
        <v>240</v>
      </c>
      <c r="CD13" s="72">
        <v>283</v>
      </c>
      <c r="CE13" s="72">
        <v>260</v>
      </c>
      <c r="CF13" s="72">
        <v>320</v>
      </c>
      <c r="CG13" s="72">
        <v>322</v>
      </c>
      <c r="CH13" s="72">
        <v>357</v>
      </c>
      <c r="CI13" s="72">
        <v>308</v>
      </c>
      <c r="CJ13" s="72">
        <v>354</v>
      </c>
      <c r="CK13" s="72">
        <v>353</v>
      </c>
      <c r="CL13" s="72">
        <v>381</v>
      </c>
      <c r="CM13" s="72">
        <v>338</v>
      </c>
      <c r="CN13" s="72">
        <v>406</v>
      </c>
      <c r="CO13" s="72">
        <v>389</v>
      </c>
      <c r="CP13" s="72">
        <v>420</v>
      </c>
      <c r="CQ13" s="72">
        <v>358</v>
      </c>
      <c r="CR13" s="72">
        <v>423</v>
      </c>
      <c r="CS13" s="72">
        <f>+CO13*1.01</f>
        <v>392.89</v>
      </c>
      <c r="CT13" s="72">
        <f>+CP13*1.01</f>
        <v>424.2</v>
      </c>
      <c r="CU13" s="72">
        <f>+CQ13*1.01</f>
        <v>361.58</v>
      </c>
      <c r="CV13" s="72">
        <f>+CR13*1.01</f>
        <v>427.23</v>
      </c>
      <c r="CW13" s="72">
        <f>+CS13*1.01</f>
        <v>396.81889999999999</v>
      </c>
      <c r="CX13" s="72">
        <f>+CT13*1.01</f>
        <v>428.44200000000001</v>
      </c>
      <c r="CY13" s="72"/>
      <c r="CZ13" s="72"/>
      <c r="DA13" s="40"/>
      <c r="DB13" s="40"/>
      <c r="DC13" s="40"/>
      <c r="DD13" s="39"/>
      <c r="DE13" s="39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69">
        <f t="shared" si="13"/>
        <v>0</v>
      </c>
      <c r="DU13" s="69">
        <f t="shared" si="11"/>
        <v>0</v>
      </c>
      <c r="DV13" s="69">
        <f>SUM(BS13:BV13)</f>
        <v>297</v>
      </c>
      <c r="DW13" s="69">
        <f t="shared" si="8"/>
        <v>704</v>
      </c>
      <c r="DX13" s="69">
        <f t="shared" si="9"/>
        <v>949</v>
      </c>
      <c r="DY13" s="69">
        <f t="shared" si="19"/>
        <v>1259</v>
      </c>
      <c r="DZ13" s="69">
        <f t="shared" si="20"/>
        <v>1396</v>
      </c>
      <c r="EA13" s="69">
        <f t="shared" si="21"/>
        <v>1553</v>
      </c>
      <c r="EB13" s="69">
        <f>SUM(CQ13:CT13)</f>
        <v>1598.09</v>
      </c>
      <c r="EC13" s="63">
        <f>+EB13*1.1</f>
        <v>1757.8990000000001</v>
      </c>
      <c r="ED13" s="63">
        <f>+EC13*1.1</f>
        <v>1933.6889000000003</v>
      </c>
      <c r="EE13" s="63">
        <f>+ED13*1.1</f>
        <v>2127.0577900000008</v>
      </c>
      <c r="EF13" s="63">
        <f>+EE13*1.1</f>
        <v>2339.7635690000011</v>
      </c>
      <c r="EG13" s="63">
        <f>+EF13*1.1</f>
        <v>2573.7399259000013</v>
      </c>
      <c r="EH13" s="63">
        <f>+EG13*1.1</f>
        <v>2831.1139184900017</v>
      </c>
      <c r="EI13" s="63">
        <f t="shared" ref="EI13:EM13" si="26">+EH13*0.9</f>
        <v>2548.0025266410016</v>
      </c>
      <c r="EJ13" s="63">
        <f t="shared" si="26"/>
        <v>2293.2022739769013</v>
      </c>
      <c r="EK13" s="63">
        <f t="shared" si="26"/>
        <v>2063.8820465792114</v>
      </c>
      <c r="EL13" s="63">
        <f t="shared" si="26"/>
        <v>1857.4938419212904</v>
      </c>
      <c r="EM13" s="63">
        <f t="shared" si="26"/>
        <v>1671.7444577291615</v>
      </c>
    </row>
    <row r="14" spans="1:143" s="11" customFormat="1">
      <c r="A14" s="31"/>
      <c r="B14" s="98" t="s">
        <v>340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3</v>
      </c>
      <c r="L14" s="40">
        <v>9</v>
      </c>
      <c r="M14" s="40">
        <v>76</v>
      </c>
      <c r="N14" s="40">
        <v>41</v>
      </c>
      <c r="O14" s="40">
        <v>129</v>
      </c>
      <c r="P14" s="40">
        <v>207</v>
      </c>
      <c r="Q14" s="40">
        <v>260</v>
      </c>
      <c r="R14" s="40">
        <v>312</v>
      </c>
      <c r="S14" s="40">
        <v>273</v>
      </c>
      <c r="T14" s="40">
        <v>317</v>
      </c>
      <c r="U14" s="40">
        <v>325</v>
      </c>
      <c r="V14" s="40">
        <v>353</v>
      </c>
      <c r="W14" s="40">
        <v>387</v>
      </c>
      <c r="X14" s="40">
        <v>480</v>
      </c>
      <c r="Y14" s="40">
        <v>536</v>
      </c>
      <c r="Z14" s="40">
        <v>625</v>
      </c>
      <c r="AA14" s="40">
        <v>628</v>
      </c>
      <c r="AB14" s="40">
        <v>678</v>
      </c>
      <c r="AC14" s="40">
        <v>691</v>
      </c>
      <c r="AD14" s="40">
        <v>799</v>
      </c>
      <c r="AE14" s="40">
        <v>772</v>
      </c>
      <c r="AF14" s="40">
        <v>916</v>
      </c>
      <c r="AG14" s="40">
        <v>922</v>
      </c>
      <c r="AH14" s="40">
        <v>987</v>
      </c>
      <c r="AI14" s="40">
        <v>969</v>
      </c>
      <c r="AJ14" s="40">
        <v>1129</v>
      </c>
      <c r="AK14" s="52">
        <v>1147</v>
      </c>
      <c r="AL14" s="40">
        <v>1257</v>
      </c>
      <c r="AM14" s="40">
        <f>583+281+291+145</f>
        <v>1300</v>
      </c>
      <c r="AN14" s="40">
        <v>1430</v>
      </c>
      <c r="AO14" s="40">
        <v>1374</v>
      </c>
      <c r="AP14" s="40">
        <v>1587</v>
      </c>
      <c r="AQ14" s="67">
        <v>1478</v>
      </c>
      <c r="AR14" s="40">
        <f>+AN14*1.02</f>
        <v>1458.6000000000001</v>
      </c>
      <c r="AS14" s="40">
        <v>1659</v>
      </c>
      <c r="AT14" s="40">
        <v>1771</v>
      </c>
      <c r="AU14" s="40">
        <v>1500</v>
      </c>
      <c r="AV14" s="40"/>
      <c r="AW14" s="40"/>
      <c r="AX14" s="40"/>
      <c r="AY14" s="40">
        <v>1323</v>
      </c>
      <c r="AZ14" s="40">
        <v>1480</v>
      </c>
      <c r="BA14" s="40"/>
      <c r="BB14" s="40"/>
      <c r="BC14" s="40">
        <v>1332</v>
      </c>
      <c r="BD14" s="40">
        <v>1450</v>
      </c>
      <c r="BE14" s="40"/>
      <c r="BF14" s="40"/>
      <c r="BG14" s="40">
        <v>1167</v>
      </c>
      <c r="BH14" s="40">
        <v>1310</v>
      </c>
      <c r="BI14" s="72">
        <v>1218</v>
      </c>
      <c r="BJ14" s="72">
        <v>1322</v>
      </c>
      <c r="BK14" s="72">
        <v>1156</v>
      </c>
      <c r="BL14" s="72">
        <v>926</v>
      </c>
      <c r="BM14" s="72">
        <v>688</v>
      </c>
      <c r="BN14" s="40">
        <v>631</v>
      </c>
      <c r="BO14" s="72">
        <v>631</v>
      </c>
      <c r="BP14" s="40">
        <v>560</v>
      </c>
      <c r="BQ14" s="40">
        <v>580</v>
      </c>
      <c r="BR14" s="40">
        <v>594</v>
      </c>
      <c r="BS14" s="40">
        <v>389</v>
      </c>
      <c r="BT14" s="40">
        <v>338</v>
      </c>
      <c r="BU14" s="40">
        <v>353</v>
      </c>
      <c r="BV14" s="40">
        <v>353</v>
      </c>
      <c r="BW14" s="72">
        <v>335</v>
      </c>
      <c r="BX14" s="72">
        <v>310</v>
      </c>
      <c r="BY14" s="72">
        <v>337</v>
      </c>
      <c r="BZ14" s="72">
        <v>296</v>
      </c>
      <c r="CA14" s="72">
        <v>301</v>
      </c>
      <c r="CB14" s="72">
        <v>281</v>
      </c>
      <c r="CC14" s="72">
        <v>300</v>
      </c>
      <c r="CD14" s="72">
        <v>298</v>
      </c>
      <c r="CE14" s="72">
        <v>274</v>
      </c>
      <c r="CF14" s="72">
        <v>265</v>
      </c>
      <c r="CG14" s="72">
        <v>298</v>
      </c>
      <c r="CH14" s="72">
        <v>259</v>
      </c>
      <c r="CI14" s="72">
        <v>267</v>
      </c>
      <c r="CJ14" s="72">
        <v>280</v>
      </c>
      <c r="CK14" s="72">
        <v>277</v>
      </c>
      <c r="CL14" s="72">
        <v>224</v>
      </c>
      <c r="CM14" s="72">
        <v>305</v>
      </c>
      <c r="CN14" s="72">
        <v>280</v>
      </c>
      <c r="CO14" s="72">
        <v>275</v>
      </c>
      <c r="CP14" s="72">
        <v>247</v>
      </c>
      <c r="CQ14" s="72">
        <v>297</v>
      </c>
      <c r="CR14" s="72">
        <v>293</v>
      </c>
      <c r="CS14" s="72">
        <f>+CO14*1.01</f>
        <v>277.75</v>
      </c>
      <c r="CT14" s="72">
        <f>+CP14*1.01</f>
        <v>249.47</v>
      </c>
      <c r="CU14" s="72">
        <f>+CQ14*1.01</f>
        <v>299.97000000000003</v>
      </c>
      <c r="CV14" s="72">
        <f>+CR14*1.01</f>
        <v>295.93</v>
      </c>
      <c r="CW14" s="72">
        <f>+CS14*1.01</f>
        <v>280.52749999999997</v>
      </c>
      <c r="CX14" s="72">
        <f>+CT14*1.01</f>
        <v>251.96469999999999</v>
      </c>
      <c r="CY14" s="72"/>
      <c r="CZ14" s="72"/>
      <c r="DA14" s="40"/>
      <c r="DB14" s="40"/>
      <c r="DC14" s="40"/>
      <c r="DD14" s="39"/>
      <c r="DE14" s="39"/>
      <c r="DF14" s="40">
        <v>0</v>
      </c>
      <c r="DG14" s="40">
        <v>129</v>
      </c>
      <c r="DH14" s="40">
        <v>908</v>
      </c>
      <c r="DI14" s="40">
        <f>SUM(S14:V14)</f>
        <v>1268</v>
      </c>
      <c r="DJ14" s="40">
        <f>SUM(W14:Z14)</f>
        <v>2028</v>
      </c>
      <c r="DK14" s="40">
        <f>SUM(AA14:AD14)</f>
        <v>2796</v>
      </c>
      <c r="DL14" s="40">
        <f>SUM(AE14:AH14)</f>
        <v>3597</v>
      </c>
      <c r="DM14" s="40">
        <f>SUM(AI14:AL14)</f>
        <v>4502</v>
      </c>
      <c r="DN14" s="40">
        <f>SUM(AM14:AP14)</f>
        <v>5691</v>
      </c>
      <c r="DO14" s="40">
        <f>SUM(AQ14:AT14)</f>
        <v>6366.6</v>
      </c>
      <c r="DP14" s="40">
        <f>SUM(AU14:AX14)</f>
        <v>1500</v>
      </c>
      <c r="DQ14" s="40"/>
      <c r="DR14" s="40"/>
      <c r="DS14" s="40"/>
      <c r="DT14" s="40"/>
      <c r="DU14" s="69">
        <f t="shared" si="11"/>
        <v>2365</v>
      </c>
      <c r="DV14" s="69">
        <f>SUM(BS14:BV14)</f>
        <v>1433</v>
      </c>
      <c r="DW14" s="69">
        <f t="shared" si="8"/>
        <v>1278</v>
      </c>
      <c r="DX14" s="69">
        <f t="shared" si="9"/>
        <v>1180</v>
      </c>
      <c r="DY14" s="69">
        <f t="shared" si="19"/>
        <v>1096</v>
      </c>
      <c r="DZ14" s="69">
        <f t="shared" si="20"/>
        <v>1048</v>
      </c>
      <c r="EA14" s="69">
        <f t="shared" si="21"/>
        <v>1107</v>
      </c>
      <c r="EB14" s="69">
        <f>SUM(CQ14:CT14)</f>
        <v>1117.22</v>
      </c>
      <c r="EC14" s="40">
        <f t="shared" ref="EC14:EM25" si="27">+EB14*0.9</f>
        <v>1005.498</v>
      </c>
      <c r="ED14" s="40">
        <f t="shared" si="27"/>
        <v>904.94820000000004</v>
      </c>
      <c r="EE14" s="40">
        <f t="shared" si="27"/>
        <v>814.45338000000004</v>
      </c>
      <c r="EF14" s="40">
        <f t="shared" si="27"/>
        <v>733.00804200000005</v>
      </c>
      <c r="EG14" s="40">
        <f t="shared" si="27"/>
        <v>659.70723780000003</v>
      </c>
      <c r="EH14" s="40">
        <f t="shared" si="27"/>
        <v>593.73651402000007</v>
      </c>
      <c r="EI14" s="40">
        <f t="shared" si="27"/>
        <v>534.36286261800012</v>
      </c>
      <c r="EJ14" s="40">
        <f t="shared" si="27"/>
        <v>480.92657635620014</v>
      </c>
      <c r="EK14" s="40">
        <f t="shared" si="27"/>
        <v>432.83391872058013</v>
      </c>
      <c r="EL14" s="40">
        <f t="shared" si="27"/>
        <v>389.55052684852211</v>
      </c>
      <c r="EM14" s="40">
        <f t="shared" si="27"/>
        <v>350.59547416366991</v>
      </c>
    </row>
    <row r="15" spans="1:143" s="11" customFormat="1">
      <c r="A15" s="31"/>
      <c r="B15" s="98" t="s">
        <v>457</v>
      </c>
      <c r="C15" s="40">
        <v>158</v>
      </c>
      <c r="D15" s="40">
        <v>182</v>
      </c>
      <c r="E15" s="40">
        <v>173</v>
      </c>
      <c r="F15" s="40">
        <v>205</v>
      </c>
      <c r="G15" s="40">
        <v>187</v>
      </c>
      <c r="H15" s="40">
        <v>195</v>
      </c>
      <c r="I15" s="40">
        <v>206</v>
      </c>
      <c r="J15" s="40">
        <v>206</v>
      </c>
      <c r="K15" s="40">
        <v>193</v>
      </c>
      <c r="L15" s="40">
        <v>213</v>
      </c>
      <c r="M15" s="40">
        <v>224</v>
      </c>
      <c r="N15" s="40">
        <v>239</v>
      </c>
      <c r="O15" s="40">
        <v>213</v>
      </c>
      <c r="P15" s="40">
        <v>226</v>
      </c>
      <c r="Q15" s="40">
        <v>236</v>
      </c>
      <c r="R15" s="40">
        <v>242</v>
      </c>
      <c r="S15" s="40">
        <v>231</v>
      </c>
      <c r="T15" s="40">
        <v>263</v>
      </c>
      <c r="U15" s="40">
        <v>258</v>
      </c>
      <c r="V15" s="40">
        <v>252</v>
      </c>
      <c r="W15" s="40">
        <f>481-X15</f>
        <v>231</v>
      </c>
      <c r="X15" s="40">
        <v>250</v>
      </c>
      <c r="Y15" s="40">
        <v>255</v>
      </c>
      <c r="Z15" s="40">
        <v>272</v>
      </c>
      <c r="AA15" s="40">
        <f>524-AB15</f>
        <v>249</v>
      </c>
      <c r="AB15" s="40">
        <v>275</v>
      </c>
      <c r="AC15" s="40">
        <v>273</v>
      </c>
      <c r="AD15" s="40">
        <v>307</v>
      </c>
      <c r="AE15" s="40">
        <v>255</v>
      </c>
      <c r="AF15" s="40">
        <v>310</v>
      </c>
      <c r="AG15" s="40">
        <v>295</v>
      </c>
      <c r="AH15" s="40">
        <v>278</v>
      </c>
      <c r="AI15" s="40">
        <v>232</v>
      </c>
      <c r="AJ15" s="40">
        <v>272</v>
      </c>
      <c r="AK15" s="52">
        <v>282</v>
      </c>
      <c r="AL15" s="40">
        <v>300</v>
      </c>
      <c r="AM15" s="40">
        <v>265</v>
      </c>
      <c r="AN15" s="40">
        <v>280</v>
      </c>
      <c r="AO15" s="40">
        <v>268</v>
      </c>
      <c r="AP15" s="40">
        <v>302</v>
      </c>
      <c r="AQ15" s="67">
        <v>275</v>
      </c>
      <c r="AR15" s="40">
        <f>AQ15-5</f>
        <v>270</v>
      </c>
      <c r="AS15" s="40">
        <v>304</v>
      </c>
      <c r="AT15" s="40">
        <v>298</v>
      </c>
      <c r="AU15" s="40">
        <v>273</v>
      </c>
      <c r="AV15" s="40"/>
      <c r="AW15" s="40"/>
      <c r="AX15" s="40"/>
      <c r="AY15" s="40">
        <v>240</v>
      </c>
      <c r="AZ15" s="40">
        <v>263</v>
      </c>
      <c r="BA15" s="40"/>
      <c r="BB15" s="40"/>
      <c r="BC15" s="40">
        <v>221</v>
      </c>
      <c r="BD15" s="40">
        <v>236</v>
      </c>
      <c r="BE15" s="40"/>
      <c r="BF15" s="40"/>
      <c r="BG15" s="40">
        <v>194</v>
      </c>
      <c r="BH15" s="40">
        <v>215</v>
      </c>
      <c r="BI15" s="72">
        <v>209</v>
      </c>
      <c r="BJ15" s="72">
        <v>198</v>
      </c>
      <c r="BK15" s="72">
        <v>178</v>
      </c>
      <c r="BL15" s="72">
        <v>204</v>
      </c>
      <c r="BM15" s="72">
        <v>199</v>
      </c>
      <c r="BN15" s="40">
        <v>235</v>
      </c>
      <c r="BO15" s="72">
        <v>185</v>
      </c>
      <c r="BP15" s="40">
        <v>178</v>
      </c>
      <c r="BQ15" s="40">
        <v>185</v>
      </c>
      <c r="BR15" s="40">
        <v>187</v>
      </c>
      <c r="BS15" s="40">
        <v>184</v>
      </c>
      <c r="BT15" s="40">
        <v>192</v>
      </c>
      <c r="BU15" s="40">
        <v>194</v>
      </c>
      <c r="BV15" s="40">
        <v>182</v>
      </c>
      <c r="BW15" s="72">
        <v>194</v>
      </c>
      <c r="BX15" s="72">
        <v>197</v>
      </c>
      <c r="BY15" s="72">
        <v>226</v>
      </c>
      <c r="BZ15" s="72">
        <v>196</v>
      </c>
      <c r="CA15" s="72">
        <v>225</v>
      </c>
      <c r="CB15" s="72">
        <v>217</v>
      </c>
      <c r="CC15" s="72">
        <v>230</v>
      </c>
      <c r="CD15" s="72">
        <v>216</v>
      </c>
      <c r="CE15" s="72">
        <v>221</v>
      </c>
      <c r="CF15" s="72">
        <v>244</v>
      </c>
      <c r="CG15" s="72">
        <v>250</v>
      </c>
      <c r="CH15" s="72">
        <v>232</v>
      </c>
      <c r="CI15" s="72">
        <v>240</v>
      </c>
      <c r="CJ15" s="72">
        <v>236</v>
      </c>
      <c r="CK15" s="72">
        <v>240</v>
      </c>
      <c r="CL15" s="72">
        <v>210</v>
      </c>
      <c r="CM15" s="72">
        <v>227</v>
      </c>
      <c r="CN15" s="72">
        <v>233</v>
      </c>
      <c r="CO15" s="72">
        <v>239</v>
      </c>
      <c r="CP15" s="72">
        <v>254</v>
      </c>
      <c r="CQ15" s="72">
        <v>285</v>
      </c>
      <c r="CR15" s="72">
        <v>282</v>
      </c>
      <c r="CS15" s="72">
        <f>+CO15*1.1</f>
        <v>262.90000000000003</v>
      </c>
      <c r="CT15" s="72">
        <f>+CP15*1.1</f>
        <v>279.40000000000003</v>
      </c>
      <c r="CU15" s="72">
        <f>+CQ15*1.1</f>
        <v>313.5</v>
      </c>
      <c r="CV15" s="72">
        <f>+CR15*1.1</f>
        <v>310.20000000000005</v>
      </c>
      <c r="CW15" s="72">
        <f>+CS15*1.1</f>
        <v>289.19000000000005</v>
      </c>
      <c r="CX15" s="72">
        <f>+CT15*1.1</f>
        <v>307.34000000000009</v>
      </c>
      <c r="CY15" s="72"/>
      <c r="CZ15" s="72"/>
      <c r="DA15" s="40"/>
      <c r="DB15" s="40"/>
      <c r="DC15" s="40"/>
      <c r="DD15" s="39"/>
      <c r="DE15" s="39"/>
      <c r="DF15" s="40">
        <v>794</v>
      </c>
      <c r="DG15" s="40">
        <v>869</v>
      </c>
      <c r="DH15" s="40">
        <v>917</v>
      </c>
      <c r="DI15" s="40">
        <f>SUM(S15:V15)</f>
        <v>1004</v>
      </c>
      <c r="DJ15" s="40">
        <f>SUM(W15:Z15)</f>
        <v>1008</v>
      </c>
      <c r="DK15" s="40">
        <f>SUM(AA15:AD15)</f>
        <v>1104</v>
      </c>
      <c r="DL15" s="40">
        <f>SUM(AE15:AH15)</f>
        <v>1138</v>
      </c>
      <c r="DM15" s="40">
        <f>SUM(AI15:AL15)</f>
        <v>1086</v>
      </c>
      <c r="DN15" s="40">
        <f>SUM(AM15:AP15)</f>
        <v>1115</v>
      </c>
      <c r="DO15" s="40">
        <f>SUM(AQ15:AT15)</f>
        <v>1147</v>
      </c>
      <c r="DP15" s="40">
        <f>SUM(AU15:AX15)</f>
        <v>273</v>
      </c>
      <c r="DQ15" s="40"/>
      <c r="DR15" s="40"/>
      <c r="DS15" s="40"/>
      <c r="DT15" s="69">
        <f>SUM(BK15:BN15)</f>
        <v>816</v>
      </c>
      <c r="DU15" s="69">
        <f>SUM(BO15:BR15)</f>
        <v>735</v>
      </c>
      <c r="DV15" s="69">
        <f>SUM(BS15:BV15)</f>
        <v>752</v>
      </c>
      <c r="DW15" s="69">
        <f>SUM(BW15:BZ15)</f>
        <v>813</v>
      </c>
      <c r="DX15" s="69">
        <f>SUM(CA15:CD15)</f>
        <v>888</v>
      </c>
      <c r="DY15" s="69">
        <f>SUM(CE15:CH15)</f>
        <v>947</v>
      </c>
      <c r="DZ15" s="69">
        <f>SUM(CI15:CL15)</f>
        <v>926</v>
      </c>
      <c r="EA15" s="69">
        <f>SUM(CM15:CP15)</f>
        <v>953</v>
      </c>
      <c r="EB15" s="69">
        <f>SUM(CQ15:CT15)</f>
        <v>1109.3000000000002</v>
      </c>
      <c r="EC15" s="40">
        <f>+EB15*0.9</f>
        <v>998.37000000000023</v>
      </c>
      <c r="ED15" s="40">
        <f>+EC15*0.9</f>
        <v>898.53300000000024</v>
      </c>
      <c r="EE15" s="40">
        <f>+ED15*0.9</f>
        <v>808.67970000000025</v>
      </c>
      <c r="EF15" s="40">
        <f>+EE15*0.9</f>
        <v>727.81173000000024</v>
      </c>
      <c r="EG15" s="40">
        <f>+EF15*0.9</f>
        <v>655.03055700000027</v>
      </c>
      <c r="EH15" s="40">
        <f>+EG15*0.9</f>
        <v>589.52750130000027</v>
      </c>
      <c r="EI15" s="40">
        <f>+EH15*0.9</f>
        <v>530.57475117000024</v>
      </c>
      <c r="EJ15" s="40">
        <f>+EI15*0.9</f>
        <v>477.51727605300022</v>
      </c>
      <c r="EK15" s="40">
        <f>+EJ15*0.9</f>
        <v>429.76554844770021</v>
      </c>
      <c r="EL15" s="40">
        <f>+EK15*0.9</f>
        <v>386.78899360293019</v>
      </c>
      <c r="EM15" s="40">
        <f>+EL15*0.9</f>
        <v>348.11009424263716</v>
      </c>
    </row>
    <row r="16" spans="1:143" s="11" customFormat="1">
      <c r="A16" s="31"/>
      <c r="B16" s="98" t="s">
        <v>524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52"/>
      <c r="AL16" s="40"/>
      <c r="AM16" s="40"/>
      <c r="AN16" s="40"/>
      <c r="AO16" s="40"/>
      <c r="AP16" s="40"/>
      <c r="AQ16" s="67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>
        <v>0</v>
      </c>
      <c r="BH16" s="40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40">
        <v>0</v>
      </c>
      <c r="BO16" s="72">
        <v>0</v>
      </c>
      <c r="BP16" s="40">
        <v>0</v>
      </c>
      <c r="BQ16" s="40">
        <v>0</v>
      </c>
      <c r="BR16" s="40">
        <v>0</v>
      </c>
      <c r="BS16" s="40">
        <v>0</v>
      </c>
      <c r="BT16" s="40">
        <v>0</v>
      </c>
      <c r="BU16" s="40">
        <v>0</v>
      </c>
      <c r="BV16" s="40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159</v>
      </c>
      <c r="CH16" s="72">
        <v>219</v>
      </c>
      <c r="CI16" s="72">
        <v>208</v>
      </c>
      <c r="CJ16" s="72">
        <v>242</v>
      </c>
      <c r="CK16" s="72">
        <v>237</v>
      </c>
      <c r="CL16" s="72">
        <v>272</v>
      </c>
      <c r="CM16" s="72">
        <v>262</v>
      </c>
      <c r="CN16" s="72">
        <v>300</v>
      </c>
      <c r="CO16" s="72">
        <v>285</v>
      </c>
      <c r="CP16" s="72">
        <v>305</v>
      </c>
      <c r="CQ16" s="72">
        <v>313</v>
      </c>
      <c r="CR16" s="72">
        <v>340</v>
      </c>
      <c r="CS16" s="72">
        <f>+CO16*1.1</f>
        <v>313.5</v>
      </c>
      <c r="CT16" s="72">
        <f>+CP16*1.1</f>
        <v>335.5</v>
      </c>
      <c r="CU16" s="72">
        <f>+CQ16*1.1</f>
        <v>344.3</v>
      </c>
      <c r="CV16" s="72">
        <f>+CR16*1.1</f>
        <v>374.00000000000006</v>
      </c>
      <c r="CW16" s="72">
        <f>+CS16*1.1</f>
        <v>344.85</v>
      </c>
      <c r="CX16" s="72">
        <f>+CT16*1.1</f>
        <v>369.05</v>
      </c>
      <c r="CY16" s="72"/>
      <c r="CZ16" s="72"/>
      <c r="DA16" s="40"/>
      <c r="DB16" s="40"/>
      <c r="DC16" s="40"/>
      <c r="DD16" s="39"/>
      <c r="DE16" s="39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69">
        <f>SUM(BK16:BN16)</f>
        <v>0</v>
      </c>
      <c r="DU16" s="69">
        <f>SUM(BO16:BR16)</f>
        <v>0</v>
      </c>
      <c r="DV16" s="69">
        <f>SUM(BS16:BV16)</f>
        <v>0</v>
      </c>
      <c r="DW16" s="69">
        <f>SUM(BW16:BZ16)</f>
        <v>0</v>
      </c>
      <c r="DX16" s="69">
        <f>SUM(CA16:CD16)</f>
        <v>0</v>
      </c>
      <c r="DY16" s="69">
        <f>SUM(CE16:CH16)</f>
        <v>378</v>
      </c>
      <c r="DZ16" s="69">
        <f>SUM(CI16:CL16)</f>
        <v>959</v>
      </c>
      <c r="EA16" s="69">
        <f>SUM(CM16:CP16)</f>
        <v>1152</v>
      </c>
      <c r="EB16" s="69">
        <f>SUM(CQ16:CT16)</f>
        <v>1302</v>
      </c>
      <c r="EC16" s="40">
        <f t="shared" ref="EC16:EM16" si="28">+EB16*1.03</f>
        <v>1341.06</v>
      </c>
      <c r="ED16" s="40">
        <f t="shared" si="28"/>
        <v>1381.2918</v>
      </c>
      <c r="EE16" s="40">
        <f t="shared" si="28"/>
        <v>1422.730554</v>
      </c>
      <c r="EF16" s="40">
        <f t="shared" si="28"/>
        <v>1465.41247062</v>
      </c>
      <c r="EG16" s="40">
        <f t="shared" si="28"/>
        <v>1509.3748447386001</v>
      </c>
      <c r="EH16" s="40">
        <f t="shared" si="28"/>
        <v>1554.6560900807581</v>
      </c>
      <c r="EI16" s="40">
        <f t="shared" si="28"/>
        <v>1601.2957727831808</v>
      </c>
      <c r="EJ16" s="40">
        <f t="shared" si="28"/>
        <v>1649.3346459666764</v>
      </c>
      <c r="EK16" s="40">
        <f t="shared" si="28"/>
        <v>1698.8146853456767</v>
      </c>
      <c r="EL16" s="40">
        <f t="shared" si="28"/>
        <v>1749.7791259060471</v>
      </c>
      <c r="EM16" s="40">
        <f t="shared" si="28"/>
        <v>1802.2724996832285</v>
      </c>
    </row>
    <row r="17" spans="1:143" s="11" customFormat="1">
      <c r="A17" s="31"/>
      <c r="B17" s="98" t="s">
        <v>516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53"/>
      <c r="AH17" s="40"/>
      <c r="AI17" s="40"/>
      <c r="AJ17" s="40"/>
      <c r="AK17" s="52"/>
      <c r="AL17" s="40"/>
      <c r="AM17" s="40"/>
      <c r="AN17" s="40"/>
      <c r="AO17" s="40"/>
      <c r="AP17" s="40"/>
      <c r="AQ17" s="67"/>
      <c r="AR17" s="40"/>
      <c r="AS17" s="40"/>
      <c r="AT17" s="40"/>
      <c r="AU17" s="40"/>
      <c r="AV17" s="40"/>
      <c r="AW17" s="40"/>
      <c r="AX17" s="40"/>
      <c r="AY17" s="40"/>
      <c r="AZ17" s="135"/>
      <c r="BA17" s="135"/>
      <c r="BB17" s="135"/>
      <c r="BC17" s="135"/>
      <c r="BD17" s="135"/>
      <c r="BE17" s="135"/>
      <c r="BF17" s="135"/>
      <c r="BG17" s="135"/>
      <c r="BH17" s="135"/>
      <c r="BI17" s="135"/>
      <c r="BJ17" s="135"/>
      <c r="BK17" s="135"/>
      <c r="BL17" s="135"/>
      <c r="BM17" s="135"/>
      <c r="BN17" s="135"/>
      <c r="BO17" s="135"/>
      <c r="BP17" s="40">
        <v>0</v>
      </c>
      <c r="BQ17" s="40">
        <v>0</v>
      </c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72">
        <v>0</v>
      </c>
      <c r="BX17" s="72">
        <v>0</v>
      </c>
      <c r="BY17" s="72">
        <v>1</v>
      </c>
      <c r="BZ17" s="72">
        <v>1</v>
      </c>
      <c r="CA17" s="72">
        <v>4</v>
      </c>
      <c r="CB17" s="72">
        <v>7</v>
      </c>
      <c r="CC17" s="72">
        <v>10</v>
      </c>
      <c r="CD17" s="72">
        <v>6</v>
      </c>
      <c r="CE17" s="72">
        <v>27</v>
      </c>
      <c r="CF17" s="72">
        <v>56</v>
      </c>
      <c r="CG17" s="72">
        <v>47</v>
      </c>
      <c r="CH17" s="72">
        <v>73</v>
      </c>
      <c r="CI17" s="72">
        <v>87</v>
      </c>
      <c r="CJ17" s="72">
        <v>93</v>
      </c>
      <c r="CK17" s="72">
        <v>103</v>
      </c>
      <c r="CL17" s="72">
        <v>116</v>
      </c>
      <c r="CM17" s="72">
        <v>144</v>
      </c>
      <c r="CN17" s="72">
        <v>163</v>
      </c>
      <c r="CO17" s="72">
        <v>171</v>
      </c>
      <c r="CP17" s="72">
        <v>199</v>
      </c>
      <c r="CQ17" s="72">
        <v>219</v>
      </c>
      <c r="CR17" s="72">
        <v>235</v>
      </c>
      <c r="CS17" s="72">
        <f>+CO17*1.4</f>
        <v>239.39999999999998</v>
      </c>
      <c r="CT17" s="72">
        <f>+CP17*1.3</f>
        <v>258.7</v>
      </c>
      <c r="CU17" s="72">
        <f>+CQ17*1.3</f>
        <v>284.7</v>
      </c>
      <c r="CV17" s="72">
        <f>+CR17*1.3</f>
        <v>305.5</v>
      </c>
      <c r="CW17" s="72">
        <f>+CS17*1.4</f>
        <v>335.15999999999997</v>
      </c>
      <c r="CX17" s="72">
        <f>+CT17*1.3</f>
        <v>336.31</v>
      </c>
      <c r="CY17" s="72"/>
      <c r="CZ17" s="72"/>
      <c r="DA17" s="40"/>
      <c r="DB17" s="40"/>
      <c r="DC17" s="40"/>
      <c r="DD17" s="39"/>
      <c r="DE17" s="39"/>
      <c r="DF17" s="40"/>
      <c r="DG17" s="40"/>
      <c r="DH17" s="40"/>
      <c r="DI17" s="40"/>
      <c r="DJ17" s="40"/>
      <c r="DK17" s="40"/>
      <c r="DL17" s="40"/>
      <c r="DM17" s="40"/>
      <c r="DN17" s="39"/>
      <c r="DO17" s="40"/>
      <c r="DP17" s="40"/>
      <c r="DQ17" s="42"/>
      <c r="DR17" s="42"/>
      <c r="DS17" s="42"/>
      <c r="DT17" s="69">
        <f>SUM(BK17:BN17)</f>
        <v>0</v>
      </c>
      <c r="DU17" s="69">
        <f>SUM(BO17:BR17)</f>
        <v>0</v>
      </c>
      <c r="DV17" s="69">
        <f>SUM(BS17:BV17)</f>
        <v>0</v>
      </c>
      <c r="DW17" s="69">
        <f>SUM(BW17:BZ17)</f>
        <v>2</v>
      </c>
      <c r="DX17" s="69">
        <f>SUM(CA17:CD17)</f>
        <v>27</v>
      </c>
      <c r="DY17" s="69">
        <f>SUM(CE17:CH17)</f>
        <v>203</v>
      </c>
      <c r="DZ17" s="69">
        <f>SUM(CI17:CL17)</f>
        <v>399</v>
      </c>
      <c r="EA17" s="69">
        <f>SUM(CM17:CP17)</f>
        <v>677</v>
      </c>
      <c r="EB17" s="69">
        <f>SUM(CQ17:CT17)</f>
        <v>952.09999999999991</v>
      </c>
      <c r="EC17" s="63">
        <f>+EB17*1.3</f>
        <v>1237.73</v>
      </c>
      <c r="ED17" s="63">
        <f>+EC17*1.3</f>
        <v>1609.049</v>
      </c>
      <c r="EE17" s="63">
        <f>+ED17*1.3</f>
        <v>2091.7637</v>
      </c>
      <c r="EF17" s="63">
        <f>+EE17*1.1</f>
        <v>2300.9400700000001</v>
      </c>
      <c r="EG17" s="63">
        <f>+EF17*1.1</f>
        <v>2531.0340770000003</v>
      </c>
      <c r="EH17" s="63">
        <f>+EG17*1.1</f>
        <v>2784.1374847000006</v>
      </c>
      <c r="EI17" s="63">
        <f>+EH17*1.05</f>
        <v>2923.3443589350009</v>
      </c>
      <c r="EJ17" s="63">
        <f>+EI17*1.05</f>
        <v>3069.5115768817509</v>
      </c>
      <c r="EK17" s="63">
        <f>+EJ17*1.05</f>
        <v>3222.9871557258384</v>
      </c>
      <c r="EL17" s="63">
        <f>+EK17*1.05</f>
        <v>3384.1365135121305</v>
      </c>
      <c r="EM17" s="63">
        <f>+EL17*1.05</f>
        <v>3553.343339187737</v>
      </c>
    </row>
    <row r="18" spans="1:143" s="11" customFormat="1">
      <c r="A18" s="31"/>
      <c r="B18" s="98" t="s">
        <v>333</v>
      </c>
      <c r="C18" s="40">
        <v>80</v>
      </c>
      <c r="D18" s="40">
        <v>46</v>
      </c>
      <c r="E18" s="40">
        <v>164</v>
      </c>
      <c r="F18" s="40">
        <v>278</v>
      </c>
      <c r="G18" s="40">
        <v>347</v>
      </c>
      <c r="H18" s="40">
        <v>464</v>
      </c>
      <c r="I18" s="40">
        <v>481</v>
      </c>
      <c r="J18" s="40">
        <v>686</v>
      </c>
      <c r="K18" s="40">
        <v>835</v>
      </c>
      <c r="L18" s="40">
        <v>631</v>
      </c>
      <c r="M18" s="40">
        <v>1000</v>
      </c>
      <c r="N18" s="40">
        <v>836</v>
      </c>
      <c r="O18" s="40">
        <v>935</v>
      </c>
      <c r="P18" s="40">
        <v>891</v>
      </c>
      <c r="Q18" s="40">
        <v>951</v>
      </c>
      <c r="R18" s="40">
        <v>1106</v>
      </c>
      <c r="S18" s="40">
        <v>1055</v>
      </c>
      <c r="T18" s="40">
        <v>1204</v>
      </c>
      <c r="U18" s="40">
        <v>1127</v>
      </c>
      <c r="V18" s="40">
        <v>1247</v>
      </c>
      <c r="W18" s="40">
        <v>1189</v>
      </c>
      <c r="X18" s="40">
        <v>1283</v>
      </c>
      <c r="Y18" s="40">
        <v>1280</v>
      </c>
      <c r="Z18" s="40">
        <v>1430</v>
      </c>
      <c r="AA18" s="40">
        <v>1308</v>
      </c>
      <c r="AB18" s="40">
        <v>1312</v>
      </c>
      <c r="AC18" s="40">
        <v>1293</v>
      </c>
      <c r="AD18" s="40">
        <v>1303</v>
      </c>
      <c r="AE18" s="40">
        <v>1238</v>
      </c>
      <c r="AF18" s="40">
        <v>1323</v>
      </c>
      <c r="AG18" s="40">
        <v>1315</v>
      </c>
      <c r="AH18" s="40">
        <v>1324</v>
      </c>
      <c r="AI18" s="40">
        <v>1192</v>
      </c>
      <c r="AJ18" s="40">
        <v>1246</v>
      </c>
      <c r="AK18" s="52">
        <v>1243</v>
      </c>
      <c r="AL18" s="40">
        <v>1278</v>
      </c>
      <c r="AM18" s="40">
        <f>653+331+108+147</f>
        <v>1239</v>
      </c>
      <c r="AN18" s="40">
        <v>1257</v>
      </c>
      <c r="AO18" s="40">
        <v>1242</v>
      </c>
      <c r="AP18" s="40">
        <v>1231</v>
      </c>
      <c r="AQ18" s="67">
        <v>1161</v>
      </c>
      <c r="AR18" s="40">
        <f>+AN18-50</f>
        <v>1207</v>
      </c>
      <c r="AS18" s="40">
        <v>1089</v>
      </c>
      <c r="AT18" s="40">
        <v>1067</v>
      </c>
      <c r="AU18" s="40">
        <v>953</v>
      </c>
      <c r="AV18" s="40"/>
      <c r="AW18" s="40"/>
      <c r="AX18" s="40"/>
      <c r="AY18" s="40">
        <v>940</v>
      </c>
      <c r="AZ18" s="40">
        <v>1023</v>
      </c>
      <c r="BA18" s="40"/>
      <c r="BB18" s="40"/>
      <c r="BC18" s="40">
        <v>930</v>
      </c>
      <c r="BD18" s="40">
        <v>971</v>
      </c>
      <c r="BE18" s="40"/>
      <c r="BF18" s="40"/>
      <c r="BG18" s="40">
        <v>644</v>
      </c>
      <c r="BH18" s="40">
        <v>647</v>
      </c>
      <c r="BI18" s="72">
        <v>641</v>
      </c>
      <c r="BJ18" s="72">
        <v>564</v>
      </c>
      <c r="BK18" s="72">
        <v>463</v>
      </c>
      <c r="BL18" s="72">
        <v>562</v>
      </c>
      <c r="BM18" s="72">
        <v>516</v>
      </c>
      <c r="BN18" s="40">
        <v>491</v>
      </c>
      <c r="BO18" s="72">
        <v>461</v>
      </c>
      <c r="BP18" s="40">
        <v>595</v>
      </c>
      <c r="BQ18" s="40">
        <v>469</v>
      </c>
      <c r="BR18" s="40">
        <v>427</v>
      </c>
      <c r="BS18" s="40">
        <v>448</v>
      </c>
      <c r="BT18" s="40">
        <v>442</v>
      </c>
      <c r="BU18" s="40">
        <v>422</v>
      </c>
      <c r="BV18" s="40">
        <v>390</v>
      </c>
      <c r="BW18" s="72">
        <v>363</v>
      </c>
      <c r="BX18" s="72">
        <v>393</v>
      </c>
      <c r="BY18" s="72">
        <v>374</v>
      </c>
      <c r="BZ18" s="72">
        <v>353</v>
      </c>
      <c r="CA18" s="72">
        <v>338</v>
      </c>
      <c r="CB18" s="72">
        <v>377</v>
      </c>
      <c r="CC18" s="72">
        <v>401</v>
      </c>
      <c r="CD18" s="72">
        <v>377</v>
      </c>
      <c r="CE18" s="72">
        <v>403</v>
      </c>
      <c r="CF18" s="72">
        <v>336</v>
      </c>
      <c r="CG18" s="72">
        <v>259</v>
      </c>
      <c r="CH18" s="72">
        <v>328</v>
      </c>
      <c r="CI18" s="72">
        <v>332</v>
      </c>
      <c r="CJ18" s="72">
        <v>343</v>
      </c>
      <c r="CK18" s="72">
        <v>311</v>
      </c>
      <c r="CL18" s="72">
        <v>300</v>
      </c>
      <c r="CM18" s="72">
        <v>244</v>
      </c>
      <c r="CN18" s="72">
        <v>248</v>
      </c>
      <c r="CO18" s="72">
        <v>244</v>
      </c>
      <c r="CP18" s="72">
        <v>209</v>
      </c>
      <c r="CQ18" s="72">
        <v>243</v>
      </c>
      <c r="CR18" s="72">
        <v>227</v>
      </c>
      <c r="CS18" s="72">
        <f>+CO18</f>
        <v>244</v>
      </c>
      <c r="CT18" s="72">
        <f>+CP18</f>
        <v>209</v>
      </c>
      <c r="CU18" s="72">
        <f>+CQ18</f>
        <v>243</v>
      </c>
      <c r="CV18" s="72">
        <f>+CR18</f>
        <v>227</v>
      </c>
      <c r="CW18" s="72">
        <f>+CS18</f>
        <v>244</v>
      </c>
      <c r="CX18" s="72">
        <f>+CT18</f>
        <v>209</v>
      </c>
      <c r="CY18" s="72"/>
      <c r="CZ18" s="72"/>
      <c r="DA18" s="40"/>
      <c r="DB18" s="40"/>
      <c r="DC18" s="40"/>
      <c r="DD18" s="39"/>
      <c r="DE18" s="39"/>
      <c r="DF18" s="40">
        <v>1978</v>
      </c>
      <c r="DG18" s="40">
        <v>3302</v>
      </c>
      <c r="DH18" s="40">
        <v>3883</v>
      </c>
      <c r="DI18" s="40">
        <f>SUM(S18:V18)</f>
        <v>4633</v>
      </c>
      <c r="DJ18" s="40">
        <f>SUM(W18:Z18)</f>
        <v>5182</v>
      </c>
      <c r="DK18" s="40">
        <f>SUM(AA18:AD18)</f>
        <v>5216</v>
      </c>
      <c r="DL18" s="40">
        <f>SUM(AE18:AH18)</f>
        <v>5200</v>
      </c>
      <c r="DM18" s="40">
        <f>SUM(AI18:AL18)</f>
        <v>4959</v>
      </c>
      <c r="DN18" s="40">
        <f>SUM(AM18:AP18)</f>
        <v>4969</v>
      </c>
      <c r="DO18" s="40">
        <f>SUM(AQ18:AT18)</f>
        <v>4524</v>
      </c>
      <c r="DP18" s="40">
        <f>SUM(AU18:AX18)</f>
        <v>953</v>
      </c>
      <c r="DQ18" s="40"/>
      <c r="DR18" s="40"/>
      <c r="DS18" s="40"/>
      <c r="DT18" s="69">
        <f>SUM(BK18:BN18)</f>
        <v>2032</v>
      </c>
      <c r="DU18" s="69">
        <f>SUM(BO18:BR18)</f>
        <v>1952</v>
      </c>
      <c r="DV18" s="69">
        <f>SUM(BS18:BV18)</f>
        <v>1702</v>
      </c>
      <c r="DW18" s="69">
        <f>SUM(BW18:BZ18)</f>
        <v>1483</v>
      </c>
      <c r="DX18" s="69">
        <f>SUM(CA18:CD18)</f>
        <v>1493</v>
      </c>
      <c r="DY18" s="69">
        <f>SUM(CE18:CH18)</f>
        <v>1326</v>
      </c>
      <c r="DZ18" s="69">
        <f>SUM(CI18:CL18)</f>
        <v>1286</v>
      </c>
      <c r="EA18" s="69">
        <f>SUM(CM18:CP18)</f>
        <v>945</v>
      </c>
      <c r="EB18" s="69">
        <f>SUM(CQ18:CT18)</f>
        <v>923</v>
      </c>
      <c r="EC18" s="40">
        <f t="shared" ref="EC18:EM18" si="29">+EB18*0.9</f>
        <v>830.7</v>
      </c>
      <c r="ED18" s="40">
        <f t="shared" si="29"/>
        <v>747.63000000000011</v>
      </c>
      <c r="EE18" s="40">
        <f t="shared" si="29"/>
        <v>672.86700000000008</v>
      </c>
      <c r="EF18" s="40">
        <f t="shared" si="29"/>
        <v>605.58030000000008</v>
      </c>
      <c r="EG18" s="40">
        <f t="shared" si="29"/>
        <v>545.02227000000005</v>
      </c>
      <c r="EH18" s="40">
        <f t="shared" si="29"/>
        <v>490.52004300000004</v>
      </c>
      <c r="EI18" s="40">
        <f t="shared" si="29"/>
        <v>441.46803870000002</v>
      </c>
      <c r="EJ18" s="40">
        <f t="shared" si="29"/>
        <v>397.32123483000004</v>
      </c>
      <c r="EK18" s="40">
        <f t="shared" si="29"/>
        <v>357.58911134700003</v>
      </c>
      <c r="EL18" s="40">
        <f t="shared" si="29"/>
        <v>321.83020021230004</v>
      </c>
      <c r="EM18" s="40">
        <f t="shared" si="29"/>
        <v>289.64718019107005</v>
      </c>
    </row>
    <row r="19" spans="1:143" s="11" customFormat="1">
      <c r="A19" s="31"/>
      <c r="B19" s="98" t="s">
        <v>437</v>
      </c>
      <c r="C19" s="40">
        <v>149</v>
      </c>
      <c r="D19" s="40">
        <v>196</v>
      </c>
      <c r="E19" s="40">
        <v>201</v>
      </c>
      <c r="F19" s="40">
        <v>165</v>
      </c>
      <c r="G19" s="40">
        <v>231</v>
      </c>
      <c r="H19" s="40">
        <v>206</v>
      </c>
      <c r="I19" s="40">
        <v>201</v>
      </c>
      <c r="J19" s="40">
        <v>263</v>
      </c>
      <c r="K19" s="40">
        <v>368</v>
      </c>
      <c r="L19" s="40">
        <v>380</v>
      </c>
      <c r="M19" s="40">
        <v>286</v>
      </c>
      <c r="N19" s="40">
        <v>246</v>
      </c>
      <c r="O19" s="40">
        <v>333</v>
      </c>
      <c r="P19" s="40">
        <v>320</v>
      </c>
      <c r="Q19" s="40">
        <v>353</v>
      </c>
      <c r="R19" s="40">
        <v>381</v>
      </c>
      <c r="S19" s="40">
        <v>408</v>
      </c>
      <c r="T19" s="40">
        <v>435</v>
      </c>
      <c r="U19" s="40">
        <v>437</v>
      </c>
      <c r="V19" s="40">
        <v>455</v>
      </c>
      <c r="W19" s="40">
        <f>934-X19</f>
        <v>456</v>
      </c>
      <c r="X19" s="40">
        <v>478</v>
      </c>
      <c r="Y19" s="40">
        <v>473</v>
      </c>
      <c r="Z19" s="40">
        <v>387</v>
      </c>
      <c r="AA19" s="40">
        <f>901-AB19</f>
        <v>444</v>
      </c>
      <c r="AB19" s="40">
        <v>457</v>
      </c>
      <c r="AC19" s="40">
        <v>328</v>
      </c>
      <c r="AD19" s="40">
        <v>209</v>
      </c>
      <c r="AE19" s="40">
        <v>190</v>
      </c>
      <c r="AF19" s="40">
        <v>206</v>
      </c>
      <c r="AG19" s="40">
        <v>204</v>
      </c>
      <c r="AH19" s="40">
        <v>207</v>
      </c>
      <c r="AI19" s="40">
        <v>288</v>
      </c>
      <c r="AJ19" s="40">
        <v>417</v>
      </c>
      <c r="AK19" s="52">
        <v>414</v>
      </c>
      <c r="AL19" s="40">
        <v>324</v>
      </c>
      <c r="AM19" s="40">
        <f>236+24+9+98</f>
        <v>367</v>
      </c>
      <c r="AN19" s="40">
        <v>317</v>
      </c>
      <c r="AO19" s="40">
        <v>273</v>
      </c>
      <c r="AP19" s="40">
        <v>253</v>
      </c>
      <c r="AQ19" s="67">
        <v>245</v>
      </c>
      <c r="AR19" s="40">
        <f>AQ19-5</f>
        <v>240</v>
      </c>
      <c r="AS19" s="40">
        <v>273</v>
      </c>
      <c r="AT19" s="40">
        <v>236</v>
      </c>
      <c r="AU19" s="40">
        <v>224</v>
      </c>
      <c r="AV19" s="40"/>
      <c r="AW19" s="40"/>
      <c r="AX19" s="40"/>
      <c r="AY19" s="40">
        <v>224</v>
      </c>
      <c r="AZ19" s="40">
        <v>183</v>
      </c>
      <c r="BA19" s="40"/>
      <c r="BB19" s="40"/>
      <c r="BC19" s="40">
        <v>193</v>
      </c>
      <c r="BD19" s="40">
        <v>193</v>
      </c>
      <c r="BE19" s="40"/>
      <c r="BF19" s="40"/>
      <c r="BG19" s="40">
        <v>194</v>
      </c>
      <c r="BH19" s="40">
        <v>184</v>
      </c>
      <c r="BI19" s="72">
        <v>172</v>
      </c>
      <c r="BJ19" s="72">
        <v>160</v>
      </c>
      <c r="BK19" s="72">
        <v>185</v>
      </c>
      <c r="BL19" s="72">
        <v>189</v>
      </c>
      <c r="BM19" s="72">
        <v>185</v>
      </c>
      <c r="BN19" s="40">
        <v>178</v>
      </c>
      <c r="BO19" s="72">
        <v>186</v>
      </c>
      <c r="BP19" s="40">
        <v>181</v>
      </c>
      <c r="BQ19" s="40">
        <v>160</v>
      </c>
      <c r="BR19" s="40">
        <v>168</v>
      </c>
      <c r="BS19" s="40">
        <v>200</v>
      </c>
      <c r="BT19" s="40">
        <v>173</v>
      </c>
      <c r="BU19" s="40">
        <v>179</v>
      </c>
      <c r="BV19" s="40">
        <v>160</v>
      </c>
      <c r="BW19" s="72">
        <v>225</v>
      </c>
      <c r="BX19" s="72">
        <v>168</v>
      </c>
      <c r="BY19" s="72">
        <v>177</v>
      </c>
      <c r="BZ19" s="72">
        <v>190</v>
      </c>
      <c r="CA19" s="72">
        <v>177</v>
      </c>
      <c r="CB19" s="72">
        <v>218</v>
      </c>
      <c r="CC19" s="72">
        <v>225</v>
      </c>
      <c r="CD19" s="72">
        <v>200</v>
      </c>
      <c r="CE19" s="72">
        <v>250</v>
      </c>
      <c r="CF19" s="72">
        <v>266</v>
      </c>
      <c r="CG19" s="72">
        <v>234</v>
      </c>
      <c r="CH19" s="72">
        <v>202</v>
      </c>
      <c r="CI19" s="72">
        <v>244</v>
      </c>
      <c r="CJ19" s="72">
        <v>223</v>
      </c>
      <c r="CK19" s="72">
        <v>238</v>
      </c>
      <c r="CL19" s="72">
        <v>157</v>
      </c>
      <c r="CM19" s="72">
        <v>179</v>
      </c>
      <c r="CN19" s="72">
        <v>164</v>
      </c>
      <c r="CO19" s="72">
        <v>153</v>
      </c>
      <c r="CP19" s="72">
        <v>144</v>
      </c>
      <c r="CQ19" s="72">
        <v>165</v>
      </c>
      <c r="CR19" s="72">
        <v>150</v>
      </c>
      <c r="CS19" s="72">
        <f>+CR19-5</f>
        <v>145</v>
      </c>
      <c r="CT19" s="72">
        <f>+CS19-5</f>
        <v>140</v>
      </c>
      <c r="CU19" s="72">
        <f>+CT19-5</f>
        <v>135</v>
      </c>
      <c r="CV19" s="72">
        <f>+CU19-5</f>
        <v>130</v>
      </c>
      <c r="CW19" s="72">
        <f>+CV19-5</f>
        <v>125</v>
      </c>
      <c r="CX19" s="72">
        <f>+CW19-5</f>
        <v>120</v>
      </c>
      <c r="CY19" s="72"/>
      <c r="CZ19" s="72"/>
      <c r="DA19" s="40"/>
      <c r="DB19" s="40"/>
      <c r="DC19" s="40"/>
      <c r="DD19" s="39"/>
      <c r="DE19" s="39"/>
      <c r="DF19" s="40">
        <v>901</v>
      </c>
      <c r="DG19" s="40">
        <v>1280</v>
      </c>
      <c r="DH19" s="40">
        <v>1387</v>
      </c>
      <c r="DI19" s="40">
        <f>SUM(S19:V19)</f>
        <v>1735</v>
      </c>
      <c r="DJ19" s="40">
        <f>SUM(W19:Z19)</f>
        <v>1794</v>
      </c>
      <c r="DK19" s="40">
        <f>SUM(AA19:AD19)</f>
        <v>1438</v>
      </c>
      <c r="DL19" s="40">
        <f>SUM(AE19:AH19)</f>
        <v>807</v>
      </c>
      <c r="DM19" s="40">
        <f>SUM(AI19:AL19)</f>
        <v>1443</v>
      </c>
      <c r="DN19" s="40">
        <f>SUM(AM19:AP19)</f>
        <v>1210</v>
      </c>
      <c r="DO19" s="40">
        <f>SUM(AQ19:AT19)</f>
        <v>994</v>
      </c>
      <c r="DP19" s="40">
        <f>SUM(AU19:AX19)</f>
        <v>224</v>
      </c>
      <c r="DQ19" s="40"/>
      <c r="DR19" s="40"/>
      <c r="DS19" s="40"/>
      <c r="DT19" s="69">
        <f t="shared" si="13"/>
        <v>737</v>
      </c>
      <c r="DU19" s="69">
        <f t="shared" si="11"/>
        <v>695</v>
      </c>
      <c r="DV19" s="69">
        <f>SUM(BS19:BV19)</f>
        <v>712</v>
      </c>
      <c r="DW19" s="69">
        <f t="shared" si="8"/>
        <v>760</v>
      </c>
      <c r="DX19" s="69">
        <f t="shared" si="9"/>
        <v>820</v>
      </c>
      <c r="DY19" s="69">
        <f t="shared" si="19"/>
        <v>952</v>
      </c>
      <c r="DZ19" s="69">
        <f t="shared" si="20"/>
        <v>862</v>
      </c>
      <c r="EA19" s="69">
        <f t="shared" si="21"/>
        <v>640</v>
      </c>
      <c r="EB19" s="69">
        <f>SUM(CQ19:CT19)</f>
        <v>600</v>
      </c>
      <c r="EC19" s="40">
        <f t="shared" si="27"/>
        <v>540</v>
      </c>
      <c r="ED19" s="40">
        <f t="shared" si="27"/>
        <v>486</v>
      </c>
      <c r="EE19" s="40">
        <f t="shared" si="27"/>
        <v>437.40000000000003</v>
      </c>
      <c r="EF19" s="40">
        <f t="shared" si="27"/>
        <v>393.66</v>
      </c>
      <c r="EG19" s="40">
        <f t="shared" si="27"/>
        <v>354.29400000000004</v>
      </c>
      <c r="EH19" s="40">
        <f t="shared" si="27"/>
        <v>318.86460000000005</v>
      </c>
      <c r="EI19" s="40">
        <f t="shared" si="27"/>
        <v>286.97814000000005</v>
      </c>
      <c r="EJ19" s="40">
        <f t="shared" si="27"/>
        <v>258.28032600000006</v>
      </c>
      <c r="EK19" s="40">
        <f t="shared" si="27"/>
        <v>232.45229340000006</v>
      </c>
      <c r="EL19" s="40">
        <f t="shared" si="27"/>
        <v>209.20706406000005</v>
      </c>
      <c r="EM19" s="40">
        <f t="shared" si="27"/>
        <v>188.28635765400006</v>
      </c>
    </row>
    <row r="20" spans="1:143" s="11" customFormat="1">
      <c r="A20" s="31"/>
      <c r="B20" s="130" t="s">
        <v>614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52"/>
      <c r="AL20" s="40"/>
      <c r="AM20" s="40"/>
      <c r="AN20" s="40"/>
      <c r="AO20" s="40"/>
      <c r="AP20" s="40"/>
      <c r="AQ20" s="67"/>
      <c r="AR20" s="40"/>
      <c r="AS20" s="40"/>
      <c r="AT20" s="40"/>
      <c r="AU20" s="40"/>
      <c r="AV20" s="40"/>
      <c r="AW20" s="40"/>
      <c r="AX20" s="40"/>
      <c r="AY20" s="40"/>
      <c r="AZ20" s="135"/>
      <c r="BA20" s="135"/>
      <c r="BB20" s="135"/>
      <c r="BC20" s="135"/>
      <c r="BD20" s="135"/>
      <c r="BE20" s="135"/>
      <c r="BF20" s="135"/>
      <c r="BG20" s="135"/>
      <c r="BH20" s="135"/>
      <c r="BI20" s="135"/>
      <c r="BJ20" s="135"/>
      <c r="BK20" s="135"/>
      <c r="BL20" s="135"/>
      <c r="BM20" s="135"/>
      <c r="BN20" s="135"/>
      <c r="BO20" s="135"/>
      <c r="BP20" s="40">
        <v>0</v>
      </c>
      <c r="BQ20" s="40">
        <v>0</v>
      </c>
      <c r="BR20" s="40">
        <v>0</v>
      </c>
      <c r="BS20" s="40">
        <v>0</v>
      </c>
      <c r="BT20" s="40">
        <v>0</v>
      </c>
      <c r="BU20" s="40">
        <v>0</v>
      </c>
      <c r="BV20" s="40">
        <v>0</v>
      </c>
      <c r="BW20" s="40">
        <v>0</v>
      </c>
      <c r="BX20" s="40">
        <v>0</v>
      </c>
      <c r="BY20" s="40">
        <v>0</v>
      </c>
      <c r="BZ20" s="40">
        <v>0</v>
      </c>
      <c r="CA20" s="40">
        <v>0</v>
      </c>
      <c r="CB20" s="40">
        <v>0</v>
      </c>
      <c r="CC20" s="40">
        <v>0</v>
      </c>
      <c r="CD20" s="40">
        <v>0</v>
      </c>
      <c r="CE20" s="40">
        <v>0</v>
      </c>
      <c r="CF20" s="40">
        <v>0</v>
      </c>
      <c r="CG20" s="40">
        <v>0</v>
      </c>
      <c r="CH20" s="40">
        <v>0</v>
      </c>
      <c r="CI20" s="40">
        <v>0</v>
      </c>
      <c r="CJ20" s="40">
        <v>0</v>
      </c>
      <c r="CK20" s="40">
        <v>0</v>
      </c>
      <c r="CL20" s="72">
        <v>0</v>
      </c>
      <c r="CM20" s="72">
        <v>0</v>
      </c>
      <c r="CN20" s="72">
        <v>0</v>
      </c>
      <c r="CO20" s="72">
        <v>0</v>
      </c>
      <c r="CP20" s="72">
        <v>0</v>
      </c>
      <c r="CQ20" s="72">
        <v>62</v>
      </c>
      <c r="CR20" s="72">
        <v>74</v>
      </c>
      <c r="CS20" s="72">
        <f>+CR20+2</f>
        <v>76</v>
      </c>
      <c r="CT20" s="72">
        <f>+CS20+2</f>
        <v>78</v>
      </c>
      <c r="CU20" s="72">
        <f>+CT20+2</f>
        <v>80</v>
      </c>
      <c r="CV20" s="72">
        <f>+CU20+2</f>
        <v>82</v>
      </c>
      <c r="CW20" s="72">
        <f>+CV20+2</f>
        <v>84</v>
      </c>
      <c r="CX20" s="72">
        <f>+CW20+2</f>
        <v>86</v>
      </c>
      <c r="CY20" s="72"/>
      <c r="CZ20" s="72"/>
      <c r="DA20" s="40"/>
      <c r="DB20" s="40"/>
      <c r="DC20" s="40"/>
      <c r="DD20" s="39"/>
      <c r="DE20" s="39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69">
        <f t="shared" si="13"/>
        <v>0</v>
      </c>
      <c r="DU20" s="69">
        <f t="shared" si="11"/>
        <v>0</v>
      </c>
      <c r="DV20" s="69">
        <f>SUM(BS20:BV20)</f>
        <v>0</v>
      </c>
      <c r="DW20" s="69"/>
      <c r="DX20" s="69"/>
      <c r="DY20" s="69"/>
      <c r="DZ20" s="69"/>
      <c r="EA20" s="69">
        <f t="shared" si="21"/>
        <v>0</v>
      </c>
      <c r="EB20" s="69">
        <f>SUM(CQ20:CT20)</f>
        <v>290</v>
      </c>
      <c r="EC20" s="40">
        <f>+EB20*1.1</f>
        <v>319</v>
      </c>
      <c r="ED20" s="40">
        <f>+EC20*1.1</f>
        <v>350.90000000000003</v>
      </c>
      <c r="EE20" s="40">
        <f>+ED20*1.1</f>
        <v>385.99000000000007</v>
      </c>
      <c r="EF20" s="40">
        <f>+EE20*1.05</f>
        <v>405.28950000000009</v>
      </c>
      <c r="EG20" s="40">
        <f>+EF20*1.05</f>
        <v>425.55397500000009</v>
      </c>
      <c r="EH20" s="40">
        <f>+EG20*1.05</f>
        <v>446.83167375000011</v>
      </c>
      <c r="EI20" s="40">
        <f>+EH20*1.05</f>
        <v>469.17325743750013</v>
      </c>
      <c r="EJ20" s="40">
        <f>+EI20*1.05</f>
        <v>492.63192030937518</v>
      </c>
      <c r="EK20" s="40">
        <f>+EJ20*1.05</f>
        <v>517.26351632484398</v>
      </c>
      <c r="EL20" s="40">
        <f>+EK20*1.05</f>
        <v>543.12669214108621</v>
      </c>
      <c r="EM20" s="40">
        <f>+EL20*1.05</f>
        <v>570.28302674814051</v>
      </c>
    </row>
    <row r="21" spans="1:143" s="11" customFormat="1">
      <c r="A21" s="31"/>
      <c r="B21" s="130" t="s">
        <v>618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52"/>
      <c r="AL21" s="40"/>
      <c r="AM21" s="40"/>
      <c r="AN21" s="40"/>
      <c r="AO21" s="40"/>
      <c r="AP21" s="40"/>
      <c r="AQ21" s="67"/>
      <c r="AR21" s="40"/>
      <c r="AS21" s="40"/>
      <c r="AT21" s="40"/>
      <c r="AU21" s="40"/>
      <c r="AV21" s="40"/>
      <c r="AW21" s="40"/>
      <c r="AX21" s="40"/>
      <c r="AY21" s="40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40">
        <v>0</v>
      </c>
      <c r="BQ21" s="40">
        <v>0</v>
      </c>
      <c r="BR21" s="40">
        <v>0</v>
      </c>
      <c r="BS21" s="40">
        <v>0</v>
      </c>
      <c r="BT21" s="40">
        <v>0</v>
      </c>
      <c r="BU21" s="40">
        <v>0</v>
      </c>
      <c r="BV21" s="40">
        <v>0</v>
      </c>
      <c r="BW21" s="40">
        <v>0</v>
      </c>
      <c r="BX21" s="40">
        <v>0</v>
      </c>
      <c r="BY21" s="40">
        <v>0</v>
      </c>
      <c r="BZ21" s="40">
        <v>0</v>
      </c>
      <c r="CA21" s="40">
        <v>0</v>
      </c>
      <c r="CB21" s="40">
        <v>0</v>
      </c>
      <c r="CC21" s="40">
        <v>0</v>
      </c>
      <c r="CD21" s="40">
        <v>0</v>
      </c>
      <c r="CE21" s="40">
        <v>0</v>
      </c>
      <c r="CF21" s="40">
        <v>0</v>
      </c>
      <c r="CG21" s="40">
        <v>0</v>
      </c>
      <c r="CH21" s="40">
        <v>0</v>
      </c>
      <c r="CI21" s="40">
        <v>0</v>
      </c>
      <c r="CJ21" s="40">
        <v>0</v>
      </c>
      <c r="CK21" s="40">
        <v>0</v>
      </c>
      <c r="CL21" s="72">
        <v>4</v>
      </c>
      <c r="CM21" s="72">
        <v>11</v>
      </c>
      <c r="CN21" s="72">
        <v>19</v>
      </c>
      <c r="CO21" s="72">
        <v>21</v>
      </c>
      <c r="CP21" s="72">
        <v>35</v>
      </c>
      <c r="CQ21" s="72">
        <v>120</v>
      </c>
      <c r="CR21" s="72">
        <v>160</v>
      </c>
      <c r="CS21" s="72">
        <f>+CR21+30</f>
        <v>190</v>
      </c>
      <c r="CT21" s="72">
        <f>+CS21+30</f>
        <v>220</v>
      </c>
      <c r="CU21" s="72">
        <f>+CT21+30</f>
        <v>250</v>
      </c>
      <c r="CV21" s="72">
        <f>+CU21+30</f>
        <v>280</v>
      </c>
      <c r="CW21" s="72">
        <f>+CV21+30</f>
        <v>310</v>
      </c>
      <c r="CX21" s="72">
        <f>+CW21+30</f>
        <v>340</v>
      </c>
      <c r="CY21" s="72"/>
      <c r="CZ21" s="72"/>
      <c r="DA21" s="40"/>
      <c r="DB21" s="40"/>
      <c r="DC21" s="40"/>
      <c r="DD21" s="39"/>
      <c r="DE21" s="39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69">
        <f t="shared" si="13"/>
        <v>0</v>
      </c>
      <c r="DU21" s="69">
        <f t="shared" si="11"/>
        <v>0</v>
      </c>
      <c r="DV21" s="69">
        <f>SUM(BS21:BV21)</f>
        <v>0</v>
      </c>
      <c r="DW21" s="69"/>
      <c r="DX21" s="69"/>
      <c r="DY21" s="69"/>
      <c r="DZ21" s="69"/>
      <c r="EA21" s="69">
        <f t="shared" si="21"/>
        <v>86</v>
      </c>
      <c r="EB21" s="69">
        <f>SUM(CQ21:CT21)</f>
        <v>690</v>
      </c>
      <c r="EC21" s="40">
        <f>+EB21*1.4</f>
        <v>965.99999999999989</v>
      </c>
      <c r="ED21" s="40">
        <f>+EC21*1.3</f>
        <v>1255.8</v>
      </c>
      <c r="EE21" s="40">
        <f>+ED21*1.3</f>
        <v>1632.54</v>
      </c>
      <c r="EF21" s="40">
        <f>+EE21*1.2</f>
        <v>1959.0479999999998</v>
      </c>
      <c r="EG21" s="40">
        <f>+EF21*1.2</f>
        <v>2350.8575999999998</v>
      </c>
      <c r="EH21" s="40">
        <f>+EG21*1.1</f>
        <v>2585.9433600000002</v>
      </c>
      <c r="EI21" s="40">
        <f>+EH21*1.05</f>
        <v>2715.2405280000003</v>
      </c>
      <c r="EJ21" s="40">
        <f>+EI21*1.05</f>
        <v>2851.0025544000005</v>
      </c>
      <c r="EK21" s="40">
        <f>+EJ21*1.05</f>
        <v>2993.5526821200006</v>
      </c>
      <c r="EL21" s="40">
        <f>+EK21*1.05</f>
        <v>3143.2303162260009</v>
      </c>
      <c r="EM21" s="40">
        <f>+EL21*1.05</f>
        <v>3300.3918320373009</v>
      </c>
    </row>
    <row r="22" spans="1:143" s="11" customFormat="1">
      <c r="A22" s="31"/>
      <c r="B22" s="130" t="s">
        <v>616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52"/>
      <c r="AL22" s="40"/>
      <c r="AM22" s="40"/>
      <c r="AN22" s="40"/>
      <c r="AO22" s="40"/>
      <c r="AP22" s="40"/>
      <c r="AQ22" s="67"/>
      <c r="AR22" s="40"/>
      <c r="AS22" s="40"/>
      <c r="AT22" s="40"/>
      <c r="AU22" s="40"/>
      <c r="AV22" s="40"/>
      <c r="AW22" s="40"/>
      <c r="AX22" s="40"/>
      <c r="AY22" s="40"/>
      <c r="AZ22" s="135"/>
      <c r="BA22" s="135"/>
      <c r="BB22" s="135"/>
      <c r="BC22" s="135"/>
      <c r="BD22" s="135"/>
      <c r="BE22" s="135"/>
      <c r="BF22" s="135"/>
      <c r="BG22" s="135"/>
      <c r="BH22" s="135"/>
      <c r="BI22" s="135"/>
      <c r="BJ22" s="135"/>
      <c r="BK22" s="135"/>
      <c r="BL22" s="135"/>
      <c r="BM22" s="135"/>
      <c r="BN22" s="135"/>
      <c r="BO22" s="135"/>
      <c r="BP22" s="40">
        <v>0</v>
      </c>
      <c r="BQ22" s="40">
        <v>0</v>
      </c>
      <c r="BR22" s="40">
        <v>0</v>
      </c>
      <c r="BS22" s="40">
        <v>0</v>
      </c>
      <c r="BT22" s="40">
        <v>0</v>
      </c>
      <c r="BU22" s="40">
        <v>0</v>
      </c>
      <c r="BV22" s="40">
        <v>0</v>
      </c>
      <c r="BW22" s="40">
        <v>0</v>
      </c>
      <c r="BX22" s="40">
        <v>0</v>
      </c>
      <c r="BY22" s="40">
        <v>0</v>
      </c>
      <c r="BZ22" s="40">
        <v>0</v>
      </c>
      <c r="CA22" s="40">
        <v>0</v>
      </c>
      <c r="CB22" s="40">
        <v>0</v>
      </c>
      <c r="CC22" s="40">
        <v>0</v>
      </c>
      <c r="CD22" s="40">
        <v>0</v>
      </c>
      <c r="CE22" s="40">
        <v>0</v>
      </c>
      <c r="CF22" s="40">
        <v>0</v>
      </c>
      <c r="CG22" s="40">
        <v>0</v>
      </c>
      <c r="CH22" s="40">
        <v>0</v>
      </c>
      <c r="CI22" s="40">
        <v>0</v>
      </c>
      <c r="CJ22" s="40">
        <v>0</v>
      </c>
      <c r="CK22" s="40">
        <v>0</v>
      </c>
      <c r="CL22" s="72">
        <v>0</v>
      </c>
      <c r="CM22" s="72">
        <v>0</v>
      </c>
      <c r="CN22" s="72">
        <v>0</v>
      </c>
      <c r="CO22" s="72">
        <v>0</v>
      </c>
      <c r="CP22" s="72">
        <v>6</v>
      </c>
      <c r="CQ22" s="72">
        <v>50</v>
      </c>
      <c r="CR22" s="72">
        <v>92</v>
      </c>
      <c r="CS22" s="72">
        <f>+CR22+5</f>
        <v>97</v>
      </c>
      <c r="CT22" s="72">
        <f>+CS22+5</f>
        <v>102</v>
      </c>
      <c r="CU22" s="72">
        <f>+CT22+5</f>
        <v>107</v>
      </c>
      <c r="CV22" s="72">
        <f>+CU22+5</f>
        <v>112</v>
      </c>
      <c r="CW22" s="72">
        <f>+CV22+5</f>
        <v>117</v>
      </c>
      <c r="CX22" s="72">
        <f>+CW22+5</f>
        <v>122</v>
      </c>
      <c r="CY22" s="72"/>
      <c r="CZ22" s="72"/>
      <c r="DA22" s="40"/>
      <c r="DB22" s="40"/>
      <c r="DC22" s="40"/>
      <c r="DD22" s="39"/>
      <c r="DE22" s="39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69">
        <f t="shared" si="13"/>
        <v>0</v>
      </c>
      <c r="DU22" s="69">
        <f t="shared" si="11"/>
        <v>0</v>
      </c>
      <c r="DV22" s="69">
        <f>SUM(BS22:BV22)</f>
        <v>0</v>
      </c>
      <c r="DW22" s="69"/>
      <c r="DX22" s="69"/>
      <c r="DY22" s="69"/>
      <c r="DZ22" s="69"/>
      <c r="EA22" s="69">
        <f t="shared" si="21"/>
        <v>6</v>
      </c>
      <c r="EB22" s="69">
        <f>SUM(CQ22:CT22)</f>
        <v>341</v>
      </c>
      <c r="EC22" s="40">
        <f>+EB22*1.05</f>
        <v>358.05</v>
      </c>
      <c r="ED22" s="40">
        <f>+EC22*1.05</f>
        <v>375.95250000000004</v>
      </c>
      <c r="EE22" s="40">
        <f>+ED22*1.05</f>
        <v>394.75012500000008</v>
      </c>
      <c r="EF22" s="40">
        <f>+EE22*1.05</f>
        <v>414.48763125000011</v>
      </c>
      <c r="EG22" s="40">
        <f t="shared" ref="EG22:EM22" si="30">+EF22*1.05</f>
        <v>435.21201281250012</v>
      </c>
      <c r="EH22" s="40">
        <f t="shared" si="30"/>
        <v>456.97261345312512</v>
      </c>
      <c r="EI22" s="40">
        <f t="shared" si="30"/>
        <v>479.82124412578139</v>
      </c>
      <c r="EJ22" s="40">
        <f t="shared" si="30"/>
        <v>503.81230633207048</v>
      </c>
      <c r="EK22" s="40">
        <f t="shared" si="30"/>
        <v>529.00292164867403</v>
      </c>
      <c r="EL22" s="40">
        <f t="shared" si="30"/>
        <v>555.45306773110781</v>
      </c>
      <c r="EM22" s="40">
        <f t="shared" si="30"/>
        <v>583.22572111766317</v>
      </c>
    </row>
    <row r="23" spans="1:143" s="11" customFormat="1">
      <c r="A23" s="31"/>
      <c r="B23" s="98" t="s">
        <v>436</v>
      </c>
      <c r="C23" s="40">
        <v>198</v>
      </c>
      <c r="D23" s="40">
        <v>206</v>
      </c>
      <c r="E23" s="40">
        <v>159</v>
      </c>
      <c r="F23" s="40">
        <v>203</v>
      </c>
      <c r="G23" s="40">
        <v>227</v>
      </c>
      <c r="H23" s="40">
        <v>199</v>
      </c>
      <c r="I23" s="40">
        <v>149</v>
      </c>
      <c r="J23" s="40">
        <v>237</v>
      </c>
      <c r="K23" s="40">
        <v>251</v>
      </c>
      <c r="L23" s="40">
        <v>239</v>
      </c>
      <c r="M23" s="40">
        <v>184</v>
      </c>
      <c r="N23" s="40">
        <v>294</v>
      </c>
      <c r="O23" s="40">
        <v>282</v>
      </c>
      <c r="P23" s="40">
        <v>244</v>
      </c>
      <c r="Q23" s="40">
        <v>211</v>
      </c>
      <c r="R23" s="40">
        <v>313</v>
      </c>
      <c r="S23" s="40">
        <v>314</v>
      </c>
      <c r="T23" s="40">
        <v>276</v>
      </c>
      <c r="U23" s="40">
        <v>234</v>
      </c>
      <c r="V23" s="40">
        <v>338</v>
      </c>
      <c r="W23" s="40">
        <f>629-X23</f>
        <v>328</v>
      </c>
      <c r="X23" s="40">
        <v>301</v>
      </c>
      <c r="Y23" s="40">
        <v>263</v>
      </c>
      <c r="Z23" s="40">
        <v>400</v>
      </c>
      <c r="AA23" s="40">
        <f>721-AB23</f>
        <v>401</v>
      </c>
      <c r="AB23" s="40">
        <v>320</v>
      </c>
      <c r="AC23" s="40">
        <v>286</v>
      </c>
      <c r="AD23" s="40">
        <v>447</v>
      </c>
      <c r="AE23" s="40">
        <v>411</v>
      </c>
      <c r="AF23" s="40">
        <v>383</v>
      </c>
      <c r="AG23" s="40">
        <v>304</v>
      </c>
      <c r="AH23" s="40">
        <v>397</v>
      </c>
      <c r="AI23" s="40">
        <v>292</v>
      </c>
      <c r="AJ23" s="40">
        <v>311</v>
      </c>
      <c r="AK23" s="52">
        <v>320</v>
      </c>
      <c r="AL23" s="40">
        <v>387</v>
      </c>
      <c r="AM23" s="40">
        <v>243</v>
      </c>
      <c r="AN23" s="40">
        <v>216</v>
      </c>
      <c r="AO23" s="40">
        <v>180</v>
      </c>
      <c r="AP23" s="40">
        <v>233</v>
      </c>
      <c r="AQ23" s="67">
        <v>248</v>
      </c>
      <c r="AR23" s="40">
        <f>AQ23-5</f>
        <v>243</v>
      </c>
      <c r="AS23" s="40">
        <v>185</v>
      </c>
      <c r="AT23" s="40">
        <v>223</v>
      </c>
      <c r="AU23" s="40">
        <v>227</v>
      </c>
      <c r="AV23" s="40"/>
      <c r="AW23" s="40"/>
      <c r="AX23" s="40"/>
      <c r="AY23" s="40">
        <v>233</v>
      </c>
      <c r="AZ23" s="40">
        <v>213</v>
      </c>
      <c r="BA23" s="40"/>
      <c r="BB23" s="40"/>
      <c r="BC23" s="40">
        <v>263</v>
      </c>
      <c r="BD23" s="40">
        <v>209</v>
      </c>
      <c r="BE23" s="40"/>
      <c r="BF23" s="40"/>
      <c r="BG23" s="40">
        <v>286</v>
      </c>
      <c r="BH23" s="40">
        <v>232</v>
      </c>
      <c r="BI23" s="72">
        <v>222</v>
      </c>
      <c r="BJ23" s="72">
        <v>274</v>
      </c>
      <c r="BK23" s="72">
        <v>310</v>
      </c>
      <c r="BL23" s="72">
        <v>239</v>
      </c>
      <c r="BM23" s="72">
        <v>224</v>
      </c>
      <c r="BN23" s="40">
        <v>288</v>
      </c>
      <c r="BO23" s="72">
        <v>337</v>
      </c>
      <c r="BP23" s="40">
        <v>226</v>
      </c>
      <c r="BQ23" s="40">
        <v>242</v>
      </c>
      <c r="BR23" s="40">
        <v>371</v>
      </c>
      <c r="BS23" s="40">
        <v>346</v>
      </c>
      <c r="BT23" s="40">
        <v>287</v>
      </c>
      <c r="BU23" s="40">
        <v>264</v>
      </c>
      <c r="BV23" s="40">
        <v>389</v>
      </c>
      <c r="BW23" s="72">
        <v>383</v>
      </c>
      <c r="BX23" s="72">
        <v>333</v>
      </c>
      <c r="BY23" s="72">
        <v>337</v>
      </c>
      <c r="BZ23" s="72">
        <v>413</v>
      </c>
      <c r="CA23" s="72">
        <v>380</v>
      </c>
      <c r="CB23" s="72">
        <v>97</v>
      </c>
      <c r="CC23" s="72">
        <v>151</v>
      </c>
      <c r="CD23" s="72">
        <v>368</v>
      </c>
      <c r="CE23" s="72">
        <v>330</v>
      </c>
      <c r="CF23" s="72">
        <v>167</v>
      </c>
      <c r="CG23" s="72">
        <v>217</v>
      </c>
      <c r="CH23" s="72">
        <v>248</v>
      </c>
      <c r="CI23" s="72">
        <v>217</v>
      </c>
      <c r="CJ23" s="72">
        <v>116</v>
      </c>
      <c r="CK23" s="72">
        <v>145</v>
      </c>
      <c r="CL23" s="72">
        <v>166</v>
      </c>
      <c r="CM23" s="72">
        <v>221</v>
      </c>
      <c r="CN23" s="72">
        <v>124</v>
      </c>
      <c r="CO23" s="72">
        <v>148</v>
      </c>
      <c r="CP23" s="72">
        <v>219</v>
      </c>
      <c r="CQ23" s="72">
        <v>224</v>
      </c>
      <c r="CR23" s="72">
        <v>155</v>
      </c>
      <c r="CS23" s="72">
        <f>+CR23</f>
        <v>155</v>
      </c>
      <c r="CT23" s="72">
        <f>+CS23</f>
        <v>155</v>
      </c>
      <c r="CU23" s="72">
        <f>+CT23</f>
        <v>155</v>
      </c>
      <c r="CV23" s="72">
        <f>+CU23</f>
        <v>155</v>
      </c>
      <c r="CW23" s="72">
        <f>+CV23</f>
        <v>155</v>
      </c>
      <c r="CX23" s="72">
        <f>+CW23</f>
        <v>155</v>
      </c>
      <c r="CY23" s="72"/>
      <c r="CZ23" s="72"/>
      <c r="DA23" s="40"/>
      <c r="DB23" s="40"/>
      <c r="DC23" s="40"/>
      <c r="DD23" s="39"/>
      <c r="DE23" s="39"/>
      <c r="DF23" s="40">
        <v>812</v>
      </c>
      <c r="DG23" s="40">
        <v>968</v>
      </c>
      <c r="DH23" s="40">
        <v>1050</v>
      </c>
      <c r="DI23" s="40">
        <f>SUM(S23:V23)</f>
        <v>1162</v>
      </c>
      <c r="DJ23" s="40">
        <f>SUM(W23:Z23)</f>
        <v>1292</v>
      </c>
      <c r="DK23" s="40">
        <f>SUM(AA23:AD23)</f>
        <v>1454</v>
      </c>
      <c r="DL23" s="40">
        <f>SUM(AE23:AH23)</f>
        <v>1495</v>
      </c>
      <c r="DM23" s="40">
        <f>SUM(AI23:AL23)</f>
        <v>1310</v>
      </c>
      <c r="DN23" s="40">
        <f>SUM(AM23:AP23)</f>
        <v>872</v>
      </c>
      <c r="DO23" s="40">
        <f>SUM(AQ23:AT23)</f>
        <v>899</v>
      </c>
      <c r="DP23" s="40">
        <f>SUM(AU23:AX23)</f>
        <v>227</v>
      </c>
      <c r="DQ23" s="40"/>
      <c r="DR23" s="40"/>
      <c r="DS23" s="40"/>
      <c r="DT23" s="69">
        <f t="shared" si="13"/>
        <v>1061</v>
      </c>
      <c r="DU23" s="69">
        <f t="shared" si="11"/>
        <v>1176</v>
      </c>
      <c r="DV23" s="69">
        <f>SUM(BS23:BV23)</f>
        <v>1286</v>
      </c>
      <c r="DW23" s="69">
        <f t="shared" si="8"/>
        <v>1466</v>
      </c>
      <c r="DX23" s="69">
        <f t="shared" si="9"/>
        <v>996</v>
      </c>
      <c r="DY23" s="69">
        <f t="shared" si="19"/>
        <v>962</v>
      </c>
      <c r="DZ23" s="69">
        <f t="shared" si="20"/>
        <v>644</v>
      </c>
      <c r="EA23" s="69">
        <f t="shared" si="21"/>
        <v>712</v>
      </c>
      <c r="EB23" s="69">
        <f>SUM(CQ23:CT23)</f>
        <v>689</v>
      </c>
      <c r="EC23" s="40">
        <f t="shared" si="27"/>
        <v>620.1</v>
      </c>
      <c r="ED23" s="40">
        <f t="shared" si="27"/>
        <v>558.09</v>
      </c>
      <c r="EE23" s="40">
        <f t="shared" si="27"/>
        <v>502.28100000000006</v>
      </c>
      <c r="EF23" s="40">
        <f t="shared" si="27"/>
        <v>452.05290000000008</v>
      </c>
      <c r="EG23" s="40">
        <f t="shared" si="27"/>
        <v>406.84761000000009</v>
      </c>
      <c r="EH23" s="40">
        <f t="shared" si="27"/>
        <v>366.16284900000011</v>
      </c>
      <c r="EI23" s="40">
        <f t="shared" si="27"/>
        <v>329.54656410000013</v>
      </c>
      <c r="EJ23" s="40">
        <f t="shared" si="27"/>
        <v>296.59190769000014</v>
      </c>
      <c r="EK23" s="40">
        <f t="shared" si="27"/>
        <v>266.93271692100012</v>
      </c>
      <c r="EL23" s="40">
        <f t="shared" si="27"/>
        <v>240.23944522890011</v>
      </c>
      <c r="EM23" s="40">
        <f t="shared" si="27"/>
        <v>216.21550070601009</v>
      </c>
    </row>
    <row r="24" spans="1:143" s="11" customFormat="1">
      <c r="A24" s="31"/>
      <c r="B24" s="98" t="s">
        <v>186</v>
      </c>
      <c r="C24" s="40">
        <v>103</v>
      </c>
      <c r="D24" s="40">
        <v>116</v>
      </c>
      <c r="E24" s="40">
        <v>94</v>
      </c>
      <c r="F24" s="40">
        <v>115</v>
      </c>
      <c r="G24" s="40">
        <v>89</v>
      </c>
      <c r="H24" s="40">
        <v>92</v>
      </c>
      <c r="I24" s="40">
        <v>89</v>
      </c>
      <c r="J24" s="40">
        <v>93</v>
      </c>
      <c r="K24" s="40">
        <v>90</v>
      </c>
      <c r="L24" s="40">
        <v>98</v>
      </c>
      <c r="M24" s="40">
        <v>96</v>
      </c>
      <c r="N24" s="40">
        <v>107</v>
      </c>
      <c r="O24" s="40">
        <v>83</v>
      </c>
      <c r="P24" s="40">
        <v>92</v>
      </c>
      <c r="Q24" s="40">
        <v>81</v>
      </c>
      <c r="R24" s="40">
        <v>84</v>
      </c>
      <c r="S24" s="40">
        <v>78</v>
      </c>
      <c r="T24" s="40">
        <v>82</v>
      </c>
      <c r="U24" s="40">
        <v>75</v>
      </c>
      <c r="V24" s="40">
        <v>76</v>
      </c>
      <c r="W24" s="40">
        <v>70</v>
      </c>
      <c r="X24" s="40">
        <v>73</v>
      </c>
      <c r="Y24" s="40">
        <v>70</v>
      </c>
      <c r="Z24" s="40">
        <v>71</v>
      </c>
      <c r="AA24" s="40">
        <v>69</v>
      </c>
      <c r="AB24" s="40">
        <v>72</v>
      </c>
      <c r="AC24" s="40">
        <v>71</v>
      </c>
      <c r="AD24" s="40">
        <v>162</v>
      </c>
      <c r="AE24" s="40">
        <v>138</v>
      </c>
      <c r="AF24" s="40">
        <v>75</v>
      </c>
      <c r="AG24" s="40">
        <v>66</v>
      </c>
      <c r="AH24" s="40">
        <v>62</v>
      </c>
      <c r="AI24" s="40">
        <v>56</v>
      </c>
      <c r="AJ24" s="40">
        <v>62</v>
      </c>
      <c r="AK24" s="52">
        <v>70</v>
      </c>
      <c r="AL24" s="40">
        <v>75</v>
      </c>
      <c r="AM24" s="40">
        <v>68</v>
      </c>
      <c r="AN24" s="40">
        <v>68</v>
      </c>
      <c r="AO24" s="40">
        <v>126</v>
      </c>
      <c r="AP24" s="40">
        <v>137</v>
      </c>
      <c r="AQ24" s="67">
        <v>61</v>
      </c>
      <c r="AR24" s="40">
        <f>AQ24</f>
        <v>61</v>
      </c>
      <c r="AS24" s="40">
        <v>61</v>
      </c>
      <c r="AT24" s="40">
        <v>62</v>
      </c>
      <c r="AU24" s="40">
        <v>84</v>
      </c>
      <c r="AV24" s="40"/>
      <c r="AW24" s="40"/>
      <c r="AX24" s="40"/>
      <c r="AY24" s="40"/>
      <c r="AZ24" s="40"/>
      <c r="BA24" s="40"/>
      <c r="BB24" s="40"/>
      <c r="BC24" s="40">
        <v>94</v>
      </c>
      <c r="BD24" s="40">
        <v>133</v>
      </c>
      <c r="BE24" s="40"/>
      <c r="BF24" s="40"/>
      <c r="BG24" s="40">
        <v>171</v>
      </c>
      <c r="BH24" s="40">
        <v>156</v>
      </c>
      <c r="BI24" s="72">
        <v>137</v>
      </c>
      <c r="BJ24" s="72">
        <v>147</v>
      </c>
      <c r="BK24" s="72">
        <v>126</v>
      </c>
      <c r="BL24" s="72">
        <v>116</v>
      </c>
      <c r="BM24" s="72">
        <v>95</v>
      </c>
      <c r="BN24" s="40">
        <v>100</v>
      </c>
      <c r="BO24" s="72">
        <v>103</v>
      </c>
      <c r="BP24" s="40">
        <v>90</v>
      </c>
      <c r="BQ24" s="40">
        <v>80</v>
      </c>
      <c r="BR24" s="40">
        <v>80</v>
      </c>
      <c r="BS24" s="40">
        <v>85</v>
      </c>
      <c r="BT24" s="40">
        <v>73</v>
      </c>
      <c r="BU24" s="40">
        <v>73</v>
      </c>
      <c r="BV24" s="40">
        <v>75</v>
      </c>
      <c r="BW24" s="72">
        <f>71+11</f>
        <v>82</v>
      </c>
      <c r="BX24" s="72">
        <f>63+11</f>
        <v>74</v>
      </c>
      <c r="BY24" s="72">
        <f>65+14</f>
        <v>79</v>
      </c>
      <c r="BZ24" s="72">
        <f>72+16</f>
        <v>88</v>
      </c>
      <c r="CA24" s="72">
        <f>13+59</f>
        <v>72</v>
      </c>
      <c r="CB24" s="72">
        <f>10+48</f>
        <v>58</v>
      </c>
      <c r="CC24" s="72">
        <f>11+39</f>
        <v>50</v>
      </c>
      <c r="CD24" s="72">
        <f>12+46</f>
        <v>58</v>
      </c>
      <c r="CE24" s="72">
        <f>51+13</f>
        <v>64</v>
      </c>
      <c r="CF24" s="72">
        <f>47+15</f>
        <v>62</v>
      </c>
      <c r="CG24" s="72">
        <f>50+14</f>
        <v>64</v>
      </c>
      <c r="CH24" s="72">
        <f>17+48</f>
        <v>65</v>
      </c>
      <c r="CI24" s="72">
        <v>98</v>
      </c>
      <c r="CJ24" s="72">
        <v>99</v>
      </c>
      <c r="CK24" s="72">
        <v>85</v>
      </c>
      <c r="CL24" s="72">
        <v>84</v>
      </c>
      <c r="CM24" s="72">
        <v>102</v>
      </c>
      <c r="CN24" s="72">
        <v>69</v>
      </c>
      <c r="CO24" s="72">
        <v>66</v>
      </c>
      <c r="CP24" s="72">
        <v>58</v>
      </c>
      <c r="CQ24" s="72">
        <v>141</v>
      </c>
      <c r="CR24" s="72">
        <v>130</v>
      </c>
      <c r="CS24" s="72">
        <f>+CR24</f>
        <v>130</v>
      </c>
      <c r="CT24" s="72">
        <f>+CS24</f>
        <v>130</v>
      </c>
      <c r="CU24" s="72">
        <f>+CT24</f>
        <v>130</v>
      </c>
      <c r="CV24" s="72">
        <f>+CU24</f>
        <v>130</v>
      </c>
      <c r="CW24" s="72">
        <f>+CV24</f>
        <v>130</v>
      </c>
      <c r="CX24" s="72">
        <f>+CW24</f>
        <v>130</v>
      </c>
      <c r="CY24" s="72"/>
      <c r="CZ24" s="72"/>
      <c r="DA24" s="40"/>
      <c r="DB24" s="40"/>
      <c r="DC24" s="40"/>
      <c r="DD24" s="39"/>
      <c r="DE24" s="39"/>
      <c r="DF24" s="40">
        <v>363</v>
      </c>
      <c r="DG24" s="40">
        <v>391</v>
      </c>
      <c r="DH24" s="40">
        <v>340</v>
      </c>
      <c r="DI24" s="40">
        <f>SUM(S24:V24)</f>
        <v>311</v>
      </c>
      <c r="DJ24" s="40">
        <f>SUM(W24:Z24)</f>
        <v>284</v>
      </c>
      <c r="DK24" s="40">
        <f>SUM(AA24:AD24)</f>
        <v>374</v>
      </c>
      <c r="DL24" s="40">
        <f>DK24</f>
        <v>374</v>
      </c>
      <c r="DM24" s="40">
        <f>SUM(AI24:AL24)</f>
        <v>263</v>
      </c>
      <c r="DN24" s="40">
        <f>SUM(AM24:AP24)</f>
        <v>399</v>
      </c>
      <c r="DO24" s="40">
        <f>SUM(AQ24:AT24)</f>
        <v>245</v>
      </c>
      <c r="DP24" s="40">
        <f>SUM(AU24:AX24)</f>
        <v>84</v>
      </c>
      <c r="DQ24" s="40"/>
      <c r="DR24" s="40"/>
      <c r="DS24" s="40"/>
      <c r="DT24" s="69">
        <f t="shared" si="13"/>
        <v>437</v>
      </c>
      <c r="DU24" s="69">
        <f t="shared" si="11"/>
        <v>353</v>
      </c>
      <c r="DV24" s="69">
        <f>SUM(BS24:BV24)</f>
        <v>306</v>
      </c>
      <c r="DW24" s="69">
        <f t="shared" si="8"/>
        <v>323</v>
      </c>
      <c r="DX24" s="69">
        <f t="shared" si="9"/>
        <v>238</v>
      </c>
      <c r="DY24" s="69">
        <f t="shared" si="19"/>
        <v>255</v>
      </c>
      <c r="DZ24" s="69">
        <f t="shared" si="20"/>
        <v>366</v>
      </c>
      <c r="EA24" s="69">
        <f t="shared" si="21"/>
        <v>295</v>
      </c>
      <c r="EB24" s="69">
        <f>SUM(CQ24:CT24)</f>
        <v>531</v>
      </c>
      <c r="EC24" s="40">
        <f>+EB24*0.9</f>
        <v>477.90000000000003</v>
      </c>
      <c r="ED24" s="40">
        <f>+EC24*0.9</f>
        <v>430.11</v>
      </c>
      <c r="EE24" s="40">
        <f t="shared" si="27"/>
        <v>387.09900000000005</v>
      </c>
      <c r="EF24" s="40">
        <f t="shared" si="27"/>
        <v>348.38910000000004</v>
      </c>
      <c r="EG24" s="40">
        <f t="shared" si="27"/>
        <v>313.55019000000004</v>
      </c>
      <c r="EH24" s="40">
        <f t="shared" si="27"/>
        <v>282.19517100000007</v>
      </c>
      <c r="EI24" s="40">
        <f t="shared" si="27"/>
        <v>253.97565390000008</v>
      </c>
      <c r="EJ24" s="40">
        <f t="shared" si="27"/>
        <v>228.57808851000007</v>
      </c>
      <c r="EK24" s="40">
        <f t="shared" si="27"/>
        <v>205.72027965900006</v>
      </c>
      <c r="EL24" s="40">
        <f t="shared" si="27"/>
        <v>185.14825169310006</v>
      </c>
      <c r="EM24" s="40">
        <f t="shared" si="27"/>
        <v>166.63342652379006</v>
      </c>
    </row>
    <row r="25" spans="1:143" s="11" customFormat="1">
      <c r="A25" s="31"/>
      <c r="B25" s="98" t="s">
        <v>512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52"/>
      <c r="AL25" s="40"/>
      <c r="AM25" s="40"/>
      <c r="AN25" s="40"/>
      <c r="AO25" s="40"/>
      <c r="AP25" s="40"/>
      <c r="AQ25" s="67"/>
      <c r="AR25" s="40"/>
      <c r="AS25" s="40"/>
      <c r="AT25" s="40"/>
      <c r="AU25" s="40"/>
      <c r="AV25" s="40"/>
      <c r="AW25" s="40"/>
      <c r="AX25" s="40"/>
      <c r="AY25" s="40"/>
      <c r="AZ25" s="135"/>
      <c r="BA25" s="135"/>
      <c r="BB25" s="135"/>
      <c r="BC25" s="135"/>
      <c r="BD25" s="135"/>
      <c r="BE25" s="135"/>
      <c r="BF25" s="135"/>
      <c r="BG25" s="135"/>
      <c r="BH25" s="135"/>
      <c r="BI25" s="135"/>
      <c r="BJ25" s="135"/>
      <c r="BK25" s="135"/>
      <c r="BL25" s="135"/>
      <c r="BM25" s="135"/>
      <c r="BN25" s="135"/>
      <c r="BO25" s="135"/>
      <c r="BP25" s="40">
        <v>0</v>
      </c>
      <c r="BQ25" s="40">
        <v>0</v>
      </c>
      <c r="BR25" s="40">
        <v>0</v>
      </c>
      <c r="BS25" s="40">
        <v>0</v>
      </c>
      <c r="BT25" s="40">
        <v>0</v>
      </c>
      <c r="BU25" s="40">
        <v>0</v>
      </c>
      <c r="BV25" s="40">
        <v>0</v>
      </c>
      <c r="BW25" s="72">
        <v>0</v>
      </c>
      <c r="BX25" s="72">
        <v>2</v>
      </c>
      <c r="BY25" s="72">
        <v>4</v>
      </c>
      <c r="BZ25" s="72">
        <v>8</v>
      </c>
      <c r="CA25" s="72">
        <v>11</v>
      </c>
      <c r="CB25" s="72">
        <v>17</v>
      </c>
      <c r="CC25" s="72">
        <v>21</v>
      </c>
      <c r="CD25" s="72">
        <v>28</v>
      </c>
      <c r="CE25" s="72">
        <v>33</v>
      </c>
      <c r="CF25" s="72">
        <v>39</v>
      </c>
      <c r="CG25" s="72">
        <v>49</v>
      </c>
      <c r="CH25" s="72">
        <v>54</v>
      </c>
      <c r="CI25" s="72">
        <v>63</v>
      </c>
      <c r="CJ25" s="72">
        <v>66</v>
      </c>
      <c r="CK25" s="72">
        <v>79</v>
      </c>
      <c r="CL25" s="72">
        <v>81</v>
      </c>
      <c r="CM25" s="72">
        <v>98</v>
      </c>
      <c r="CN25" s="72">
        <v>100</v>
      </c>
      <c r="CO25" s="72">
        <v>102</v>
      </c>
      <c r="CP25" s="72">
        <v>112</v>
      </c>
      <c r="CQ25" s="72">
        <v>114</v>
      </c>
      <c r="CR25" s="72">
        <v>136</v>
      </c>
      <c r="CS25" s="72">
        <f>+CR25+10</f>
        <v>146</v>
      </c>
      <c r="CT25" s="72">
        <f>+CS25+10</f>
        <v>156</v>
      </c>
      <c r="CU25" s="72">
        <f>+CT25+10</f>
        <v>166</v>
      </c>
      <c r="CV25" s="72">
        <f>+CU25+10</f>
        <v>176</v>
      </c>
      <c r="CW25" s="72">
        <f>+CV25+10</f>
        <v>186</v>
      </c>
      <c r="CX25" s="72">
        <f>+CW25+10</f>
        <v>196</v>
      </c>
      <c r="CY25" s="72"/>
      <c r="CZ25" s="72"/>
      <c r="DA25" s="40"/>
      <c r="DB25" s="40"/>
      <c r="DC25" s="40"/>
      <c r="DD25" s="39"/>
      <c r="DE25" s="39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69">
        <f t="shared" si="13"/>
        <v>0</v>
      </c>
      <c r="DU25" s="69">
        <f t="shared" si="11"/>
        <v>0</v>
      </c>
      <c r="DV25" s="69">
        <f t="shared" ref="DV25:DV65" si="31">SUM(BS25:BV25)</f>
        <v>0</v>
      </c>
      <c r="DW25" s="69">
        <f t="shared" si="8"/>
        <v>14</v>
      </c>
      <c r="DX25" s="69">
        <f t="shared" si="9"/>
        <v>77</v>
      </c>
      <c r="DY25" s="69">
        <f t="shared" si="19"/>
        <v>175</v>
      </c>
      <c r="DZ25" s="69">
        <f t="shared" si="20"/>
        <v>289</v>
      </c>
      <c r="EA25" s="69">
        <f t="shared" si="21"/>
        <v>412</v>
      </c>
      <c r="EB25" s="69">
        <f>SUM(CQ25:CT25)</f>
        <v>552</v>
      </c>
      <c r="EC25" s="63">
        <f>+EB25*1.1</f>
        <v>607.20000000000005</v>
      </c>
      <c r="ED25" s="63">
        <f>+EC25*1.1</f>
        <v>667.92000000000007</v>
      </c>
      <c r="EE25" s="63">
        <f>+ED25*1.1</f>
        <v>734.7120000000001</v>
      </c>
      <c r="EF25" s="63">
        <f>+EE25*1.1</f>
        <v>808.18320000000017</v>
      </c>
      <c r="EG25" s="63">
        <f>+EF25*1.1</f>
        <v>889.00152000000026</v>
      </c>
      <c r="EH25" s="63">
        <f>+EG25*1.1</f>
        <v>977.9016720000003</v>
      </c>
      <c r="EI25" s="63">
        <f t="shared" si="27"/>
        <v>880.11150480000026</v>
      </c>
      <c r="EJ25" s="63">
        <f t="shared" si="27"/>
        <v>792.10035432000029</v>
      </c>
      <c r="EK25" s="63">
        <f t="shared" si="27"/>
        <v>712.89031888800025</v>
      </c>
      <c r="EL25" s="63">
        <f t="shared" si="27"/>
        <v>641.60128699920028</v>
      </c>
      <c r="EM25" s="63">
        <f t="shared" si="27"/>
        <v>577.44115829928023</v>
      </c>
    </row>
    <row r="26" spans="1:143" s="11" customFormat="1">
      <c r="A26" s="31"/>
      <c r="B26" s="98" t="s">
        <v>513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52"/>
      <c r="AL26" s="40"/>
      <c r="AM26" s="40"/>
      <c r="AN26" s="40"/>
      <c r="AO26" s="40"/>
      <c r="AP26" s="40"/>
      <c r="AQ26" s="67"/>
      <c r="AR26" s="40"/>
      <c r="AS26" s="40"/>
      <c r="AT26" s="40"/>
      <c r="AU26" s="40"/>
      <c r="AV26" s="40"/>
      <c r="AW26" s="40"/>
      <c r="AX26" s="40"/>
      <c r="AY26" s="40"/>
      <c r="AZ26" s="135"/>
      <c r="BA26" s="135"/>
      <c r="BB26" s="135"/>
      <c r="BC26" s="135"/>
      <c r="BD26" s="135"/>
      <c r="BE26" s="135"/>
      <c r="BF26" s="135"/>
      <c r="BG26" s="135"/>
      <c r="BH26" s="135"/>
      <c r="BI26" s="135"/>
      <c r="BJ26" s="135"/>
      <c r="BK26" s="135"/>
      <c r="BL26" s="135"/>
      <c r="BM26" s="135"/>
      <c r="BN26" s="135"/>
      <c r="BO26" s="135"/>
      <c r="BP26" s="135"/>
      <c r="BQ26" s="40">
        <v>0</v>
      </c>
      <c r="BR26" s="40">
        <v>0</v>
      </c>
      <c r="BS26" s="40">
        <v>0</v>
      </c>
      <c r="BT26" s="40">
        <v>0</v>
      </c>
      <c r="BU26" s="40">
        <v>0</v>
      </c>
      <c r="BV26" s="40">
        <v>0</v>
      </c>
      <c r="BW26" s="72">
        <v>0</v>
      </c>
      <c r="BX26" s="72">
        <v>0</v>
      </c>
      <c r="BY26" s="72">
        <v>0</v>
      </c>
      <c r="BZ26" s="72">
        <v>0</v>
      </c>
      <c r="CA26" s="72">
        <v>0</v>
      </c>
      <c r="CB26" s="72">
        <v>0</v>
      </c>
      <c r="CC26" s="72">
        <v>0</v>
      </c>
      <c r="CD26" s="72">
        <v>0</v>
      </c>
      <c r="CE26" s="72">
        <v>39</v>
      </c>
      <c r="CF26" s="72">
        <v>51</v>
      </c>
      <c r="CG26" s="72">
        <v>55</v>
      </c>
      <c r="CH26" s="72">
        <v>30</v>
      </c>
      <c r="CI26" s="72">
        <v>41</v>
      </c>
      <c r="CJ26" s="72">
        <v>50</v>
      </c>
      <c r="CK26" s="72">
        <v>57</v>
      </c>
      <c r="CL26" s="72">
        <v>49</v>
      </c>
      <c r="CM26" s="72">
        <v>61</v>
      </c>
      <c r="CN26" s="72">
        <v>73</v>
      </c>
      <c r="CO26" s="72">
        <v>74</v>
      </c>
      <c r="CP26" s="72">
        <v>63</v>
      </c>
      <c r="CQ26" s="72">
        <v>77</v>
      </c>
      <c r="CR26" s="72">
        <v>90</v>
      </c>
      <c r="CS26" s="72">
        <f>+CR26+1</f>
        <v>91</v>
      </c>
      <c r="CT26" s="72">
        <f>+CS26+1</f>
        <v>92</v>
      </c>
      <c r="CU26" s="72">
        <f>+CT26+1</f>
        <v>93</v>
      </c>
      <c r="CV26" s="72">
        <f>+CU26+1</f>
        <v>94</v>
      </c>
      <c r="CW26" s="72">
        <f>+CV26+1</f>
        <v>95</v>
      </c>
      <c r="CX26" s="72">
        <f>+CW26+1</f>
        <v>96</v>
      </c>
      <c r="CY26" s="72"/>
      <c r="CZ26" s="72"/>
      <c r="DA26" s="40"/>
      <c r="DB26" s="40"/>
      <c r="DC26" s="40"/>
      <c r="DD26" s="39"/>
      <c r="DE26" s="39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69">
        <f t="shared" si="13"/>
        <v>0</v>
      </c>
      <c r="DU26" s="69">
        <f t="shared" si="11"/>
        <v>0</v>
      </c>
      <c r="DV26" s="69">
        <f t="shared" si="31"/>
        <v>0</v>
      </c>
      <c r="DW26" s="69">
        <f t="shared" si="8"/>
        <v>0</v>
      </c>
      <c r="DX26" s="69">
        <f t="shared" si="9"/>
        <v>0</v>
      </c>
      <c r="DY26" s="69">
        <f t="shared" si="19"/>
        <v>175</v>
      </c>
      <c r="DZ26" s="69">
        <f t="shared" si="20"/>
        <v>197</v>
      </c>
      <c r="EA26" s="69">
        <f t="shared" si="21"/>
        <v>271</v>
      </c>
      <c r="EB26" s="69">
        <f>SUM(CQ26:CT26)</f>
        <v>350</v>
      </c>
      <c r="EC26" s="63">
        <f t="shared" ref="EC26:ED26" si="32">+EB26*0.9</f>
        <v>315</v>
      </c>
      <c r="ED26" s="63">
        <f t="shared" si="32"/>
        <v>283.5</v>
      </c>
      <c r="EE26" s="63">
        <f t="shared" ref="EE26" si="33">+ED26*0.9</f>
        <v>255.15</v>
      </c>
      <c r="EF26" s="63">
        <f t="shared" ref="EF26" si="34">+EE26*0.9</f>
        <v>229.63500000000002</v>
      </c>
      <c r="EG26" s="63">
        <f t="shared" ref="EG26" si="35">+EF26*0.9</f>
        <v>206.67150000000001</v>
      </c>
      <c r="EH26" s="63">
        <f t="shared" ref="EH26" si="36">+EG26*0.9</f>
        <v>186.00435000000002</v>
      </c>
      <c r="EI26" s="63">
        <f t="shared" ref="EI26" si="37">+EH26*0.9</f>
        <v>167.40391500000001</v>
      </c>
      <c r="EJ26" s="63">
        <f t="shared" ref="EJ26" si="38">+EI26*0.9</f>
        <v>150.66352350000003</v>
      </c>
      <c r="EK26" s="63">
        <f t="shared" ref="EK26" si="39">+EJ26*0.9</f>
        <v>135.59717115000004</v>
      </c>
      <c r="EL26" s="63">
        <f t="shared" ref="EL26" si="40">+EK26*0.9</f>
        <v>122.03745403500004</v>
      </c>
      <c r="EM26" s="63">
        <f t="shared" ref="EM26" si="41">+EL26*0.9</f>
        <v>109.83370863150003</v>
      </c>
    </row>
    <row r="27" spans="1:143" s="11" customFormat="1">
      <c r="A27" s="31"/>
      <c r="B27" s="98" t="s">
        <v>525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52"/>
      <c r="AL27" s="40"/>
      <c r="AM27" s="40"/>
      <c r="AN27" s="40"/>
      <c r="AO27" s="40"/>
      <c r="AP27" s="40"/>
      <c r="AQ27" s="67"/>
      <c r="AR27" s="40"/>
      <c r="AS27" s="40"/>
      <c r="AT27" s="40"/>
      <c r="AU27" s="40"/>
      <c r="AV27" s="40"/>
      <c r="AW27" s="40"/>
      <c r="AX27" s="40"/>
      <c r="AY27" s="40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40">
        <v>0</v>
      </c>
      <c r="BR27" s="40">
        <v>0</v>
      </c>
      <c r="BS27" s="40">
        <v>0</v>
      </c>
      <c r="BT27" s="40">
        <v>0</v>
      </c>
      <c r="BU27" s="40">
        <v>0</v>
      </c>
      <c r="BV27" s="40">
        <v>0</v>
      </c>
      <c r="BW27" s="72">
        <v>0</v>
      </c>
      <c r="BX27" s="72">
        <v>0</v>
      </c>
      <c r="BY27" s="72">
        <v>0</v>
      </c>
      <c r="BZ27" s="72">
        <v>0</v>
      </c>
      <c r="CA27" s="72">
        <v>0</v>
      </c>
      <c r="CB27" s="72">
        <v>7</v>
      </c>
      <c r="CC27" s="72">
        <v>13</v>
      </c>
      <c r="CD27" s="72">
        <v>17</v>
      </c>
      <c r="CE27" s="72">
        <v>21</v>
      </c>
      <c r="CF27" s="72">
        <v>26</v>
      </c>
      <c r="CG27" s="72">
        <v>26</v>
      </c>
      <c r="CH27" s="72">
        <v>34</v>
      </c>
      <c r="CI27" s="72">
        <v>39</v>
      </c>
      <c r="CJ27" s="72">
        <v>62</v>
      </c>
      <c r="CK27" s="72">
        <v>48</v>
      </c>
      <c r="CL27" s="72">
        <v>58</v>
      </c>
      <c r="CM27" s="72">
        <v>79</v>
      </c>
      <c r="CN27" s="72">
        <v>80</v>
      </c>
      <c r="CO27" s="72">
        <v>87</v>
      </c>
      <c r="CP27" s="72">
        <v>85</v>
      </c>
      <c r="CQ27" s="72">
        <v>132</v>
      </c>
      <c r="CR27" s="72">
        <v>114</v>
      </c>
      <c r="CS27" s="72">
        <f>+CR27+5</f>
        <v>119</v>
      </c>
      <c r="CT27" s="72">
        <f>+CS27+5</f>
        <v>124</v>
      </c>
      <c r="CU27" s="72">
        <f>+CT27+5</f>
        <v>129</v>
      </c>
      <c r="CV27" s="72">
        <f>+CU27+5</f>
        <v>134</v>
      </c>
      <c r="CW27" s="72">
        <f>+CV27+5</f>
        <v>139</v>
      </c>
      <c r="CX27" s="72">
        <f>+CW27+5</f>
        <v>144</v>
      </c>
      <c r="CY27" s="72"/>
      <c r="CZ27" s="72"/>
      <c r="DA27" s="40"/>
      <c r="DB27" s="40"/>
      <c r="DC27" s="40"/>
      <c r="DD27" s="39"/>
      <c r="DE27" s="39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69">
        <f t="shared" si="13"/>
        <v>0</v>
      </c>
      <c r="DU27" s="69">
        <f t="shared" si="11"/>
        <v>0</v>
      </c>
      <c r="DV27" s="69">
        <f t="shared" si="31"/>
        <v>0</v>
      </c>
      <c r="DW27" s="69">
        <f t="shared" si="8"/>
        <v>0</v>
      </c>
      <c r="DX27" s="69">
        <f t="shared" si="9"/>
        <v>37</v>
      </c>
      <c r="DY27" s="69">
        <f t="shared" si="19"/>
        <v>107</v>
      </c>
      <c r="DZ27" s="69">
        <f t="shared" si="20"/>
        <v>207</v>
      </c>
      <c r="EA27" s="69">
        <f t="shared" si="21"/>
        <v>331</v>
      </c>
      <c r="EB27" s="69">
        <f>SUM(CQ27:CT27)</f>
        <v>489</v>
      </c>
      <c r="EC27" s="63">
        <f>+EB27*1.05</f>
        <v>513.45000000000005</v>
      </c>
      <c r="ED27" s="63">
        <f t="shared" ref="ED27:EM27" si="42">+EC27*1.05</f>
        <v>539.12250000000006</v>
      </c>
      <c r="EE27" s="63">
        <f t="shared" si="42"/>
        <v>566.0786250000001</v>
      </c>
      <c r="EF27" s="63">
        <f t="shared" si="42"/>
        <v>594.38255625000011</v>
      </c>
      <c r="EG27" s="63">
        <f t="shared" si="42"/>
        <v>624.10168406250011</v>
      </c>
      <c r="EH27" s="63">
        <f t="shared" si="42"/>
        <v>655.30676826562512</v>
      </c>
      <c r="EI27" s="63">
        <f t="shared" si="42"/>
        <v>688.07210667890638</v>
      </c>
      <c r="EJ27" s="63">
        <f t="shared" si="42"/>
        <v>722.47571201285177</v>
      </c>
      <c r="EK27" s="63">
        <f t="shared" si="42"/>
        <v>758.59949761349435</v>
      </c>
      <c r="EL27" s="63">
        <f t="shared" si="42"/>
        <v>796.52947249416911</v>
      </c>
      <c r="EM27" s="63">
        <f t="shared" si="42"/>
        <v>836.35594611887757</v>
      </c>
    </row>
    <row r="28" spans="1:143" s="11" customFormat="1">
      <c r="A28" s="31"/>
      <c r="B28" s="97" t="s">
        <v>517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70"/>
      <c r="AL28" s="69"/>
      <c r="AM28" s="69"/>
      <c r="AN28" s="69"/>
      <c r="AO28" s="69"/>
      <c r="AP28" s="69"/>
      <c r="AQ28" s="70"/>
      <c r="AR28" s="69"/>
      <c r="AS28" s="69"/>
      <c r="AT28" s="69"/>
      <c r="AU28" s="69"/>
      <c r="AV28" s="69"/>
      <c r="AW28" s="69"/>
      <c r="AX28" s="69"/>
      <c r="AY28" s="69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69">
        <v>0</v>
      </c>
      <c r="BW28" s="75">
        <v>0</v>
      </c>
      <c r="BX28" s="75">
        <v>0</v>
      </c>
      <c r="BY28" s="75">
        <v>0</v>
      </c>
      <c r="BZ28" s="75">
        <v>0</v>
      </c>
      <c r="CA28" s="75">
        <v>0</v>
      </c>
      <c r="CB28" s="75">
        <v>0</v>
      </c>
      <c r="CC28" s="75">
        <v>0</v>
      </c>
      <c r="CD28" s="75">
        <v>0</v>
      </c>
      <c r="CE28" s="75">
        <v>0</v>
      </c>
      <c r="CF28" s="75">
        <v>0</v>
      </c>
      <c r="CG28" s="75">
        <v>1</v>
      </c>
      <c r="CH28" s="75">
        <v>7</v>
      </c>
      <c r="CI28" s="75">
        <v>11</v>
      </c>
      <c r="CJ28" s="75">
        <v>24</v>
      </c>
      <c r="CK28" s="75">
        <v>33</v>
      </c>
      <c r="CL28" s="75">
        <v>48</v>
      </c>
      <c r="CM28" s="75">
        <v>47</v>
      </c>
      <c r="CN28" s="75">
        <v>68</v>
      </c>
      <c r="CO28" s="75">
        <v>76</v>
      </c>
      <c r="CP28" s="75">
        <v>89</v>
      </c>
      <c r="CQ28" s="75">
        <v>91</v>
      </c>
      <c r="CR28" s="75">
        <v>112</v>
      </c>
      <c r="CS28" s="75">
        <f>+CO28*1.7</f>
        <v>129.19999999999999</v>
      </c>
      <c r="CT28" s="75">
        <f>+CP28*1.7</f>
        <v>151.29999999999998</v>
      </c>
      <c r="CU28" s="75">
        <f>+CQ28*1.7</f>
        <v>154.69999999999999</v>
      </c>
      <c r="CV28" s="75">
        <f>+CR28*1.7</f>
        <v>190.4</v>
      </c>
      <c r="CW28" s="75">
        <f>+CS28*1.7</f>
        <v>219.64</v>
      </c>
      <c r="CX28" s="75">
        <f>+CT28*1.7</f>
        <v>257.20999999999998</v>
      </c>
      <c r="CY28" s="75"/>
      <c r="CZ28" s="75"/>
      <c r="DA28" s="69"/>
      <c r="DB28" s="69"/>
      <c r="DC28" s="69"/>
      <c r="DD28" s="69"/>
      <c r="DE28" s="69"/>
      <c r="DF28" s="71"/>
      <c r="DG28" s="71"/>
      <c r="DH28" s="71"/>
      <c r="DI28" s="71"/>
      <c r="DJ28" s="71"/>
      <c r="DK28" s="71"/>
      <c r="DL28" s="71"/>
      <c r="DM28" s="71"/>
      <c r="DN28" s="71"/>
      <c r="DO28" s="71"/>
      <c r="DP28" s="71"/>
      <c r="DQ28" s="71"/>
      <c r="DR28" s="71"/>
      <c r="DS28" s="71"/>
      <c r="DT28" s="69">
        <f>SUM(BK28:BN28)</f>
        <v>0</v>
      </c>
      <c r="DU28" s="69">
        <f>SUM(BO28:BR28)</f>
        <v>0</v>
      </c>
      <c r="DV28" s="69">
        <f>SUM(BS28:BV28)</f>
        <v>0</v>
      </c>
      <c r="DW28" s="69">
        <f>SUM(BW28:BZ28)</f>
        <v>0</v>
      </c>
      <c r="DX28" s="69">
        <f>SUM(CA28:CD28)</f>
        <v>0</v>
      </c>
      <c r="DY28" s="69">
        <f>SUM(CE28:CH28)</f>
        <v>8</v>
      </c>
      <c r="DZ28" s="69">
        <f>SUM(CI28:CL28)</f>
        <v>116</v>
      </c>
      <c r="EA28" s="69">
        <f>SUM(CM28:CP28)</f>
        <v>280</v>
      </c>
      <c r="EB28" s="69">
        <f>SUM(CQ28:CT28)</f>
        <v>483.5</v>
      </c>
      <c r="EC28" s="63">
        <f>+EB28*1.5</f>
        <v>725.25</v>
      </c>
      <c r="ED28" s="63">
        <f>+EC28*1.4</f>
        <v>1015.3499999999999</v>
      </c>
      <c r="EE28" s="63">
        <f>+ED28*1.3</f>
        <v>1319.9549999999999</v>
      </c>
      <c r="EF28" s="63">
        <f>+EE28*1.2</f>
        <v>1583.9459999999999</v>
      </c>
      <c r="EG28" s="63">
        <f t="shared" ref="EC28:EM32" si="43">+EF28*1.05</f>
        <v>1663.1433</v>
      </c>
      <c r="EH28" s="63">
        <f t="shared" si="43"/>
        <v>1746.300465</v>
      </c>
      <c r="EI28" s="63">
        <f t="shared" si="43"/>
        <v>1833.61548825</v>
      </c>
      <c r="EJ28" s="63">
        <f t="shared" si="43"/>
        <v>1925.2962626625001</v>
      </c>
      <c r="EK28" s="63">
        <f t="shared" si="43"/>
        <v>2021.5610757956251</v>
      </c>
      <c r="EL28" s="63">
        <f t="shared" si="43"/>
        <v>2122.6391295854064</v>
      </c>
      <c r="EM28" s="63">
        <f t="shared" si="43"/>
        <v>2228.7710860646766</v>
      </c>
    </row>
    <row r="29" spans="1:143" s="11" customFormat="1">
      <c r="A29" s="31"/>
      <c r="B29" s="98" t="s">
        <v>43</v>
      </c>
      <c r="C29" s="40">
        <v>7</v>
      </c>
      <c r="D29" s="40">
        <v>8</v>
      </c>
      <c r="E29" s="40">
        <v>7</v>
      </c>
      <c r="F29" s="40">
        <v>4</v>
      </c>
      <c r="G29" s="40">
        <v>5</v>
      </c>
      <c r="H29" s="40">
        <v>6</v>
      </c>
      <c r="I29" s="40">
        <v>3</v>
      </c>
      <c r="J29" s="40">
        <v>4</v>
      </c>
      <c r="K29" s="40">
        <v>4</v>
      </c>
      <c r="L29" s="40">
        <v>5</v>
      </c>
      <c r="M29" s="40">
        <v>5</v>
      </c>
      <c r="N29" s="40">
        <v>4.4000000000000004</v>
      </c>
      <c r="O29" s="40">
        <v>4</v>
      </c>
      <c r="P29" s="40">
        <v>4</v>
      </c>
      <c r="Q29" s="40">
        <v>3</v>
      </c>
      <c r="R29" s="40">
        <v>3</v>
      </c>
      <c r="S29" s="40">
        <v>3</v>
      </c>
      <c r="T29" s="40">
        <v>3</v>
      </c>
      <c r="U29" s="40">
        <v>2</v>
      </c>
      <c r="V29" s="40">
        <v>2</v>
      </c>
      <c r="W29" s="40">
        <v>3</v>
      </c>
      <c r="X29" s="40">
        <v>3</v>
      </c>
      <c r="Y29" s="40">
        <v>78</v>
      </c>
      <c r="Z29" s="40">
        <v>83</v>
      </c>
      <c r="AA29" s="40">
        <v>16</v>
      </c>
      <c r="AB29" s="40">
        <f>90-AB45-AB81</f>
        <v>17</v>
      </c>
      <c r="AC29" s="40">
        <v>93</v>
      </c>
      <c r="AD29" s="40">
        <v>20</v>
      </c>
      <c r="AE29" s="40">
        <v>18</v>
      </c>
      <c r="AF29" s="40">
        <v>107</v>
      </c>
      <c r="AG29" s="40">
        <v>105</v>
      </c>
      <c r="AH29" s="40">
        <v>104</v>
      </c>
      <c r="AI29" s="40">
        <v>80</v>
      </c>
      <c r="AJ29" s="40">
        <v>87</v>
      </c>
      <c r="AK29" s="52">
        <v>90</v>
      </c>
      <c r="AL29" s="40">
        <v>98</v>
      </c>
      <c r="AM29" s="40">
        <v>95</v>
      </c>
      <c r="AN29" s="40">
        <v>104</v>
      </c>
      <c r="AO29" s="40">
        <v>108</v>
      </c>
      <c r="AP29" s="40">
        <v>139</v>
      </c>
      <c r="AQ29" s="67">
        <f>150-AQ45-AQ81</f>
        <v>4</v>
      </c>
      <c r="AR29" s="40">
        <f>AQ29</f>
        <v>4</v>
      </c>
      <c r="AS29" s="40">
        <v>168</v>
      </c>
      <c r="AT29" s="40">
        <v>184</v>
      </c>
      <c r="AU29" s="40">
        <f>29-AU83</f>
        <v>24</v>
      </c>
      <c r="AV29" s="40"/>
      <c r="AW29" s="40"/>
      <c r="AX29" s="40"/>
      <c r="AY29" s="40"/>
      <c r="AZ29" s="40"/>
      <c r="BA29" s="40"/>
      <c r="BB29" s="40"/>
      <c r="BC29" s="40">
        <v>31</v>
      </c>
      <c r="BD29" s="40">
        <v>35</v>
      </c>
      <c r="BE29" s="40"/>
      <c r="BF29" s="40"/>
      <c r="BG29" s="40">
        <v>34</v>
      </c>
      <c r="BH29" s="40">
        <v>37</v>
      </c>
      <c r="BI29" s="72">
        <v>35</v>
      </c>
      <c r="BJ29" s="72">
        <v>27</v>
      </c>
      <c r="BK29" s="72">
        <v>21</v>
      </c>
      <c r="BL29" s="72">
        <v>27</v>
      </c>
      <c r="BM29" s="72">
        <v>27</v>
      </c>
      <c r="BN29" s="40">
        <v>29</v>
      </c>
      <c r="BO29" s="72">
        <v>26</v>
      </c>
      <c r="BP29" s="40">
        <v>30</v>
      </c>
      <c r="BQ29" s="40">
        <v>29</v>
      </c>
      <c r="BR29" s="40">
        <v>29</v>
      </c>
      <c r="BS29" s="40">
        <v>27</v>
      </c>
      <c r="BT29" s="40">
        <v>37</v>
      </c>
      <c r="BU29" s="40">
        <v>28</v>
      </c>
      <c r="BV29" s="40">
        <v>23</v>
      </c>
      <c r="BW29" s="72">
        <v>20</v>
      </c>
      <c r="BX29" s="72">
        <v>28</v>
      </c>
      <c r="BY29" s="72">
        <v>20</v>
      </c>
      <c r="BZ29" s="72">
        <v>26</v>
      </c>
      <c r="CA29" s="72">
        <v>13</v>
      </c>
      <c r="CB29" s="72">
        <v>12</v>
      </c>
      <c r="CC29" s="72">
        <v>13</v>
      </c>
      <c r="CD29" s="72">
        <v>13</v>
      </c>
      <c r="CE29" s="72">
        <v>12</v>
      </c>
      <c r="CF29" s="72">
        <v>13</v>
      </c>
      <c r="CG29" s="72">
        <v>13</v>
      </c>
      <c r="CH29" s="72">
        <v>13</v>
      </c>
      <c r="CI29" s="72">
        <v>12</v>
      </c>
      <c r="CJ29" s="72">
        <v>12</v>
      </c>
      <c r="CK29" s="72">
        <v>10</v>
      </c>
      <c r="CL29" s="72">
        <v>10</v>
      </c>
      <c r="CM29" s="72">
        <v>66</v>
      </c>
      <c r="CN29" s="72">
        <v>54</v>
      </c>
      <c r="CO29" s="72">
        <v>54</v>
      </c>
      <c r="CP29" s="72">
        <v>50</v>
      </c>
      <c r="CQ29" s="72">
        <v>107</v>
      </c>
      <c r="CR29" s="72">
        <v>109</v>
      </c>
      <c r="CS29" s="72">
        <f>+CR29-1</f>
        <v>108</v>
      </c>
      <c r="CT29" s="72">
        <f>+CS29-1</f>
        <v>107</v>
      </c>
      <c r="CU29" s="72">
        <f t="shared" ref="CU29:CX29" si="44">+CT29-1</f>
        <v>106</v>
      </c>
      <c r="CV29" s="72">
        <f t="shared" si="44"/>
        <v>105</v>
      </c>
      <c r="CW29" s="72">
        <f t="shared" si="44"/>
        <v>104</v>
      </c>
      <c r="CX29" s="72">
        <f t="shared" si="44"/>
        <v>103</v>
      </c>
      <c r="CY29" s="72"/>
      <c r="CZ29" s="72"/>
      <c r="DA29" s="40"/>
      <c r="DB29" s="40"/>
      <c r="DC29" s="40"/>
      <c r="DD29" s="40"/>
      <c r="DE29" s="40"/>
      <c r="DF29" s="40">
        <v>18</v>
      </c>
      <c r="DG29" s="40">
        <v>18.399999999999999</v>
      </c>
      <c r="DH29" s="40">
        <v>14</v>
      </c>
      <c r="DI29" s="40">
        <f>SUM(S29:V29)</f>
        <v>10</v>
      </c>
      <c r="DJ29" s="40">
        <f>SUM(W29:Z29)</f>
        <v>167</v>
      </c>
      <c r="DK29" s="40">
        <f>SUM(AA29:AD29)</f>
        <v>146</v>
      </c>
      <c r="DL29" s="40">
        <f>DK29</f>
        <v>146</v>
      </c>
      <c r="DM29" s="40">
        <f>SUM(AI29:AL29)</f>
        <v>355</v>
      </c>
      <c r="DN29" s="40">
        <f>SUM(AM29:AP29)</f>
        <v>446</v>
      </c>
      <c r="DO29" s="40">
        <f>SUM(AQ29:AT29)</f>
        <v>360</v>
      </c>
      <c r="DP29" s="40">
        <f>SUM(AU29:AX29)</f>
        <v>24</v>
      </c>
      <c r="DQ29" s="40"/>
      <c r="DR29" s="40"/>
      <c r="DS29" s="40"/>
      <c r="DT29" s="69">
        <f>SUM(BK29:BN29)</f>
        <v>104</v>
      </c>
      <c r="DU29" s="69">
        <f>SUM(BO29:BR29)</f>
        <v>114</v>
      </c>
      <c r="DV29" s="69">
        <f>SUM(BS29:BV29)</f>
        <v>115</v>
      </c>
      <c r="DW29" s="69">
        <f>SUM(BW29:BZ29)</f>
        <v>94</v>
      </c>
      <c r="DX29" s="69">
        <f>SUM(CA29:CD29)</f>
        <v>51</v>
      </c>
      <c r="DY29" s="69">
        <f>SUM(CE29:CH29)</f>
        <v>51</v>
      </c>
      <c r="DZ29" s="69">
        <f>SUM(CI29:CL29)</f>
        <v>44</v>
      </c>
      <c r="EA29" s="69">
        <f>SUM(CM29:CP29)</f>
        <v>224</v>
      </c>
      <c r="EB29" s="69">
        <f>SUM(CQ29:CT29)</f>
        <v>431</v>
      </c>
      <c r="EC29" s="40">
        <f>+EB29*0.9</f>
        <v>387.90000000000003</v>
      </c>
      <c r="ED29" s="40">
        <f t="shared" ref="ED29:EM29" si="45">+EC29*0.9</f>
        <v>349.11</v>
      </c>
      <c r="EE29" s="40">
        <f t="shared" si="45"/>
        <v>314.19900000000001</v>
      </c>
      <c r="EF29" s="40">
        <f t="shared" si="45"/>
        <v>282.77910000000003</v>
      </c>
      <c r="EG29" s="40">
        <f t="shared" si="45"/>
        <v>254.50119000000004</v>
      </c>
      <c r="EH29" s="40">
        <f t="shared" si="45"/>
        <v>229.05107100000004</v>
      </c>
      <c r="EI29" s="40">
        <f t="shared" si="45"/>
        <v>206.14596390000003</v>
      </c>
      <c r="EJ29" s="40">
        <f t="shared" si="45"/>
        <v>185.53136751000002</v>
      </c>
      <c r="EK29" s="40">
        <f t="shared" si="45"/>
        <v>166.97823075900001</v>
      </c>
      <c r="EL29" s="40">
        <f t="shared" si="45"/>
        <v>150.28040768310001</v>
      </c>
      <c r="EM29" s="40">
        <f t="shared" si="45"/>
        <v>135.25236691479</v>
      </c>
    </row>
    <row r="30" spans="1:143" s="11" customFormat="1">
      <c r="A30" s="31"/>
      <c r="B30" s="98" t="s">
        <v>526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52"/>
      <c r="AL30" s="40"/>
      <c r="AM30" s="40"/>
      <c r="AN30" s="40"/>
      <c r="AO30" s="40"/>
      <c r="AP30" s="40"/>
      <c r="AQ30" s="67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>
        <v>0</v>
      </c>
      <c r="BH30" s="40">
        <v>0</v>
      </c>
      <c r="BI30" s="40">
        <v>0</v>
      </c>
      <c r="BJ30" s="40">
        <v>0</v>
      </c>
      <c r="BK30" s="40">
        <v>0</v>
      </c>
      <c r="BL30" s="40">
        <v>0</v>
      </c>
      <c r="BM30" s="40">
        <v>0</v>
      </c>
      <c r="BN30" s="40">
        <v>0</v>
      </c>
      <c r="BO30" s="72">
        <v>0</v>
      </c>
      <c r="BP30" s="40">
        <v>0</v>
      </c>
      <c r="BQ30" s="40">
        <v>0</v>
      </c>
      <c r="BR30" s="40">
        <v>0</v>
      </c>
      <c r="BS30" s="40">
        <v>0</v>
      </c>
      <c r="BT30" s="40">
        <v>0</v>
      </c>
      <c r="BU30" s="40">
        <v>0</v>
      </c>
      <c r="BV30" s="40">
        <v>0</v>
      </c>
      <c r="BW30" s="72">
        <v>0</v>
      </c>
      <c r="BX30" s="72">
        <v>0</v>
      </c>
      <c r="BY30" s="72">
        <v>0</v>
      </c>
      <c r="BZ30" s="72">
        <v>0</v>
      </c>
      <c r="CA30" s="72">
        <v>0</v>
      </c>
      <c r="CB30" s="72">
        <v>0</v>
      </c>
      <c r="CC30" s="72">
        <v>0</v>
      </c>
      <c r="CD30" s="72">
        <v>0</v>
      </c>
      <c r="CE30" s="72">
        <v>0</v>
      </c>
      <c r="CF30" s="72">
        <v>0</v>
      </c>
      <c r="CG30" s="72">
        <v>28</v>
      </c>
      <c r="CH30" s="72">
        <v>34</v>
      </c>
      <c r="CI30" s="72">
        <v>38</v>
      </c>
      <c r="CJ30" s="72">
        <v>36</v>
      </c>
      <c r="CK30" s="72">
        <v>37</v>
      </c>
      <c r="CL30" s="72">
        <v>49</v>
      </c>
      <c r="CM30" s="72">
        <v>40</v>
      </c>
      <c r="CN30" s="72">
        <v>46</v>
      </c>
      <c r="CO30" s="72">
        <v>44</v>
      </c>
      <c r="CP30" s="72">
        <v>41</v>
      </c>
      <c r="CQ30" s="72">
        <v>53</v>
      </c>
      <c r="CR30" s="72">
        <v>47</v>
      </c>
      <c r="CS30" s="72">
        <f>+CR30+1</f>
        <v>48</v>
      </c>
      <c r="CT30" s="72">
        <f t="shared" ref="CT30:CX30" si="46">+CS30+1</f>
        <v>49</v>
      </c>
      <c r="CU30" s="72">
        <f t="shared" si="46"/>
        <v>50</v>
      </c>
      <c r="CV30" s="72">
        <f t="shared" si="46"/>
        <v>51</v>
      </c>
      <c r="CW30" s="72">
        <f t="shared" si="46"/>
        <v>52</v>
      </c>
      <c r="CX30" s="72">
        <f t="shared" si="46"/>
        <v>53</v>
      </c>
      <c r="CY30" s="72"/>
      <c r="CZ30" s="72"/>
      <c r="DA30" s="40"/>
      <c r="DB30" s="40"/>
      <c r="DC30" s="40"/>
      <c r="DD30" s="39"/>
      <c r="DE30" s="39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69">
        <f t="shared" si="13"/>
        <v>0</v>
      </c>
      <c r="DU30" s="69">
        <f t="shared" si="11"/>
        <v>0</v>
      </c>
      <c r="DV30" s="69">
        <f t="shared" si="31"/>
        <v>0</v>
      </c>
      <c r="DW30" s="69">
        <f t="shared" si="8"/>
        <v>0</v>
      </c>
      <c r="DX30" s="69">
        <f t="shared" si="9"/>
        <v>0</v>
      </c>
      <c r="DY30" s="69">
        <f t="shared" si="19"/>
        <v>62</v>
      </c>
      <c r="DZ30" s="69">
        <f t="shared" si="20"/>
        <v>160</v>
      </c>
      <c r="EA30" s="69">
        <f t="shared" si="21"/>
        <v>171</v>
      </c>
      <c r="EB30" s="69">
        <f>SUM(CQ30:CT30)</f>
        <v>197</v>
      </c>
      <c r="EC30" s="63">
        <f t="shared" si="43"/>
        <v>206.85000000000002</v>
      </c>
      <c r="ED30" s="63">
        <f t="shared" si="43"/>
        <v>217.19250000000002</v>
      </c>
      <c r="EE30" s="63">
        <f t="shared" si="43"/>
        <v>228.05212500000005</v>
      </c>
      <c r="EF30" s="63">
        <f t="shared" si="43"/>
        <v>239.45473125000007</v>
      </c>
      <c r="EG30" s="63">
        <f t="shared" si="43"/>
        <v>251.42746781250008</v>
      </c>
      <c r="EH30" s="63">
        <f t="shared" si="43"/>
        <v>263.9988412031251</v>
      </c>
      <c r="EI30" s="63">
        <f t="shared" si="43"/>
        <v>277.19878326328137</v>
      </c>
      <c r="EJ30" s="63">
        <f t="shared" si="43"/>
        <v>291.05872242644546</v>
      </c>
      <c r="EK30" s="63">
        <f t="shared" si="43"/>
        <v>305.61165854776772</v>
      </c>
      <c r="EL30" s="63">
        <f t="shared" si="43"/>
        <v>320.89224147515614</v>
      </c>
      <c r="EM30" s="63">
        <f t="shared" si="43"/>
        <v>336.93685354891397</v>
      </c>
    </row>
    <row r="31" spans="1:143" s="11" customFormat="1">
      <c r="A31" s="31"/>
      <c r="B31" s="98" t="s">
        <v>514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52"/>
      <c r="AL31" s="40"/>
      <c r="AM31" s="40"/>
      <c r="AN31" s="40"/>
      <c r="AO31" s="40"/>
      <c r="AP31" s="40"/>
      <c r="AQ31" s="67"/>
      <c r="AR31" s="40"/>
      <c r="AS31" s="40"/>
      <c r="AT31" s="40"/>
      <c r="AU31" s="40"/>
      <c r="AV31" s="40"/>
      <c r="AW31" s="40"/>
      <c r="AX31" s="40"/>
      <c r="AY31" s="40"/>
      <c r="AZ31" s="135"/>
      <c r="BA31" s="135"/>
      <c r="BB31" s="135"/>
      <c r="BC31" s="135"/>
      <c r="BD31" s="135"/>
      <c r="BE31" s="135"/>
      <c r="BF31" s="135"/>
      <c r="BG31" s="135"/>
      <c r="BH31" s="135"/>
      <c r="BI31" s="135"/>
      <c r="BJ31" s="135"/>
      <c r="BK31" s="135"/>
      <c r="BL31" s="135"/>
      <c r="BM31" s="135"/>
      <c r="BN31" s="135"/>
      <c r="BO31" s="135"/>
      <c r="BP31" s="135"/>
      <c r="BQ31" s="135"/>
      <c r="BR31" s="135"/>
      <c r="BS31" s="135"/>
      <c r="BT31" s="135"/>
      <c r="BU31" s="40">
        <v>0</v>
      </c>
      <c r="BV31" s="40">
        <v>0</v>
      </c>
      <c r="BW31" s="72">
        <v>0</v>
      </c>
      <c r="BX31" s="72">
        <v>0</v>
      </c>
      <c r="BY31" s="72">
        <v>0</v>
      </c>
      <c r="BZ31" s="72">
        <v>0</v>
      </c>
      <c r="CA31" s="72">
        <v>0</v>
      </c>
      <c r="CB31" s="72">
        <v>0</v>
      </c>
      <c r="CC31" s="72">
        <v>0</v>
      </c>
      <c r="CD31" s="72">
        <v>0</v>
      </c>
      <c r="CE31" s="72">
        <v>0</v>
      </c>
      <c r="CF31" s="72">
        <v>0</v>
      </c>
      <c r="CG31" s="72">
        <v>29</v>
      </c>
      <c r="CH31" s="72">
        <v>39</v>
      </c>
      <c r="CI31" s="72">
        <v>33</v>
      </c>
      <c r="CJ31" s="72">
        <v>37</v>
      </c>
      <c r="CK31" s="72">
        <v>41</v>
      </c>
      <c r="CL31" s="72">
        <v>39</v>
      </c>
      <c r="CM31" s="72">
        <v>44</v>
      </c>
      <c r="CN31" s="72">
        <v>45</v>
      </c>
      <c r="CO31" s="72">
        <v>40</v>
      </c>
      <c r="CP31" s="72">
        <v>53</v>
      </c>
      <c r="CQ31" s="72">
        <v>47</v>
      </c>
      <c r="CR31" s="72">
        <v>59</v>
      </c>
      <c r="CS31" s="72">
        <f t="shared" ref="CS31:CX31" si="47">+CR31+1</f>
        <v>60</v>
      </c>
      <c r="CT31" s="72">
        <f t="shared" si="47"/>
        <v>61</v>
      </c>
      <c r="CU31" s="72">
        <f t="shared" si="47"/>
        <v>62</v>
      </c>
      <c r="CV31" s="72">
        <f t="shared" si="47"/>
        <v>63</v>
      </c>
      <c r="CW31" s="72">
        <f t="shared" si="47"/>
        <v>64</v>
      </c>
      <c r="CX31" s="72">
        <f t="shared" si="47"/>
        <v>65</v>
      </c>
      <c r="CY31" s="72"/>
      <c r="CZ31" s="72"/>
      <c r="DA31" s="40"/>
      <c r="DB31" s="40"/>
      <c r="DC31" s="40"/>
      <c r="DD31" s="39"/>
      <c r="DE31" s="39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69">
        <f t="shared" si="13"/>
        <v>0</v>
      </c>
      <c r="DU31" s="69">
        <f t="shared" si="11"/>
        <v>0</v>
      </c>
      <c r="DV31" s="69">
        <f t="shared" si="31"/>
        <v>0</v>
      </c>
      <c r="DW31" s="69">
        <f t="shared" si="8"/>
        <v>0</v>
      </c>
      <c r="DX31" s="69">
        <f t="shared" si="9"/>
        <v>0</v>
      </c>
      <c r="DY31" s="69">
        <f t="shared" si="19"/>
        <v>68</v>
      </c>
      <c r="DZ31" s="69">
        <f t="shared" si="20"/>
        <v>150</v>
      </c>
      <c r="EA31" s="69">
        <f t="shared" si="21"/>
        <v>182</v>
      </c>
      <c r="EB31" s="69">
        <f>SUM(CQ31:CT31)</f>
        <v>227</v>
      </c>
      <c r="EC31" s="63">
        <f t="shared" si="43"/>
        <v>238.35000000000002</v>
      </c>
      <c r="ED31" s="63">
        <f t="shared" si="43"/>
        <v>250.26750000000004</v>
      </c>
      <c r="EE31" s="63">
        <f t="shared" si="43"/>
        <v>262.78087500000004</v>
      </c>
      <c r="EF31" s="63">
        <f t="shared" si="43"/>
        <v>275.91991875000008</v>
      </c>
      <c r="EG31" s="63">
        <f t="shared" si="43"/>
        <v>289.71591468750012</v>
      </c>
      <c r="EH31" s="63">
        <f t="shared" si="43"/>
        <v>304.20171042187513</v>
      </c>
      <c r="EI31" s="63">
        <f t="shared" si="43"/>
        <v>319.41179594296892</v>
      </c>
      <c r="EJ31" s="63">
        <f t="shared" si="43"/>
        <v>335.3823857401174</v>
      </c>
      <c r="EK31" s="63">
        <f t="shared" si="43"/>
        <v>352.15150502712328</v>
      </c>
      <c r="EL31" s="63">
        <f t="shared" si="43"/>
        <v>369.75908027847947</v>
      </c>
      <c r="EM31" s="63">
        <f t="shared" si="43"/>
        <v>388.24703429240344</v>
      </c>
    </row>
    <row r="32" spans="1:143" s="11" customFormat="1">
      <c r="A32" s="31"/>
      <c r="B32" s="130" t="s">
        <v>620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52"/>
      <c r="AL32" s="40"/>
      <c r="AM32" s="40"/>
      <c r="AN32" s="40"/>
      <c r="AO32" s="40"/>
      <c r="AP32" s="40"/>
      <c r="AQ32" s="67"/>
      <c r="AR32" s="40"/>
      <c r="AS32" s="40"/>
      <c r="AT32" s="40"/>
      <c r="AU32" s="40"/>
      <c r="AV32" s="40"/>
      <c r="AW32" s="40"/>
      <c r="AX32" s="40"/>
      <c r="AY32" s="40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40">
        <v>0</v>
      </c>
      <c r="BQ32" s="40">
        <v>0</v>
      </c>
      <c r="BR32" s="40">
        <v>0</v>
      </c>
      <c r="BS32" s="40">
        <v>0</v>
      </c>
      <c r="BT32" s="40">
        <v>0</v>
      </c>
      <c r="BU32" s="40">
        <v>0</v>
      </c>
      <c r="BV32" s="40">
        <v>0</v>
      </c>
      <c r="BW32" s="40">
        <v>0</v>
      </c>
      <c r="BX32" s="40">
        <v>0</v>
      </c>
      <c r="BY32" s="40">
        <v>0</v>
      </c>
      <c r="BZ32" s="40">
        <v>0</v>
      </c>
      <c r="CA32" s="40">
        <v>0</v>
      </c>
      <c r="CB32" s="40">
        <v>0</v>
      </c>
      <c r="CC32" s="40">
        <v>0</v>
      </c>
      <c r="CD32" s="40">
        <v>0</v>
      </c>
      <c r="CE32" s="40">
        <v>0</v>
      </c>
      <c r="CF32" s="40">
        <v>0</v>
      </c>
      <c r="CG32" s="40">
        <v>0</v>
      </c>
      <c r="CH32" s="40">
        <v>0</v>
      </c>
      <c r="CI32" s="40">
        <v>0</v>
      </c>
      <c r="CJ32" s="40">
        <v>0</v>
      </c>
      <c r="CK32" s="40">
        <v>0</v>
      </c>
      <c r="CL32" s="40">
        <v>0</v>
      </c>
      <c r="CM32" s="72">
        <v>0</v>
      </c>
      <c r="CN32" s="72">
        <v>2</v>
      </c>
      <c r="CO32" s="72">
        <v>50</v>
      </c>
      <c r="CP32" s="72">
        <v>54</v>
      </c>
      <c r="CQ32" s="72">
        <v>46</v>
      </c>
      <c r="CR32" s="72">
        <v>35</v>
      </c>
      <c r="CS32" s="72">
        <f t="shared" ref="CS32:CX32" si="48">+CR32+1</f>
        <v>36</v>
      </c>
      <c r="CT32" s="72">
        <f t="shared" si="48"/>
        <v>37</v>
      </c>
      <c r="CU32" s="72">
        <f t="shared" si="48"/>
        <v>38</v>
      </c>
      <c r="CV32" s="72">
        <f t="shared" si="48"/>
        <v>39</v>
      </c>
      <c r="CW32" s="72">
        <f t="shared" si="48"/>
        <v>40</v>
      </c>
      <c r="CX32" s="72">
        <f t="shared" si="48"/>
        <v>41</v>
      </c>
      <c r="CY32" s="72"/>
      <c r="CZ32" s="72"/>
      <c r="DA32" s="40"/>
      <c r="DB32" s="40"/>
      <c r="DC32" s="40"/>
      <c r="DD32" s="39"/>
      <c r="DE32" s="39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69">
        <f t="shared" si="13"/>
        <v>0</v>
      </c>
      <c r="DU32" s="69">
        <f t="shared" si="11"/>
        <v>0</v>
      </c>
      <c r="DV32" s="69">
        <f t="shared" si="31"/>
        <v>0</v>
      </c>
      <c r="DW32" s="69"/>
      <c r="DX32" s="69"/>
      <c r="DY32" s="69"/>
      <c r="DZ32" s="69"/>
      <c r="EA32" s="69">
        <f t="shared" si="21"/>
        <v>106</v>
      </c>
      <c r="EB32" s="69">
        <f>SUM(CQ32:CT32)</f>
        <v>154</v>
      </c>
      <c r="EC32" s="63">
        <f t="shared" si="43"/>
        <v>161.70000000000002</v>
      </c>
      <c r="ED32" s="63">
        <f t="shared" si="43"/>
        <v>169.78500000000003</v>
      </c>
      <c r="EE32" s="63">
        <f t="shared" si="43"/>
        <v>178.27425000000002</v>
      </c>
      <c r="EF32" s="63">
        <f t="shared" si="43"/>
        <v>187.18796250000003</v>
      </c>
      <c r="EG32" s="63">
        <f t="shared" si="43"/>
        <v>196.54736062500004</v>
      </c>
      <c r="EH32" s="63">
        <f t="shared" si="43"/>
        <v>206.37472865625006</v>
      </c>
      <c r="EI32" s="63">
        <f t="shared" si="43"/>
        <v>216.69346508906256</v>
      </c>
      <c r="EJ32" s="63">
        <f t="shared" si="43"/>
        <v>227.52813834351571</v>
      </c>
      <c r="EK32" s="63">
        <f t="shared" si="43"/>
        <v>238.90454526069149</v>
      </c>
      <c r="EL32" s="63">
        <f t="shared" si="43"/>
        <v>250.84977252372607</v>
      </c>
      <c r="EM32" s="63">
        <f t="shared" si="43"/>
        <v>263.39226114991237</v>
      </c>
    </row>
    <row r="33" spans="1:143" s="11" customFormat="1">
      <c r="A33" s="31"/>
      <c r="B33" s="130" t="s">
        <v>617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52"/>
      <c r="AL33" s="40"/>
      <c r="AM33" s="40"/>
      <c r="AN33" s="40"/>
      <c r="AO33" s="40"/>
      <c r="AP33" s="40"/>
      <c r="AQ33" s="67"/>
      <c r="AR33" s="40"/>
      <c r="AS33" s="40"/>
      <c r="AT33" s="40"/>
      <c r="AU33" s="40"/>
      <c r="AV33" s="40"/>
      <c r="AW33" s="40"/>
      <c r="AX33" s="40"/>
      <c r="AY33" s="40"/>
      <c r="AZ33" s="135"/>
      <c r="BA33" s="135"/>
      <c r="BB33" s="135"/>
      <c r="BC33" s="135"/>
      <c r="BD33" s="135"/>
      <c r="BE33" s="135"/>
      <c r="BF33" s="135"/>
      <c r="BG33" s="135"/>
      <c r="BH33" s="135"/>
      <c r="BI33" s="135"/>
      <c r="BJ33" s="135"/>
      <c r="BK33" s="135"/>
      <c r="BL33" s="135"/>
      <c r="BM33" s="135"/>
      <c r="BN33" s="135"/>
      <c r="BO33" s="135"/>
      <c r="BP33" s="40">
        <v>0</v>
      </c>
      <c r="BQ33" s="40">
        <v>0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</v>
      </c>
      <c r="CA33" s="40">
        <v>0</v>
      </c>
      <c r="CB33" s="40">
        <v>0</v>
      </c>
      <c r="CC33" s="40">
        <v>0</v>
      </c>
      <c r="CD33" s="40">
        <v>0</v>
      </c>
      <c r="CE33" s="40">
        <v>0</v>
      </c>
      <c r="CF33" s="40">
        <v>0</v>
      </c>
      <c r="CG33" s="40">
        <v>0</v>
      </c>
      <c r="CH33" s="40">
        <v>0</v>
      </c>
      <c r="CI33" s="40">
        <v>0</v>
      </c>
      <c r="CJ33" s="40">
        <v>0</v>
      </c>
      <c r="CK33" s="40">
        <v>0</v>
      </c>
      <c r="CL33" s="40">
        <v>0</v>
      </c>
      <c r="CM33" s="72">
        <v>0</v>
      </c>
      <c r="CN33" s="72">
        <v>0</v>
      </c>
      <c r="CO33" s="72">
        <v>0</v>
      </c>
      <c r="CP33" s="72">
        <v>0</v>
      </c>
      <c r="CQ33" s="72">
        <v>5</v>
      </c>
      <c r="CR33" s="72">
        <v>16</v>
      </c>
      <c r="CS33" s="72">
        <f>+CR33+2</f>
        <v>18</v>
      </c>
      <c r="CT33" s="72">
        <f>+CS33+2</f>
        <v>20</v>
      </c>
      <c r="CU33" s="72">
        <f t="shared" ref="CS33:CX33" si="49">+CT33+1</f>
        <v>21</v>
      </c>
      <c r="CV33" s="72">
        <f t="shared" si="49"/>
        <v>22</v>
      </c>
      <c r="CW33" s="72">
        <f t="shared" si="49"/>
        <v>23</v>
      </c>
      <c r="CX33" s="72">
        <f t="shared" si="49"/>
        <v>24</v>
      </c>
      <c r="CY33" s="72"/>
      <c r="CZ33" s="72"/>
      <c r="DA33" s="40"/>
      <c r="DB33" s="40"/>
      <c r="DC33" s="40"/>
      <c r="DD33" s="39"/>
      <c r="DE33" s="39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69">
        <f t="shared" si="13"/>
        <v>0</v>
      </c>
      <c r="DU33" s="69">
        <f t="shared" si="11"/>
        <v>0</v>
      </c>
      <c r="DV33" s="69">
        <f t="shared" si="31"/>
        <v>0</v>
      </c>
      <c r="DW33" s="69"/>
      <c r="DX33" s="69"/>
      <c r="DY33" s="69"/>
      <c r="DZ33" s="69"/>
      <c r="EA33" s="69">
        <f t="shared" si="21"/>
        <v>0</v>
      </c>
      <c r="EB33" s="69">
        <f>SUM(CQ33:CT33)</f>
        <v>59</v>
      </c>
      <c r="EC33" s="63">
        <f>+EB33*1.05</f>
        <v>61.95</v>
      </c>
      <c r="ED33" s="63">
        <f t="shared" ref="ED33:EM39" si="50">+EC33*1.05</f>
        <v>65.047499999999999</v>
      </c>
      <c r="EE33" s="63">
        <f t="shared" si="50"/>
        <v>68.299875</v>
      </c>
      <c r="EF33" s="63">
        <f t="shared" si="50"/>
        <v>71.714868750000008</v>
      </c>
      <c r="EG33" s="63">
        <f t="shared" si="50"/>
        <v>75.300612187500008</v>
      </c>
      <c r="EH33" s="63">
        <f t="shared" si="50"/>
        <v>79.065642796875011</v>
      </c>
      <c r="EI33" s="63">
        <f t="shared" si="50"/>
        <v>83.018924936718761</v>
      </c>
      <c r="EJ33" s="63">
        <f t="shared" si="50"/>
        <v>87.169871183554704</v>
      </c>
      <c r="EK33" s="63">
        <f t="shared" si="50"/>
        <v>91.52836474273245</v>
      </c>
      <c r="EL33" s="63">
        <f t="shared" si="50"/>
        <v>96.104782979869071</v>
      </c>
      <c r="EM33" s="63">
        <f t="shared" si="50"/>
        <v>100.91002212886254</v>
      </c>
    </row>
    <row r="34" spans="1:143" s="11" customFormat="1">
      <c r="A34" s="31"/>
      <c r="B34" s="130" t="s">
        <v>824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52"/>
      <c r="AL34" s="40"/>
      <c r="AM34" s="40"/>
      <c r="AN34" s="40"/>
      <c r="AO34" s="40"/>
      <c r="AP34" s="40"/>
      <c r="AQ34" s="67"/>
      <c r="AR34" s="40"/>
      <c r="AS34" s="40"/>
      <c r="AT34" s="40"/>
      <c r="AU34" s="40"/>
      <c r="AV34" s="40"/>
      <c r="AW34" s="40"/>
      <c r="AX34" s="40"/>
      <c r="AY34" s="40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5"/>
      <c r="BK34" s="135"/>
      <c r="BL34" s="135"/>
      <c r="BM34" s="135"/>
      <c r="BN34" s="135"/>
      <c r="BO34" s="135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40"/>
      <c r="DB34" s="40"/>
      <c r="DC34" s="40"/>
      <c r="DD34" s="39"/>
      <c r="DE34" s="39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69"/>
      <c r="DU34" s="69"/>
      <c r="DV34" s="69"/>
      <c r="DW34" s="69"/>
      <c r="DX34" s="69"/>
      <c r="DY34" s="69"/>
      <c r="DZ34" s="69"/>
      <c r="EA34" s="69"/>
      <c r="EB34" s="69">
        <f t="shared" ref="EB34:EB57" si="51">SUM(CQ34:CT34)</f>
        <v>0</v>
      </c>
      <c r="EC34" s="63">
        <v>100</v>
      </c>
      <c r="ED34" s="63">
        <v>200</v>
      </c>
      <c r="EE34" s="63">
        <v>300</v>
      </c>
      <c r="EF34" s="63">
        <v>400</v>
      </c>
      <c r="EG34" s="63">
        <v>500</v>
      </c>
      <c r="EH34" s="63">
        <f>+EG34*1.01</f>
        <v>505</v>
      </c>
      <c r="EI34" s="63">
        <f t="shared" si="50"/>
        <v>530.25</v>
      </c>
      <c r="EJ34" s="63">
        <f t="shared" si="50"/>
        <v>556.76250000000005</v>
      </c>
      <c r="EK34" s="63">
        <f t="shared" si="50"/>
        <v>584.60062500000004</v>
      </c>
      <c r="EL34" s="63">
        <f t="shared" si="50"/>
        <v>613.83065625000006</v>
      </c>
      <c r="EM34" s="63">
        <f t="shared" si="50"/>
        <v>644.52218906250005</v>
      </c>
    </row>
    <row r="35" spans="1:143" s="11" customFormat="1">
      <c r="A35" s="31"/>
      <c r="B35" s="130" t="s">
        <v>825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52"/>
      <c r="AL35" s="40"/>
      <c r="AM35" s="40"/>
      <c r="AN35" s="40"/>
      <c r="AO35" s="40"/>
      <c r="AP35" s="40"/>
      <c r="AQ35" s="67"/>
      <c r="AR35" s="40"/>
      <c r="AS35" s="40"/>
      <c r="AT35" s="40"/>
      <c r="AU35" s="40"/>
      <c r="AV35" s="40"/>
      <c r="AW35" s="40"/>
      <c r="AX35" s="40"/>
      <c r="AY35" s="40"/>
      <c r="AZ35" s="135"/>
      <c r="BA35" s="135"/>
      <c r="BB35" s="135"/>
      <c r="BC35" s="135"/>
      <c r="BD35" s="135"/>
      <c r="BE35" s="135"/>
      <c r="BF35" s="135"/>
      <c r="BG35" s="135"/>
      <c r="BH35" s="135"/>
      <c r="BI35" s="135"/>
      <c r="BJ35" s="135"/>
      <c r="BK35" s="135"/>
      <c r="BL35" s="135"/>
      <c r="BM35" s="135"/>
      <c r="BN35" s="135"/>
      <c r="BO35" s="135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40"/>
      <c r="DB35" s="40"/>
      <c r="DC35" s="40"/>
      <c r="DD35" s="39"/>
      <c r="DE35" s="39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69"/>
      <c r="DU35" s="69"/>
      <c r="DV35" s="69"/>
      <c r="DW35" s="69"/>
      <c r="DX35" s="69"/>
      <c r="DY35" s="69"/>
      <c r="DZ35" s="69"/>
      <c r="EA35" s="69"/>
      <c r="EB35" s="69">
        <f t="shared" si="51"/>
        <v>0</v>
      </c>
      <c r="EC35" s="63">
        <v>100</v>
      </c>
      <c r="ED35" s="63">
        <v>200</v>
      </c>
      <c r="EE35" s="63">
        <v>300</v>
      </c>
      <c r="EF35" s="63">
        <v>400</v>
      </c>
      <c r="EG35" s="63">
        <v>500</v>
      </c>
      <c r="EH35" s="63">
        <f>+EG35*1.01</f>
        <v>505</v>
      </c>
      <c r="EI35" s="63">
        <f t="shared" si="50"/>
        <v>530.25</v>
      </c>
      <c r="EJ35" s="63">
        <f t="shared" si="50"/>
        <v>556.76250000000005</v>
      </c>
      <c r="EK35" s="63">
        <f t="shared" si="50"/>
        <v>584.60062500000004</v>
      </c>
      <c r="EL35" s="63">
        <f t="shared" si="50"/>
        <v>613.83065625000006</v>
      </c>
      <c r="EM35" s="63">
        <f t="shared" si="50"/>
        <v>644.52218906250005</v>
      </c>
    </row>
    <row r="36" spans="1:143" s="11" customFormat="1">
      <c r="A36" s="31"/>
      <c r="B36" s="169" t="s">
        <v>765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52"/>
      <c r="AL36" s="40"/>
      <c r="AM36" s="40"/>
      <c r="AN36" s="40"/>
      <c r="AO36" s="40"/>
      <c r="AP36" s="40"/>
      <c r="AQ36" s="67"/>
      <c r="AR36" s="40"/>
      <c r="AS36" s="40"/>
      <c r="AT36" s="40"/>
      <c r="AU36" s="40"/>
      <c r="AV36" s="40"/>
      <c r="AW36" s="40"/>
      <c r="AX36" s="40"/>
      <c r="AY36" s="40"/>
      <c r="AZ36" s="135"/>
      <c r="BA36" s="135"/>
      <c r="BB36" s="135"/>
      <c r="BC36" s="135"/>
      <c r="BD36" s="135"/>
      <c r="BE36" s="135"/>
      <c r="BF36" s="135"/>
      <c r="BG36" s="135"/>
      <c r="BH36" s="135"/>
      <c r="BI36" s="135"/>
      <c r="BJ36" s="135"/>
      <c r="BK36" s="135"/>
      <c r="BL36" s="135"/>
      <c r="BM36" s="135"/>
      <c r="BN36" s="135"/>
      <c r="BO36" s="135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72"/>
      <c r="CN36" s="72"/>
      <c r="CO36" s="72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40"/>
      <c r="DB36" s="40"/>
      <c r="DC36" s="40"/>
      <c r="DD36" s="39"/>
      <c r="DE36" s="39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69"/>
      <c r="DU36" s="69"/>
      <c r="DV36" s="69"/>
      <c r="DW36" s="69"/>
      <c r="DX36" s="69"/>
      <c r="DY36" s="69"/>
      <c r="DZ36" s="69"/>
      <c r="EA36" s="69"/>
      <c r="EB36" s="69">
        <f t="shared" si="51"/>
        <v>0</v>
      </c>
      <c r="EC36" s="63">
        <v>200</v>
      </c>
      <c r="ED36" s="63">
        <v>400</v>
      </c>
      <c r="EE36" s="63">
        <v>600</v>
      </c>
      <c r="EF36" s="63">
        <v>800</v>
      </c>
      <c r="EG36" s="63">
        <v>1000</v>
      </c>
      <c r="EH36" s="63">
        <f>+EG36*1.01</f>
        <v>1010</v>
      </c>
      <c r="EI36" s="63">
        <f t="shared" si="50"/>
        <v>1060.5</v>
      </c>
      <c r="EJ36" s="63">
        <f t="shared" si="50"/>
        <v>1113.5250000000001</v>
      </c>
      <c r="EK36" s="63">
        <f t="shared" si="50"/>
        <v>1169.2012500000001</v>
      </c>
      <c r="EL36" s="63">
        <f t="shared" si="50"/>
        <v>1227.6613125000001</v>
      </c>
      <c r="EM36" s="63">
        <f t="shared" si="50"/>
        <v>1289.0443781250001</v>
      </c>
    </row>
    <row r="37" spans="1:143" s="11" customFormat="1">
      <c r="A37" s="31"/>
      <c r="B37" s="169" t="s">
        <v>851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52"/>
      <c r="AL37" s="40"/>
      <c r="AM37" s="40"/>
      <c r="AN37" s="40"/>
      <c r="AO37" s="40"/>
      <c r="AP37" s="40"/>
      <c r="AQ37" s="67"/>
      <c r="AR37" s="40"/>
      <c r="AS37" s="40"/>
      <c r="AT37" s="40"/>
      <c r="AU37" s="40"/>
      <c r="AV37" s="40"/>
      <c r="AW37" s="40"/>
      <c r="AX37" s="40"/>
      <c r="AY37" s="40"/>
      <c r="AZ37" s="135"/>
      <c r="BA37" s="135"/>
      <c r="BB37" s="135"/>
      <c r="BC37" s="135"/>
      <c r="BD37" s="135"/>
      <c r="BE37" s="135"/>
      <c r="BF37" s="135"/>
      <c r="BG37" s="135"/>
      <c r="BH37" s="135"/>
      <c r="BI37" s="135"/>
      <c r="BJ37" s="135"/>
      <c r="BK37" s="135"/>
      <c r="BL37" s="135"/>
      <c r="BM37" s="135"/>
      <c r="BN37" s="135"/>
      <c r="BO37" s="135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40"/>
      <c r="DB37" s="40"/>
      <c r="DC37" s="40"/>
      <c r="DD37" s="39"/>
      <c r="DE37" s="39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69"/>
      <c r="DU37" s="69"/>
      <c r="DV37" s="69"/>
      <c r="DW37" s="69"/>
      <c r="DX37" s="69"/>
      <c r="DY37" s="69"/>
      <c r="DZ37" s="69"/>
      <c r="EA37" s="69"/>
      <c r="EB37" s="69">
        <f t="shared" ref="EB37:EB39" si="52">SUM(CQ37:CT37)</f>
        <v>0</v>
      </c>
      <c r="EC37" s="63">
        <v>200</v>
      </c>
      <c r="ED37" s="63">
        <v>400</v>
      </c>
      <c r="EE37" s="63">
        <v>600</v>
      </c>
      <c r="EF37" s="63">
        <v>800</v>
      </c>
      <c r="EG37" s="63">
        <v>1000</v>
      </c>
      <c r="EH37" s="63">
        <f>+EG37*1.01</f>
        <v>1010</v>
      </c>
      <c r="EI37" s="63">
        <f t="shared" si="50"/>
        <v>1060.5</v>
      </c>
      <c r="EJ37" s="63">
        <f t="shared" si="50"/>
        <v>1113.5250000000001</v>
      </c>
      <c r="EK37" s="63">
        <f t="shared" si="50"/>
        <v>1169.2012500000001</v>
      </c>
      <c r="EL37" s="63">
        <f t="shared" si="50"/>
        <v>1227.6613125000001</v>
      </c>
      <c r="EM37" s="63">
        <f t="shared" si="50"/>
        <v>1289.0443781250001</v>
      </c>
    </row>
    <row r="38" spans="1:143" s="11" customFormat="1">
      <c r="A38" s="31"/>
      <c r="B38" s="169" t="s">
        <v>855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52"/>
      <c r="AL38" s="40"/>
      <c r="AM38" s="40"/>
      <c r="AN38" s="40"/>
      <c r="AO38" s="40"/>
      <c r="AP38" s="40"/>
      <c r="AQ38" s="67"/>
      <c r="AR38" s="40"/>
      <c r="AS38" s="40"/>
      <c r="AT38" s="40"/>
      <c r="AU38" s="40"/>
      <c r="AV38" s="40"/>
      <c r="AW38" s="40"/>
      <c r="AX38" s="40"/>
      <c r="AY38" s="40"/>
      <c r="AZ38" s="135"/>
      <c r="BA38" s="135"/>
      <c r="BB38" s="135"/>
      <c r="BC38" s="135"/>
      <c r="BD38" s="135"/>
      <c r="BE38" s="135"/>
      <c r="BF38" s="135"/>
      <c r="BG38" s="135"/>
      <c r="BH38" s="135"/>
      <c r="BI38" s="135"/>
      <c r="BJ38" s="135"/>
      <c r="BK38" s="135"/>
      <c r="BL38" s="135"/>
      <c r="BM38" s="135"/>
      <c r="BN38" s="135"/>
      <c r="BO38" s="135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40"/>
      <c r="DB38" s="40"/>
      <c r="DC38" s="40"/>
      <c r="DD38" s="39"/>
      <c r="DE38" s="39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69"/>
      <c r="DU38" s="69"/>
      <c r="DV38" s="69"/>
      <c r="DW38" s="69"/>
      <c r="DX38" s="69"/>
      <c r="DY38" s="69"/>
      <c r="DZ38" s="69"/>
      <c r="EA38" s="69"/>
      <c r="EB38" s="69">
        <f t="shared" ref="EB38" si="53">SUM(CQ38:CT38)</f>
        <v>0</v>
      </c>
      <c r="EC38" s="63">
        <v>100</v>
      </c>
      <c r="ED38" s="63">
        <v>200</v>
      </c>
      <c r="EE38" s="63">
        <v>300</v>
      </c>
      <c r="EF38" s="63">
        <v>400</v>
      </c>
      <c r="EG38" s="63">
        <v>500</v>
      </c>
      <c r="EH38" s="63">
        <f>+EG38*1.01</f>
        <v>505</v>
      </c>
      <c r="EI38" s="63">
        <f t="shared" si="50"/>
        <v>530.25</v>
      </c>
      <c r="EJ38" s="63">
        <f t="shared" si="50"/>
        <v>556.76250000000005</v>
      </c>
      <c r="EK38" s="63">
        <f t="shared" si="50"/>
        <v>584.60062500000004</v>
      </c>
      <c r="EL38" s="63">
        <f t="shared" si="50"/>
        <v>613.83065625000006</v>
      </c>
      <c r="EM38" s="63">
        <f t="shared" si="50"/>
        <v>644.52218906250005</v>
      </c>
    </row>
    <row r="39" spans="1:143" s="11" customFormat="1">
      <c r="A39" s="31"/>
      <c r="B39" s="169" t="s">
        <v>853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52"/>
      <c r="AL39" s="40"/>
      <c r="AM39" s="40"/>
      <c r="AN39" s="40"/>
      <c r="AO39" s="40"/>
      <c r="AP39" s="40"/>
      <c r="AQ39" s="67"/>
      <c r="AR39" s="40"/>
      <c r="AS39" s="40"/>
      <c r="AT39" s="40"/>
      <c r="AU39" s="40"/>
      <c r="AV39" s="40"/>
      <c r="AW39" s="40"/>
      <c r="AX39" s="40"/>
      <c r="AY39" s="40"/>
      <c r="AZ39" s="135"/>
      <c r="BA39" s="135"/>
      <c r="BB39" s="135"/>
      <c r="BC39" s="135"/>
      <c r="BD39" s="135"/>
      <c r="BE39" s="135"/>
      <c r="BF39" s="135"/>
      <c r="BG39" s="135"/>
      <c r="BH39" s="135"/>
      <c r="BI39" s="135"/>
      <c r="BJ39" s="135"/>
      <c r="BK39" s="135"/>
      <c r="BL39" s="135"/>
      <c r="BM39" s="135"/>
      <c r="BN39" s="135"/>
      <c r="BO39" s="135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40"/>
      <c r="DB39" s="40"/>
      <c r="DC39" s="40"/>
      <c r="DD39" s="39"/>
      <c r="DE39" s="39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69"/>
      <c r="DU39" s="69"/>
      <c r="DV39" s="69"/>
      <c r="DW39" s="69"/>
      <c r="DX39" s="69"/>
      <c r="DY39" s="69"/>
      <c r="DZ39" s="69"/>
      <c r="EA39" s="69"/>
      <c r="EB39" s="69">
        <f t="shared" si="52"/>
        <v>0</v>
      </c>
      <c r="EC39" s="63">
        <v>100</v>
      </c>
      <c r="ED39" s="63">
        <v>200</v>
      </c>
      <c r="EE39" s="63">
        <v>300</v>
      </c>
      <c r="EF39" s="63">
        <v>400</v>
      </c>
      <c r="EG39" s="63">
        <v>500</v>
      </c>
      <c r="EH39" s="63">
        <f>+EG39*1.01</f>
        <v>505</v>
      </c>
      <c r="EI39" s="63">
        <f t="shared" si="50"/>
        <v>530.25</v>
      </c>
      <c r="EJ39" s="63">
        <f t="shared" si="50"/>
        <v>556.76250000000005</v>
      </c>
      <c r="EK39" s="63">
        <f t="shared" si="50"/>
        <v>584.60062500000004</v>
      </c>
      <c r="EL39" s="63">
        <f t="shared" si="50"/>
        <v>613.83065625000006</v>
      </c>
      <c r="EM39" s="63">
        <f t="shared" si="50"/>
        <v>644.52218906250005</v>
      </c>
    </row>
    <row r="40" spans="1:143" s="11" customFormat="1">
      <c r="A40" s="31"/>
      <c r="B40" s="97" t="s">
        <v>520</v>
      </c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69">
        <v>0</v>
      </c>
      <c r="BU40" s="69">
        <v>0</v>
      </c>
      <c r="BV40" s="69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0</v>
      </c>
      <c r="CE40" s="75">
        <v>0</v>
      </c>
      <c r="CF40" s="75">
        <v>0</v>
      </c>
      <c r="CG40" s="75">
        <v>0</v>
      </c>
      <c r="CH40" s="75">
        <v>85</v>
      </c>
      <c r="CI40" s="75">
        <v>469</v>
      </c>
      <c r="CJ40" s="75">
        <v>445</v>
      </c>
      <c r="CK40" s="75">
        <v>537</v>
      </c>
      <c r="CL40" s="75">
        <v>734</v>
      </c>
      <c r="CM40" s="75">
        <v>127</v>
      </c>
      <c r="CN40" s="75">
        <v>0</v>
      </c>
      <c r="CO40" s="75">
        <v>0</v>
      </c>
      <c r="CP40" s="75">
        <v>6</v>
      </c>
      <c r="CQ40" s="75">
        <v>2</v>
      </c>
      <c r="CR40" s="75">
        <v>1</v>
      </c>
      <c r="CS40" s="134"/>
      <c r="CT40" s="134"/>
      <c r="CU40" s="134"/>
      <c r="CV40" s="134"/>
      <c r="CW40" s="134"/>
      <c r="CX40" s="134"/>
      <c r="CY40" s="75"/>
      <c r="CZ40" s="75"/>
      <c r="DA40" s="69"/>
      <c r="DB40" s="69"/>
      <c r="DC40" s="69"/>
      <c r="DD40" s="69"/>
      <c r="DE40" s="69"/>
      <c r="DF40" s="71"/>
      <c r="DG40" s="71"/>
      <c r="DH40" s="71"/>
      <c r="DI40" s="71"/>
      <c r="DJ40" s="71"/>
      <c r="DK40" s="71"/>
      <c r="DL40" s="71"/>
      <c r="DM40" s="71"/>
      <c r="DN40" s="71"/>
      <c r="DO40" s="71"/>
      <c r="DP40" s="71"/>
      <c r="DQ40" s="71"/>
      <c r="DR40" s="71"/>
      <c r="DS40" s="71"/>
      <c r="DT40" s="69">
        <f>SUM(BK40:BN40)</f>
        <v>0</v>
      </c>
      <c r="DU40" s="69">
        <f>SUM(BO40:BR40)</f>
        <v>0</v>
      </c>
      <c r="DV40" s="69">
        <f>SUM(BS40:BV40)</f>
        <v>0</v>
      </c>
      <c r="DW40" s="69">
        <f>SUM(BW40:BZ40)</f>
        <v>0</v>
      </c>
      <c r="DX40" s="69">
        <f>SUM(CA40:CD40)</f>
        <v>0</v>
      </c>
      <c r="DY40" s="69">
        <f>SUM(CE40:CH40)</f>
        <v>85</v>
      </c>
      <c r="DZ40" s="69">
        <f>SUM(CI40:CL40)</f>
        <v>2185</v>
      </c>
      <c r="EA40" s="69">
        <f>SUM(CM40:CP40)</f>
        <v>133</v>
      </c>
      <c r="EB40" s="69">
        <f t="shared" si="51"/>
        <v>3</v>
      </c>
      <c r="EC40" s="71"/>
      <c r="ED40" s="71"/>
      <c r="EE40" s="71"/>
      <c r="EF40" s="71"/>
      <c r="EG40" s="71"/>
      <c r="EH40" s="71"/>
      <c r="EI40" s="71"/>
      <c r="EJ40" s="71"/>
      <c r="EK40" s="71"/>
      <c r="EL40" s="71"/>
      <c r="EM40" s="71"/>
    </row>
    <row r="41" spans="1:143" s="11" customFormat="1">
      <c r="A41" s="31"/>
      <c r="B41" s="98" t="s">
        <v>8</v>
      </c>
      <c r="C41" s="40">
        <v>0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26</v>
      </c>
      <c r="J41" s="40">
        <v>41</v>
      </c>
      <c r="K41" s="40">
        <v>19</v>
      </c>
      <c r="L41" s="40">
        <v>47</v>
      </c>
      <c r="M41" s="40">
        <v>70</v>
      </c>
      <c r="N41" s="40">
        <v>92</v>
      </c>
      <c r="O41" s="40">
        <v>93</v>
      </c>
      <c r="P41" s="40">
        <v>103</v>
      </c>
      <c r="Q41" s="40">
        <v>113</v>
      </c>
      <c r="R41" s="40">
        <v>80</v>
      </c>
      <c r="S41" s="40">
        <v>81</v>
      </c>
      <c r="T41" s="40">
        <v>59</v>
      </c>
      <c r="U41" s="40">
        <v>61</v>
      </c>
      <c r="V41" s="40">
        <v>72</v>
      </c>
      <c r="W41" s="40">
        <f>112-X41</f>
        <v>50</v>
      </c>
      <c r="X41" s="40">
        <v>62</v>
      </c>
      <c r="Y41" s="40">
        <v>62</v>
      </c>
      <c r="Z41" s="40">
        <v>63</v>
      </c>
      <c r="AA41" s="40">
        <f>113-AB41</f>
        <v>52</v>
      </c>
      <c r="AB41" s="40">
        <v>61</v>
      </c>
      <c r="AC41" s="40">
        <v>55</v>
      </c>
      <c r="AD41" s="40">
        <v>70</v>
      </c>
      <c r="AE41" s="40">
        <v>58</v>
      </c>
      <c r="AF41" s="40">
        <v>67</v>
      </c>
      <c r="AG41" s="40">
        <v>67</v>
      </c>
      <c r="AH41" s="40">
        <v>73</v>
      </c>
      <c r="AI41" s="40">
        <v>68</v>
      </c>
      <c r="AJ41" s="40">
        <v>75</v>
      </c>
      <c r="AK41" s="52">
        <v>75</v>
      </c>
      <c r="AL41" s="40">
        <v>79</v>
      </c>
      <c r="AM41" s="40">
        <v>83</v>
      </c>
      <c r="AN41" s="40">
        <v>93</v>
      </c>
      <c r="AO41" s="40">
        <v>102</v>
      </c>
      <c r="AP41" s="40">
        <v>115</v>
      </c>
      <c r="AQ41" s="67">
        <v>121</v>
      </c>
      <c r="AR41" s="40">
        <f>AQ41</f>
        <v>121</v>
      </c>
      <c r="AS41" s="40">
        <v>145</v>
      </c>
      <c r="AT41" s="40">
        <v>149</v>
      </c>
      <c r="AU41" s="40">
        <v>143</v>
      </c>
      <c r="AV41" s="40"/>
      <c r="AW41" s="40"/>
      <c r="AX41" s="40"/>
      <c r="AY41" s="40">
        <v>168</v>
      </c>
      <c r="AZ41" s="40">
        <v>156</v>
      </c>
      <c r="BA41" s="40"/>
      <c r="BB41" s="40"/>
      <c r="BC41" s="40">
        <v>169</v>
      </c>
      <c r="BD41" s="40">
        <v>147</v>
      </c>
      <c r="BE41" s="40"/>
      <c r="BF41" s="40"/>
      <c r="BG41" s="40">
        <v>144</v>
      </c>
      <c r="BH41" s="40">
        <v>129</v>
      </c>
      <c r="BI41" s="72">
        <v>141</v>
      </c>
      <c r="BJ41" s="72">
        <v>129</v>
      </c>
      <c r="BK41" s="72">
        <v>135</v>
      </c>
      <c r="BL41" s="72">
        <v>135</v>
      </c>
      <c r="BM41" s="72">
        <v>125</v>
      </c>
      <c r="BN41" s="40">
        <v>118</v>
      </c>
      <c r="BO41" s="72">
        <v>124</v>
      </c>
      <c r="BP41" s="40">
        <v>137</v>
      </c>
      <c r="BQ41" s="40">
        <v>137</v>
      </c>
      <c r="BR41" s="40">
        <v>130</v>
      </c>
      <c r="BS41" s="40">
        <v>132</v>
      </c>
      <c r="BT41" s="40">
        <v>143</v>
      </c>
      <c r="BU41" s="40">
        <v>131</v>
      </c>
      <c r="BV41" s="40">
        <v>112</v>
      </c>
      <c r="BW41" s="72">
        <v>134</v>
      </c>
      <c r="BX41" s="72">
        <v>118</v>
      </c>
      <c r="BY41" s="72">
        <v>91</v>
      </c>
      <c r="BZ41" s="72">
        <v>80</v>
      </c>
      <c r="CA41" s="72">
        <v>77</v>
      </c>
      <c r="CB41" s="72">
        <v>70</v>
      </c>
      <c r="CC41" s="72">
        <v>54</v>
      </c>
      <c r="CD41" s="72">
        <v>67</v>
      </c>
      <c r="CE41" s="72">
        <v>61</v>
      </c>
      <c r="CF41" s="72">
        <v>47</v>
      </c>
      <c r="CG41" s="72">
        <v>41</v>
      </c>
      <c r="CH41" s="72">
        <v>35</v>
      </c>
      <c r="CI41" s="72">
        <v>32</v>
      </c>
      <c r="CJ41" s="72">
        <v>32</v>
      </c>
      <c r="CK41" s="72">
        <v>27</v>
      </c>
      <c r="CL41" s="72">
        <v>24</v>
      </c>
      <c r="CM41" s="72">
        <v>0</v>
      </c>
      <c r="CN41" s="72">
        <v>0</v>
      </c>
      <c r="CO41" s="72">
        <v>0</v>
      </c>
      <c r="CP41" s="72">
        <v>0</v>
      </c>
      <c r="CQ41" s="135"/>
      <c r="CR41" s="135"/>
      <c r="CS41" s="135"/>
      <c r="CT41" s="135"/>
      <c r="CU41" s="135"/>
      <c r="CV41" s="135"/>
      <c r="CW41" s="135"/>
      <c r="CX41" s="135"/>
      <c r="CY41" s="72"/>
      <c r="CZ41" s="72"/>
      <c r="DA41" s="40"/>
      <c r="DB41" s="40"/>
      <c r="DC41" s="40"/>
      <c r="DD41" s="39"/>
      <c r="DE41" s="39"/>
      <c r="DF41" s="40">
        <v>67</v>
      </c>
      <c r="DG41" s="40">
        <v>228</v>
      </c>
      <c r="DH41" s="40">
        <v>389</v>
      </c>
      <c r="DI41" s="40">
        <f>SUM(S41:V41)</f>
        <v>273</v>
      </c>
      <c r="DJ41" s="40">
        <f>SUM(W41:Z41)</f>
        <v>237</v>
      </c>
      <c r="DK41" s="40">
        <f>SUM(AA41:AD41)</f>
        <v>238</v>
      </c>
      <c r="DL41" s="40">
        <f>SUM(AE41:AH41)</f>
        <v>265</v>
      </c>
      <c r="DM41" s="40">
        <f>SUM(AI41:AL41)</f>
        <v>297</v>
      </c>
      <c r="DN41" s="40">
        <f>SUM(AM41:AP41)</f>
        <v>393</v>
      </c>
      <c r="DO41" s="40">
        <f>SUM(AQ41:AT41)</f>
        <v>536</v>
      </c>
      <c r="DP41" s="40">
        <f>SUM(AU41:AX41)</f>
        <v>143</v>
      </c>
      <c r="DQ41" s="40"/>
      <c r="DR41" s="40"/>
      <c r="DS41" s="40"/>
      <c r="DT41" s="69">
        <f t="shared" si="13"/>
        <v>513</v>
      </c>
      <c r="DU41" s="69">
        <f t="shared" si="11"/>
        <v>528</v>
      </c>
      <c r="DV41" s="69">
        <f t="shared" si="31"/>
        <v>518</v>
      </c>
      <c r="DW41" s="69">
        <f t="shared" si="8"/>
        <v>423</v>
      </c>
      <c r="DX41" s="69">
        <f t="shared" si="9"/>
        <v>268</v>
      </c>
      <c r="DY41" s="69">
        <f t="shared" si="19"/>
        <v>184</v>
      </c>
      <c r="DZ41" s="69">
        <f t="shared" si="20"/>
        <v>115</v>
      </c>
      <c r="EA41" s="69">
        <f t="shared" si="21"/>
        <v>0</v>
      </c>
      <c r="EB41" s="69"/>
      <c r="EC41" s="40"/>
    </row>
    <row r="42" spans="1:143" s="11" customFormat="1">
      <c r="A42" s="31"/>
      <c r="B42" s="98" t="s">
        <v>435</v>
      </c>
      <c r="C42" s="40">
        <v>42</v>
      </c>
      <c r="D42" s="40">
        <v>48</v>
      </c>
      <c r="E42" s="40">
        <v>47</v>
      </c>
      <c r="F42" s="40">
        <v>51</v>
      </c>
      <c r="G42" s="40">
        <v>65</v>
      </c>
      <c r="H42" s="40">
        <v>79</v>
      </c>
      <c r="I42" s="40">
        <v>95</v>
      </c>
      <c r="J42" s="40">
        <v>92</v>
      </c>
      <c r="K42" s="40">
        <v>93</v>
      </c>
      <c r="L42" s="40">
        <v>143</v>
      </c>
      <c r="M42" s="40">
        <v>136</v>
      </c>
      <c r="N42" s="40">
        <v>147</v>
      </c>
      <c r="O42" s="40">
        <v>166</v>
      </c>
      <c r="P42" s="40">
        <v>191</v>
      </c>
      <c r="Q42" s="40">
        <v>221</v>
      </c>
      <c r="R42" s="40">
        <v>233</v>
      </c>
      <c r="S42" s="40">
        <v>256</v>
      </c>
      <c r="T42" s="40">
        <v>297</v>
      </c>
      <c r="U42" s="40">
        <v>303</v>
      </c>
      <c r="V42" s="40">
        <v>325</v>
      </c>
      <c r="W42" s="40">
        <f>714-X42</f>
        <v>335</v>
      </c>
      <c r="X42" s="40">
        <v>379</v>
      </c>
      <c r="Y42" s="40">
        <v>382</v>
      </c>
      <c r="Z42" s="40">
        <v>412</v>
      </c>
      <c r="AA42" s="40">
        <f>831-AB42</f>
        <v>401</v>
      </c>
      <c r="AB42" s="40">
        <v>430</v>
      </c>
      <c r="AC42" s="40">
        <v>425</v>
      </c>
      <c r="AD42" s="40">
        <v>474</v>
      </c>
      <c r="AE42" s="40">
        <v>430</v>
      </c>
      <c r="AF42" s="40">
        <v>490</v>
      </c>
      <c r="AG42" s="40">
        <v>486</v>
      </c>
      <c r="AH42" s="40">
        <v>451</v>
      </c>
      <c r="AI42" s="40">
        <v>463</v>
      </c>
      <c r="AJ42" s="40">
        <v>483</v>
      </c>
      <c r="AK42" s="52">
        <v>476</v>
      </c>
      <c r="AL42" s="40">
        <v>499</v>
      </c>
      <c r="AM42" s="40">
        <v>511</v>
      </c>
      <c r="AN42" s="40">
        <v>439</v>
      </c>
      <c r="AO42" s="40">
        <v>284</v>
      </c>
      <c r="AP42" s="40">
        <v>278</v>
      </c>
      <c r="AQ42" s="67">
        <v>233</v>
      </c>
      <c r="AR42" s="40">
        <f>+AQ42-5</f>
        <v>228</v>
      </c>
      <c r="AS42" s="40">
        <v>176</v>
      </c>
      <c r="AT42" s="40">
        <v>166</v>
      </c>
      <c r="AU42" s="40">
        <v>144</v>
      </c>
      <c r="AV42" s="40"/>
      <c r="AW42" s="40"/>
      <c r="AX42" s="40"/>
      <c r="AY42" s="40">
        <v>92</v>
      </c>
      <c r="AZ42" s="40">
        <v>83</v>
      </c>
      <c r="BA42" s="40"/>
      <c r="BB42" s="40"/>
      <c r="BC42" s="40">
        <v>78</v>
      </c>
      <c r="BD42" s="40">
        <v>78</v>
      </c>
      <c r="BE42" s="40"/>
      <c r="BF42" s="40"/>
      <c r="BG42" s="40">
        <v>62</v>
      </c>
      <c r="BH42" s="40">
        <v>64</v>
      </c>
      <c r="BI42" s="72">
        <v>64</v>
      </c>
      <c r="BJ42" s="72">
        <v>60</v>
      </c>
      <c r="BK42" s="72">
        <v>57</v>
      </c>
      <c r="BL42" s="72">
        <v>62</v>
      </c>
      <c r="BM42" s="72">
        <v>56</v>
      </c>
      <c r="BN42" s="40">
        <v>57</v>
      </c>
      <c r="BO42" s="72">
        <v>52</v>
      </c>
      <c r="BP42" s="40">
        <v>54</v>
      </c>
      <c r="BQ42" s="40">
        <v>54</v>
      </c>
      <c r="BR42" s="40">
        <v>57</v>
      </c>
      <c r="BS42" s="40">
        <v>54</v>
      </c>
      <c r="BT42" s="40">
        <v>57</v>
      </c>
      <c r="BU42" s="40">
        <v>55</v>
      </c>
      <c r="BV42" s="40">
        <v>46</v>
      </c>
      <c r="BW42" s="72">
        <v>51</v>
      </c>
      <c r="BX42" s="72">
        <v>60</v>
      </c>
      <c r="BY42" s="72">
        <v>63</v>
      </c>
      <c r="BZ42" s="72">
        <v>51</v>
      </c>
      <c r="CA42" s="72">
        <v>50</v>
      </c>
      <c r="CB42" s="72">
        <v>58</v>
      </c>
      <c r="CC42" s="72">
        <v>42</v>
      </c>
      <c r="CD42" s="72">
        <v>36</v>
      </c>
      <c r="CE42" s="72">
        <v>44</v>
      </c>
      <c r="CF42" s="72">
        <v>29</v>
      </c>
      <c r="CG42" s="72">
        <v>33</v>
      </c>
      <c r="CH42" s="72">
        <v>33</v>
      </c>
      <c r="CI42" s="72">
        <v>32</v>
      </c>
      <c r="CJ42" s="72">
        <v>28</v>
      </c>
      <c r="CK42" s="72">
        <v>24</v>
      </c>
      <c r="CL42" s="72">
        <v>14</v>
      </c>
      <c r="CM42" s="72">
        <v>0</v>
      </c>
      <c r="CN42" s="72">
        <v>0</v>
      </c>
      <c r="CO42" s="72">
        <v>0</v>
      </c>
      <c r="CP42" s="72">
        <v>0</v>
      </c>
      <c r="CQ42" s="135"/>
      <c r="CR42" s="135"/>
      <c r="CS42" s="135"/>
      <c r="CT42" s="135"/>
      <c r="CU42" s="135"/>
      <c r="CV42" s="135"/>
      <c r="CW42" s="135"/>
      <c r="CX42" s="135"/>
      <c r="CY42" s="72"/>
      <c r="CZ42" s="72"/>
      <c r="DA42" s="40"/>
      <c r="DB42" s="40"/>
      <c r="DC42" s="40"/>
      <c r="DD42" s="39"/>
      <c r="DE42" s="39"/>
      <c r="DF42" s="40">
        <v>331</v>
      </c>
      <c r="DG42" s="40">
        <v>519</v>
      </c>
      <c r="DH42" s="40">
        <v>811</v>
      </c>
      <c r="DI42" s="40">
        <f>SUM(S42:V42)</f>
        <v>1181</v>
      </c>
      <c r="DJ42" s="40">
        <f>SUM(W42:Z42)</f>
        <v>1508</v>
      </c>
      <c r="DK42" s="40">
        <f>SUM(AA42:AD42)</f>
        <v>1730</v>
      </c>
      <c r="DL42" s="40">
        <f>SUM(AE42:AH42)</f>
        <v>1857</v>
      </c>
      <c r="DM42" s="40">
        <f>SUM(AI42:AL42)</f>
        <v>1921</v>
      </c>
      <c r="DN42" s="40">
        <f>SUM(AM42:AP42)</f>
        <v>1512</v>
      </c>
      <c r="DO42" s="40">
        <f>SUM(AQ42:AT42)</f>
        <v>803</v>
      </c>
      <c r="DP42" s="40">
        <f>SUM(AU42:AX42)</f>
        <v>144</v>
      </c>
      <c r="DQ42" s="40"/>
      <c r="DR42" s="40"/>
      <c r="DS42" s="40"/>
      <c r="DT42" s="69">
        <f t="shared" si="13"/>
        <v>232</v>
      </c>
      <c r="DU42" s="69">
        <f t="shared" si="11"/>
        <v>217</v>
      </c>
      <c r="DV42" s="69">
        <f t="shared" si="31"/>
        <v>212</v>
      </c>
      <c r="DW42" s="69">
        <f t="shared" si="8"/>
        <v>225</v>
      </c>
      <c r="DX42" s="69">
        <f t="shared" si="9"/>
        <v>186</v>
      </c>
      <c r="DY42" s="69">
        <f t="shared" si="19"/>
        <v>139</v>
      </c>
      <c r="DZ42" s="69">
        <f t="shared" si="20"/>
        <v>98</v>
      </c>
      <c r="EA42" s="69">
        <f t="shared" si="21"/>
        <v>0</v>
      </c>
      <c r="EB42" s="69"/>
      <c r="EC42" s="40"/>
    </row>
    <row r="43" spans="1:143" s="11" customFormat="1">
      <c r="A43" s="31"/>
      <c r="B43" s="98" t="s">
        <v>454</v>
      </c>
      <c r="C43" s="40">
        <v>114</v>
      </c>
      <c r="D43" s="40">
        <v>128</v>
      </c>
      <c r="E43" s="40">
        <v>146</v>
      </c>
      <c r="F43" s="40">
        <v>173</v>
      </c>
      <c r="G43" s="40">
        <v>123</v>
      </c>
      <c r="H43" s="40">
        <v>148</v>
      </c>
      <c r="I43" s="40">
        <v>189</v>
      </c>
      <c r="J43" s="40">
        <v>184</v>
      </c>
      <c r="K43" s="40">
        <v>189</v>
      </c>
      <c r="L43" s="40">
        <v>228</v>
      </c>
      <c r="M43" s="40">
        <v>230</v>
      </c>
      <c r="N43" s="40">
        <v>207</v>
      </c>
      <c r="O43" s="40">
        <v>229</v>
      </c>
      <c r="P43" s="40">
        <v>249</v>
      </c>
      <c r="Q43" s="40">
        <v>258</v>
      </c>
      <c r="R43" s="40">
        <v>276</v>
      </c>
      <c r="S43" s="40">
        <v>277</v>
      </c>
      <c r="T43" s="40">
        <v>287</v>
      </c>
      <c r="U43" s="40">
        <v>276</v>
      </c>
      <c r="V43" s="40">
        <v>283</v>
      </c>
      <c r="W43" s="40">
        <f>580-X43</f>
        <v>274</v>
      </c>
      <c r="X43" s="40">
        <v>306</v>
      </c>
      <c r="Y43" s="40">
        <v>299</v>
      </c>
      <c r="Z43" s="40">
        <v>327</v>
      </c>
      <c r="AA43" s="40">
        <f>641-AB43</f>
        <v>310</v>
      </c>
      <c r="AB43" s="40">
        <v>331</v>
      </c>
      <c r="AC43" s="40">
        <v>324</v>
      </c>
      <c r="AD43" s="40">
        <v>370</v>
      </c>
      <c r="AE43" s="40">
        <v>316</v>
      </c>
      <c r="AF43" s="40">
        <v>358</v>
      </c>
      <c r="AG43" s="40">
        <v>300</v>
      </c>
      <c r="AH43" s="40">
        <v>284</v>
      </c>
      <c r="AI43" s="40">
        <v>236</v>
      </c>
      <c r="AJ43" s="40">
        <v>245</v>
      </c>
      <c r="AK43" s="52">
        <v>174</v>
      </c>
      <c r="AL43" s="40">
        <v>189</v>
      </c>
      <c r="AM43" s="40">
        <v>143</v>
      </c>
      <c r="AN43" s="40">
        <v>151</v>
      </c>
      <c r="AO43" s="40">
        <v>137</v>
      </c>
      <c r="AP43" s="40">
        <v>148</v>
      </c>
      <c r="AQ43" s="67">
        <v>133</v>
      </c>
      <c r="AR43" s="40">
        <f>AQ43-5</f>
        <v>128</v>
      </c>
      <c r="AS43" s="40">
        <v>137</v>
      </c>
      <c r="AT43" s="40">
        <v>142</v>
      </c>
      <c r="AU43" s="40">
        <v>113</v>
      </c>
      <c r="AV43" s="40"/>
      <c r="AW43" s="40"/>
      <c r="AX43" s="40"/>
      <c r="AY43" s="40">
        <v>92</v>
      </c>
      <c r="AZ43" s="40">
        <v>96</v>
      </c>
      <c r="BA43" s="40"/>
      <c r="BB43" s="40"/>
      <c r="BC43" s="40">
        <v>83</v>
      </c>
      <c r="BD43" s="40">
        <v>83</v>
      </c>
      <c r="BE43" s="40"/>
      <c r="BF43" s="40"/>
      <c r="BG43" s="40">
        <v>70</v>
      </c>
      <c r="BH43" s="40">
        <v>69</v>
      </c>
      <c r="BI43" s="72">
        <v>65</v>
      </c>
      <c r="BJ43" s="72">
        <v>63</v>
      </c>
      <c r="BK43" s="72">
        <v>62</v>
      </c>
      <c r="BL43" s="72">
        <v>63</v>
      </c>
      <c r="BM43" s="72">
        <v>62</v>
      </c>
      <c r="BN43" s="40">
        <v>60</v>
      </c>
      <c r="BO43" s="72">
        <v>56</v>
      </c>
      <c r="BP43" s="40">
        <v>54</v>
      </c>
      <c r="BQ43" s="40">
        <v>51</v>
      </c>
      <c r="BR43" s="40">
        <v>54</v>
      </c>
      <c r="BS43" s="40">
        <v>52</v>
      </c>
      <c r="BT43" s="40">
        <v>52</v>
      </c>
      <c r="BU43" s="40">
        <v>51</v>
      </c>
      <c r="BV43" s="40">
        <v>46</v>
      </c>
      <c r="BW43" s="72">
        <v>48</v>
      </c>
      <c r="BX43" s="72">
        <v>57</v>
      </c>
      <c r="BY43" s="72">
        <v>52</v>
      </c>
      <c r="BZ43" s="72">
        <v>43</v>
      </c>
      <c r="CA43" s="72">
        <v>42</v>
      </c>
      <c r="CB43" s="72">
        <v>47</v>
      </c>
      <c r="CC43" s="72">
        <v>44</v>
      </c>
      <c r="CD43" s="72">
        <v>39</v>
      </c>
      <c r="CE43" s="72">
        <v>42</v>
      </c>
      <c r="CF43" s="72">
        <v>41</v>
      </c>
      <c r="CG43" s="72">
        <v>38</v>
      </c>
      <c r="CH43" s="72">
        <v>22</v>
      </c>
      <c r="CI43" s="72">
        <v>21</v>
      </c>
      <c r="CJ43" s="72">
        <v>21</v>
      </c>
      <c r="CK43" s="72">
        <v>21</v>
      </c>
      <c r="CL43" s="72">
        <v>16</v>
      </c>
      <c r="CM43" s="72">
        <v>0</v>
      </c>
      <c r="CN43" s="72">
        <v>0</v>
      </c>
      <c r="CO43" s="72">
        <v>0</v>
      </c>
      <c r="CP43" s="72">
        <v>0</v>
      </c>
      <c r="CQ43" s="135"/>
      <c r="CR43" s="135"/>
      <c r="CS43" s="135"/>
      <c r="CT43" s="135"/>
      <c r="CU43" s="135"/>
      <c r="CV43" s="135"/>
      <c r="CW43" s="135"/>
      <c r="CX43" s="135"/>
      <c r="CY43" s="72"/>
      <c r="CZ43" s="72"/>
      <c r="DA43" s="40"/>
      <c r="DB43" s="40"/>
      <c r="DC43" s="40"/>
      <c r="DD43" s="39"/>
      <c r="DE43" s="39"/>
      <c r="DF43" s="40">
        <v>644</v>
      </c>
      <c r="DG43" s="40">
        <v>854</v>
      </c>
      <c r="DH43" s="40">
        <v>1012</v>
      </c>
      <c r="DI43" s="40">
        <f>SUM(S43:V43)</f>
        <v>1123</v>
      </c>
      <c r="DJ43" s="40">
        <f>SUM(W43:Z43)</f>
        <v>1206</v>
      </c>
      <c r="DK43" s="40">
        <f>SUM(AA43:AD43)</f>
        <v>1335</v>
      </c>
      <c r="DL43" s="40">
        <f>SUM(AE43:AH43)</f>
        <v>1258</v>
      </c>
      <c r="DM43" s="40">
        <f>SUM(AI43:AL43)</f>
        <v>844</v>
      </c>
      <c r="DN43" s="40">
        <f>SUM(AM43:AP43)</f>
        <v>579</v>
      </c>
      <c r="DO43" s="40">
        <f>SUM(AQ43:AT43)</f>
        <v>540</v>
      </c>
      <c r="DP43" s="40">
        <f>SUM(AU43:AX43)</f>
        <v>113</v>
      </c>
      <c r="DQ43" s="40"/>
      <c r="DR43" s="40"/>
      <c r="DS43" s="40"/>
      <c r="DT43" s="69">
        <f t="shared" si="13"/>
        <v>247</v>
      </c>
      <c r="DU43" s="69">
        <f t="shared" si="11"/>
        <v>215</v>
      </c>
      <c r="DV43" s="69">
        <f t="shared" si="31"/>
        <v>201</v>
      </c>
      <c r="DW43" s="69">
        <f t="shared" si="8"/>
        <v>200</v>
      </c>
      <c r="DX43" s="69">
        <f t="shared" si="9"/>
        <v>172</v>
      </c>
      <c r="DY43" s="69">
        <f t="shared" si="19"/>
        <v>143</v>
      </c>
      <c r="DZ43" s="69">
        <f t="shared" si="20"/>
        <v>79</v>
      </c>
      <c r="EA43" s="69">
        <f t="shared" si="21"/>
        <v>0</v>
      </c>
      <c r="EB43" s="69"/>
      <c r="EC43" s="40"/>
    </row>
    <row r="44" spans="1:143" s="11" customFormat="1">
      <c r="A44" s="31"/>
      <c r="B44" s="98" t="s">
        <v>521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52"/>
      <c r="AL44" s="40"/>
      <c r="AM44" s="40"/>
      <c r="AN44" s="40"/>
      <c r="AO44" s="40"/>
      <c r="AP44" s="40"/>
      <c r="AQ44" s="67"/>
      <c r="AR44" s="40"/>
      <c r="AS44" s="40"/>
      <c r="AT44" s="40"/>
      <c r="AU44" s="40"/>
      <c r="AV44" s="40"/>
      <c r="AW44" s="40"/>
      <c r="AX44" s="40"/>
      <c r="AY44" s="40"/>
      <c r="AZ44" s="135"/>
      <c r="BA44" s="135"/>
      <c r="BB44" s="135"/>
      <c r="BC44" s="135"/>
      <c r="BD44" s="135"/>
      <c r="BE44" s="135"/>
      <c r="BF44" s="135"/>
      <c r="BG44" s="135"/>
      <c r="BH44" s="135"/>
      <c r="BI44" s="135"/>
      <c r="BJ44" s="135"/>
      <c r="BK44" s="135"/>
      <c r="BL44" s="135"/>
      <c r="BM44" s="135"/>
      <c r="BN44" s="135"/>
      <c r="BO44" s="72">
        <v>0</v>
      </c>
      <c r="BP44" s="40">
        <v>3</v>
      </c>
      <c r="BQ44" s="40">
        <v>4</v>
      </c>
      <c r="BR44" s="40">
        <v>8</v>
      </c>
      <c r="BS44" s="40">
        <v>5</v>
      </c>
      <c r="BT44" s="40">
        <v>8</v>
      </c>
      <c r="BU44" s="40">
        <v>10</v>
      </c>
      <c r="BV44" s="40">
        <v>10</v>
      </c>
      <c r="BW44" s="72">
        <v>10</v>
      </c>
      <c r="BX44" s="72">
        <v>10</v>
      </c>
      <c r="BY44" s="72">
        <v>10</v>
      </c>
      <c r="BZ44" s="72">
        <v>12</v>
      </c>
      <c r="CA44" s="72">
        <v>12</v>
      </c>
      <c r="CB44" s="72">
        <v>10</v>
      </c>
      <c r="CC44" s="72">
        <v>14</v>
      </c>
      <c r="CD44" s="72">
        <v>12</v>
      </c>
      <c r="CE44" s="72">
        <v>13</v>
      </c>
      <c r="CF44" s="72">
        <v>13</v>
      </c>
      <c r="CG44" s="72">
        <v>13</v>
      </c>
      <c r="CH44" s="72">
        <v>15</v>
      </c>
      <c r="CI44" s="72">
        <v>15</v>
      </c>
      <c r="CJ44" s="72">
        <v>15</v>
      </c>
      <c r="CK44" s="72">
        <v>14</v>
      </c>
      <c r="CL44" s="72">
        <v>14</v>
      </c>
      <c r="CM44" s="72">
        <v>15</v>
      </c>
      <c r="CN44" s="72">
        <v>15</v>
      </c>
      <c r="CO44" s="72">
        <v>13</v>
      </c>
      <c r="CP44" s="72">
        <v>15</v>
      </c>
      <c r="CQ44" s="135"/>
      <c r="CR44" s="135"/>
      <c r="CS44" s="135"/>
      <c r="CT44" s="135"/>
      <c r="CU44" s="135"/>
      <c r="CV44" s="135"/>
      <c r="CW44" s="135"/>
      <c r="CX44" s="135"/>
      <c r="CY44" s="72"/>
      <c r="CZ44" s="72"/>
      <c r="DA44" s="40"/>
      <c r="DB44" s="40"/>
      <c r="DC44" s="40"/>
      <c r="DD44" s="39"/>
      <c r="DE44" s="39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69">
        <f t="shared" si="13"/>
        <v>0</v>
      </c>
      <c r="DU44" s="69">
        <f t="shared" si="11"/>
        <v>15</v>
      </c>
      <c r="DV44" s="69">
        <f t="shared" si="31"/>
        <v>33</v>
      </c>
      <c r="DW44" s="69">
        <f t="shared" si="8"/>
        <v>42</v>
      </c>
      <c r="DX44" s="69">
        <f t="shared" si="9"/>
        <v>48</v>
      </c>
      <c r="DY44" s="69">
        <f t="shared" si="19"/>
        <v>54</v>
      </c>
      <c r="DZ44" s="69">
        <f t="shared" si="20"/>
        <v>58</v>
      </c>
      <c r="EA44" s="69">
        <f t="shared" si="21"/>
        <v>58</v>
      </c>
      <c r="EB44" s="69"/>
      <c r="EC44" s="40"/>
    </row>
    <row r="45" spans="1:143" s="11" customFormat="1">
      <c r="A45" s="31"/>
      <c r="B45" s="98" t="s">
        <v>42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8</v>
      </c>
      <c r="I45" s="40">
        <v>11</v>
      </c>
      <c r="J45" s="40">
        <v>16</v>
      </c>
      <c r="K45" s="40">
        <v>22</v>
      </c>
      <c r="L45" s="40">
        <v>15</v>
      </c>
      <c r="M45" s="40">
        <v>19</v>
      </c>
      <c r="N45" s="40">
        <v>21</v>
      </c>
      <c r="O45" s="40">
        <v>26</v>
      </c>
      <c r="P45" s="40">
        <v>23</v>
      </c>
      <c r="Q45" s="40">
        <v>24</v>
      </c>
      <c r="R45" s="40">
        <v>26</v>
      </c>
      <c r="S45" s="40">
        <v>29</v>
      </c>
      <c r="T45" s="40">
        <v>35</v>
      </c>
      <c r="U45" s="40">
        <v>37</v>
      </c>
      <c r="V45" s="40">
        <v>39</v>
      </c>
      <c r="W45" s="40">
        <f>91-X45</f>
        <v>44</v>
      </c>
      <c r="X45" s="40">
        <v>47</v>
      </c>
      <c r="Y45" s="40"/>
      <c r="Z45" s="40">
        <v>48</v>
      </c>
      <c r="AA45" s="40">
        <f>102-AB45</f>
        <v>49</v>
      </c>
      <c r="AB45" s="40">
        <v>53</v>
      </c>
      <c r="AC45" s="40"/>
      <c r="AD45" s="40">
        <v>58</v>
      </c>
      <c r="AE45" s="40">
        <v>56</v>
      </c>
      <c r="AF45" s="40"/>
      <c r="AG45" s="53" t="s">
        <v>331</v>
      </c>
      <c r="AH45" s="40"/>
      <c r="AI45" s="40"/>
      <c r="AJ45" s="40"/>
      <c r="AK45" s="52"/>
      <c r="AL45" s="40"/>
      <c r="AM45" s="40"/>
      <c r="AN45" s="40"/>
      <c r="AO45" s="40"/>
      <c r="AP45" s="40"/>
      <c r="AQ45" s="67">
        <v>123</v>
      </c>
      <c r="AR45" s="40">
        <v>0</v>
      </c>
      <c r="AS45" s="40">
        <v>0</v>
      </c>
      <c r="AT45" s="40">
        <v>0</v>
      </c>
      <c r="AU45" s="40">
        <v>151</v>
      </c>
      <c r="AV45" s="40"/>
      <c r="AW45" s="40"/>
      <c r="AX45" s="40"/>
      <c r="AY45" s="40">
        <v>157</v>
      </c>
      <c r="AZ45" s="40">
        <v>173</v>
      </c>
      <c r="BA45" s="40"/>
      <c r="BB45" s="40"/>
      <c r="BC45" s="40">
        <v>172</v>
      </c>
      <c r="BD45" s="40">
        <v>179</v>
      </c>
      <c r="BE45" s="40"/>
      <c r="BF45" s="40"/>
      <c r="BG45" s="40">
        <v>161</v>
      </c>
      <c r="BH45" s="40">
        <v>172</v>
      </c>
      <c r="BI45" s="72">
        <v>186</v>
      </c>
      <c r="BJ45" s="72">
        <v>185</v>
      </c>
      <c r="BK45" s="72">
        <v>190</v>
      </c>
      <c r="BL45" s="72">
        <v>211</v>
      </c>
      <c r="BM45" s="72">
        <v>207</v>
      </c>
      <c r="BN45" s="40">
        <v>222</v>
      </c>
      <c r="BO45" s="72">
        <v>214</v>
      </c>
      <c r="BP45" s="40">
        <v>248</v>
      </c>
      <c r="BQ45" s="40">
        <v>241</v>
      </c>
      <c r="BR45" s="40">
        <v>238</v>
      </c>
      <c r="BS45" s="40">
        <v>254</v>
      </c>
      <c r="BT45" s="40">
        <v>247</v>
      </c>
      <c r="BU45" s="40">
        <v>258</v>
      </c>
      <c r="BV45" s="40">
        <v>269</v>
      </c>
      <c r="BW45" s="72">
        <v>254</v>
      </c>
      <c r="BX45" s="72">
        <v>267</v>
      </c>
      <c r="BY45" s="72">
        <v>205</v>
      </c>
      <c r="BZ45" s="72">
        <v>166</v>
      </c>
      <c r="CA45" s="72">
        <v>166</v>
      </c>
      <c r="CB45" s="72">
        <v>146</v>
      </c>
      <c r="CC45" s="72">
        <v>138</v>
      </c>
      <c r="CD45" s="72">
        <v>130</v>
      </c>
      <c r="CE45" s="72">
        <v>122</v>
      </c>
      <c r="CF45" s="72">
        <v>105</v>
      </c>
      <c r="CG45" s="72">
        <v>103</v>
      </c>
      <c r="CH45" s="72">
        <v>101</v>
      </c>
      <c r="CI45" s="72">
        <v>93</v>
      </c>
      <c r="CJ45" s="72">
        <v>86</v>
      </c>
      <c r="CK45" s="72">
        <v>81</v>
      </c>
      <c r="CL45" s="72">
        <v>74</v>
      </c>
      <c r="CM45" s="72">
        <v>75</v>
      </c>
      <c r="CN45" s="72">
        <v>78</v>
      </c>
      <c r="CO45" s="72">
        <v>64</v>
      </c>
      <c r="CP45" s="72">
        <v>79</v>
      </c>
      <c r="CQ45" s="135"/>
      <c r="CR45" s="135"/>
      <c r="CS45" s="135"/>
      <c r="CT45" s="135"/>
      <c r="CU45" s="135"/>
      <c r="CV45" s="135"/>
      <c r="CW45" s="135"/>
      <c r="CX45" s="135"/>
      <c r="CY45" s="72"/>
      <c r="CZ45" s="72"/>
      <c r="DA45" s="40"/>
      <c r="DB45" s="40"/>
      <c r="DC45" s="40"/>
      <c r="DD45" s="39"/>
      <c r="DE45" s="39"/>
      <c r="DF45" s="40">
        <v>35</v>
      </c>
      <c r="DG45" s="40">
        <v>77</v>
      </c>
      <c r="DH45" s="40">
        <v>99</v>
      </c>
      <c r="DI45" s="40">
        <f>SUM(S45:V45)</f>
        <v>140</v>
      </c>
      <c r="DJ45" s="40">
        <f>SUM(W45:Z45)</f>
        <v>139</v>
      </c>
      <c r="DK45" s="40"/>
      <c r="DL45" s="40"/>
      <c r="DM45" s="40"/>
      <c r="DN45" s="39"/>
      <c r="DO45" s="40">
        <f>SUM(AQ45:AT45)</f>
        <v>123</v>
      </c>
      <c r="DP45" s="40">
        <f>SUM(AU45:AX45)</f>
        <v>151</v>
      </c>
      <c r="DQ45" s="42"/>
      <c r="DR45" s="42"/>
      <c r="DS45" s="42"/>
      <c r="DT45" s="69">
        <f>SUM(BK45:BN45)</f>
        <v>830</v>
      </c>
      <c r="DU45" s="69">
        <f>SUM(BO45:BR45)</f>
        <v>941</v>
      </c>
      <c r="DV45" s="69">
        <f>SUM(BS45:BV45)</f>
        <v>1028</v>
      </c>
      <c r="DW45" s="69">
        <f>SUM(BW45:BZ45)</f>
        <v>892</v>
      </c>
      <c r="DX45" s="69">
        <f>SUM(CA45:CD45)</f>
        <v>580</v>
      </c>
      <c r="DY45" s="69">
        <f>SUM(CE45:CH45)</f>
        <v>431</v>
      </c>
      <c r="DZ45" s="69">
        <f>SUM(CI45:CL45)</f>
        <v>334</v>
      </c>
      <c r="EA45" s="69">
        <f>SUM(CM45:CP45)</f>
        <v>296</v>
      </c>
      <c r="EB45" s="69"/>
      <c r="EC45" s="63"/>
    </row>
    <row r="46" spans="1:143" s="11" customFormat="1">
      <c r="A46" s="31"/>
      <c r="B46" s="97" t="s">
        <v>519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69">
        <v>0</v>
      </c>
      <c r="BU46" s="69">
        <v>0</v>
      </c>
      <c r="BV46" s="69">
        <v>0</v>
      </c>
      <c r="BW46" s="75">
        <v>0</v>
      </c>
      <c r="BX46" s="75">
        <v>0</v>
      </c>
      <c r="BY46" s="75">
        <v>0</v>
      </c>
      <c r="BZ46" s="75">
        <v>0</v>
      </c>
      <c r="CA46" s="75">
        <v>0</v>
      </c>
      <c r="CB46" s="75">
        <v>0</v>
      </c>
      <c r="CC46" s="75">
        <v>0</v>
      </c>
      <c r="CD46" s="75">
        <v>0</v>
      </c>
      <c r="CE46" s="75">
        <v>275</v>
      </c>
      <c r="CF46" s="75">
        <v>862</v>
      </c>
      <c r="CG46" s="75">
        <v>1000</v>
      </c>
      <c r="CH46" s="75">
        <v>1781</v>
      </c>
      <c r="CI46" s="75">
        <v>1089</v>
      </c>
      <c r="CJ46" s="75">
        <v>451</v>
      </c>
      <c r="CK46" s="75">
        <v>173</v>
      </c>
      <c r="CL46" s="75">
        <v>85</v>
      </c>
      <c r="CM46" s="75">
        <v>28</v>
      </c>
      <c r="CN46" s="75">
        <v>0</v>
      </c>
      <c r="CO46" s="75">
        <v>0</v>
      </c>
      <c r="CP46" s="75">
        <v>-17</v>
      </c>
      <c r="CQ46" s="134"/>
      <c r="CR46" s="134"/>
      <c r="CS46" s="134"/>
      <c r="CT46" s="134"/>
      <c r="CU46" s="134"/>
      <c r="CV46" s="134"/>
      <c r="CW46" s="134"/>
      <c r="CX46" s="134"/>
      <c r="CY46" s="75"/>
      <c r="CZ46" s="75"/>
      <c r="DA46" s="69"/>
      <c r="DB46" s="69"/>
      <c r="DC46" s="69"/>
      <c r="DD46" s="69"/>
      <c r="DE46" s="69"/>
      <c r="DF46" s="71"/>
      <c r="DG46" s="71"/>
      <c r="DH46" s="71"/>
      <c r="DI46" s="71"/>
      <c r="DJ46" s="71"/>
      <c r="DK46" s="71"/>
      <c r="DL46" s="71"/>
      <c r="DM46" s="71"/>
      <c r="DN46" s="71"/>
      <c r="DO46" s="71"/>
      <c r="DP46" s="71"/>
      <c r="DQ46" s="71"/>
      <c r="DR46" s="71"/>
      <c r="DS46" s="71"/>
      <c r="DT46" s="69">
        <f>SUM(BK46:BN46)</f>
        <v>0</v>
      </c>
      <c r="DU46" s="69">
        <f>SUM(BO46:BR46)</f>
        <v>0</v>
      </c>
      <c r="DV46" s="69">
        <f>SUM(BS46:BV46)</f>
        <v>0</v>
      </c>
      <c r="DW46" s="69">
        <f>SUM(BW46:BZ46)</f>
        <v>0</v>
      </c>
      <c r="DX46" s="69">
        <f>SUM(CA46:CD46)</f>
        <v>0</v>
      </c>
      <c r="DY46" s="69">
        <f>SUM(CE46:CH46)</f>
        <v>3918</v>
      </c>
      <c r="DZ46" s="69">
        <f>SUM(CI46:CL46)</f>
        <v>1798</v>
      </c>
      <c r="EA46" s="69">
        <f>SUM(CM46:CP46)</f>
        <v>11</v>
      </c>
      <c r="EB46" s="69"/>
      <c r="EC46" s="71"/>
      <c r="ED46" s="71"/>
      <c r="EE46" s="71"/>
      <c r="EF46" s="71"/>
      <c r="EG46" s="71"/>
      <c r="EH46" s="71"/>
      <c r="EI46" s="71"/>
      <c r="EJ46" s="71"/>
      <c r="EK46" s="71"/>
      <c r="EL46" s="71"/>
      <c r="EM46" s="71"/>
    </row>
    <row r="47" spans="1:143" s="11" customFormat="1">
      <c r="A47" s="31"/>
      <c r="B47" s="98" t="s">
        <v>473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52"/>
      <c r="AL47" s="40"/>
      <c r="AM47" s="40"/>
      <c r="AN47" s="40"/>
      <c r="AO47" s="40"/>
      <c r="AP47" s="40"/>
      <c r="AQ47" s="67"/>
      <c r="AR47" s="40"/>
      <c r="AS47" s="40"/>
      <c r="AT47" s="40"/>
      <c r="AU47" s="40"/>
      <c r="AV47" s="40"/>
      <c r="AW47" s="40"/>
      <c r="AX47" s="40"/>
      <c r="AY47" s="40">
        <v>27</v>
      </c>
      <c r="AZ47" s="40">
        <v>32</v>
      </c>
      <c r="BA47" s="40"/>
      <c r="BB47" s="40"/>
      <c r="BC47" s="40">
        <v>80</v>
      </c>
      <c r="BD47" s="40">
        <v>112</v>
      </c>
      <c r="BE47" s="40"/>
      <c r="BF47" s="40"/>
      <c r="BG47" s="40">
        <v>123</v>
      </c>
      <c r="BH47" s="40">
        <v>140</v>
      </c>
      <c r="BI47" s="72">
        <v>162</v>
      </c>
      <c r="BJ47" s="72">
        <v>155</v>
      </c>
      <c r="BK47" s="72">
        <v>135</v>
      </c>
      <c r="BL47" s="72">
        <v>156</v>
      </c>
      <c r="BM47" s="72">
        <v>145</v>
      </c>
      <c r="BN47" s="40">
        <v>142</v>
      </c>
      <c r="BO47" s="72">
        <v>153</v>
      </c>
      <c r="BP47" s="40">
        <v>146</v>
      </c>
      <c r="BQ47" s="40">
        <v>128</v>
      </c>
      <c r="BR47" s="40">
        <v>147</v>
      </c>
      <c r="BS47" s="40">
        <v>139</v>
      </c>
      <c r="BT47" s="40">
        <v>155</v>
      </c>
      <c r="BU47" s="40">
        <v>152</v>
      </c>
      <c r="BV47" s="40">
        <v>138</v>
      </c>
      <c r="BW47" s="72">
        <v>142</v>
      </c>
      <c r="BX47" s="72">
        <v>141</v>
      </c>
      <c r="BY47" s="72">
        <v>127</v>
      </c>
      <c r="BZ47" s="72">
        <v>139</v>
      </c>
      <c r="CA47" s="72">
        <v>100</v>
      </c>
      <c r="CB47" s="72">
        <v>116</v>
      </c>
      <c r="CC47" s="72">
        <v>109</v>
      </c>
      <c r="CD47" s="72">
        <v>122</v>
      </c>
      <c r="CE47" s="72">
        <v>103</v>
      </c>
      <c r="CF47" s="72">
        <v>95</v>
      </c>
      <c r="CG47" s="72">
        <v>95</v>
      </c>
      <c r="CH47" s="72">
        <v>91</v>
      </c>
      <c r="CI47" s="72">
        <v>68</v>
      </c>
      <c r="CJ47" s="72">
        <v>73</v>
      </c>
      <c r="CK47" s="72">
        <v>66</v>
      </c>
      <c r="CL47" s="72">
        <v>73</v>
      </c>
      <c r="CM47" s="72">
        <v>45</v>
      </c>
      <c r="CN47" s="72">
        <v>43</v>
      </c>
      <c r="CO47" s="72">
        <v>35</v>
      </c>
      <c r="CP47" s="72">
        <v>39</v>
      </c>
      <c r="CQ47" s="135"/>
      <c r="CR47" s="135"/>
      <c r="CS47" s="135"/>
      <c r="CT47" s="135"/>
      <c r="CU47" s="135"/>
      <c r="CV47" s="135"/>
      <c r="CW47" s="135"/>
      <c r="CX47" s="135"/>
      <c r="CY47" s="72"/>
      <c r="CZ47" s="72"/>
      <c r="DA47" s="40"/>
      <c r="DB47" s="40"/>
      <c r="DC47" s="40"/>
      <c r="DD47" s="39"/>
      <c r="DE47" s="39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69">
        <f>SUM(BK47:BN47)</f>
        <v>578</v>
      </c>
      <c r="DU47" s="69">
        <f>SUM(BO47:BR47)</f>
        <v>574</v>
      </c>
      <c r="DV47" s="69">
        <f>SUM(BS47:BV47)</f>
        <v>584</v>
      </c>
      <c r="DW47" s="69">
        <f>SUM(BW47:BZ47)</f>
        <v>549</v>
      </c>
      <c r="DX47" s="69">
        <f>SUM(CA47:CD47)</f>
        <v>447</v>
      </c>
      <c r="DY47" s="69">
        <f>SUM(CE47:CH47)</f>
        <v>384</v>
      </c>
      <c r="DZ47" s="69">
        <f>SUM(CI47:CL47)</f>
        <v>280</v>
      </c>
      <c r="EA47" s="69">
        <f>SUM(CM47:CP47)</f>
        <v>162</v>
      </c>
      <c r="EB47" s="69"/>
      <c r="EC47" s="40"/>
    </row>
    <row r="48" spans="1:143" s="11" customFormat="1">
      <c r="A48" s="31"/>
      <c r="B48" s="98" t="s">
        <v>518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52"/>
      <c r="AL48" s="40"/>
      <c r="AM48" s="40"/>
      <c r="AN48" s="40"/>
      <c r="AO48" s="40"/>
      <c r="AP48" s="40"/>
      <c r="AQ48" s="67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>
        <v>0</v>
      </c>
      <c r="BH48" s="40">
        <v>32</v>
      </c>
      <c r="BI48" s="72">
        <v>33</v>
      </c>
      <c r="BJ48" s="72">
        <v>32</v>
      </c>
      <c r="BK48" s="72">
        <v>31</v>
      </c>
      <c r="BL48" s="72">
        <v>40</v>
      </c>
      <c r="BM48" s="72">
        <v>42</v>
      </c>
      <c r="BN48" s="40">
        <v>41</v>
      </c>
      <c r="BO48" s="72">
        <v>44</v>
      </c>
      <c r="BP48" s="40">
        <v>48</v>
      </c>
      <c r="BQ48" s="40">
        <v>53</v>
      </c>
      <c r="BR48" s="40">
        <v>53</v>
      </c>
      <c r="BS48" s="40">
        <v>38</v>
      </c>
      <c r="BT48" s="40">
        <v>45</v>
      </c>
      <c r="BU48" s="40">
        <v>52</v>
      </c>
      <c r="BV48" s="40">
        <v>54</v>
      </c>
      <c r="BW48" s="72">
        <v>48</v>
      </c>
      <c r="BX48" s="72">
        <v>56</v>
      </c>
      <c r="BY48" s="72">
        <v>53</v>
      </c>
      <c r="BZ48" s="72">
        <v>58</v>
      </c>
      <c r="CA48" s="72">
        <v>53</v>
      </c>
      <c r="CB48" s="72">
        <v>53</v>
      </c>
      <c r="CC48" s="72">
        <v>57</v>
      </c>
      <c r="CD48" s="72">
        <v>54</v>
      </c>
      <c r="CE48" s="72">
        <v>60</v>
      </c>
      <c r="CF48" s="72">
        <v>54</v>
      </c>
      <c r="CG48" s="72">
        <v>54</v>
      </c>
      <c r="CH48" s="72">
        <v>59</v>
      </c>
      <c r="CI48" s="72">
        <v>51</v>
      </c>
      <c r="CJ48" s="72">
        <v>58</v>
      </c>
      <c r="CK48" s="72">
        <v>52</v>
      </c>
      <c r="CL48" s="72">
        <v>28</v>
      </c>
      <c r="CM48" s="72">
        <v>13</v>
      </c>
      <c r="CN48" s="72">
        <v>17</v>
      </c>
      <c r="CO48" s="72">
        <v>11</v>
      </c>
      <c r="CP48" s="72">
        <v>13</v>
      </c>
      <c r="CQ48" s="135"/>
      <c r="CR48" s="135"/>
      <c r="CS48" s="135"/>
      <c r="CT48" s="135"/>
      <c r="CU48" s="135"/>
      <c r="CV48" s="135"/>
      <c r="CW48" s="135"/>
      <c r="CX48" s="135"/>
      <c r="CY48" s="72"/>
      <c r="CZ48" s="72"/>
      <c r="DA48" s="40"/>
      <c r="DB48" s="40"/>
      <c r="DC48" s="40"/>
      <c r="DD48" s="39"/>
      <c r="DE48" s="39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69">
        <f>SUM(BK48:BN48)</f>
        <v>154</v>
      </c>
      <c r="DU48" s="69">
        <f>SUM(BO48:BR48)</f>
        <v>198</v>
      </c>
      <c r="DV48" s="69">
        <f>SUM(BS48:BV48)</f>
        <v>189</v>
      </c>
      <c r="DW48" s="69">
        <f>SUM(BW48:BZ48)</f>
        <v>215</v>
      </c>
      <c r="DX48" s="69">
        <f>SUM(CA48:CD48)</f>
        <v>217</v>
      </c>
      <c r="DY48" s="69">
        <f>SUM(CE48:CH48)</f>
        <v>227</v>
      </c>
      <c r="DZ48" s="69">
        <f>SUM(CI48:CL48)</f>
        <v>189</v>
      </c>
      <c r="EA48" s="69">
        <f>SUM(CM48:CP48)</f>
        <v>54</v>
      </c>
      <c r="EB48" s="69"/>
      <c r="EC48" s="63"/>
    </row>
    <row r="49" spans="1:143" s="11" customFormat="1">
      <c r="A49" s="31"/>
      <c r="B49" s="98" t="s">
        <v>233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52">
        <v>9</v>
      </c>
      <c r="AL49" s="40">
        <v>2</v>
      </c>
      <c r="AM49" s="40">
        <v>4</v>
      </c>
      <c r="AN49" s="40">
        <v>14</v>
      </c>
      <c r="AO49" s="40">
        <v>19</v>
      </c>
      <c r="AP49" s="40">
        <v>32</v>
      </c>
      <c r="AQ49" s="67">
        <v>35</v>
      </c>
      <c r="AR49" s="40">
        <f>AQ49+5</f>
        <v>40</v>
      </c>
      <c r="AS49" s="40">
        <v>59</v>
      </c>
      <c r="AT49" s="40">
        <v>71</v>
      </c>
      <c r="AU49" s="40">
        <v>72</v>
      </c>
      <c r="AV49" s="40"/>
      <c r="AW49" s="40"/>
      <c r="AX49" s="40"/>
      <c r="AY49" s="40">
        <v>90</v>
      </c>
      <c r="AZ49" s="40">
        <v>102</v>
      </c>
      <c r="BA49" s="40"/>
      <c r="BB49" s="40"/>
      <c r="BC49" s="40">
        <v>162</v>
      </c>
      <c r="BD49" s="40">
        <v>238</v>
      </c>
      <c r="BE49" s="40"/>
      <c r="BF49" s="40"/>
      <c r="BG49" s="40">
        <v>183</v>
      </c>
      <c r="BH49" s="40">
        <v>208</v>
      </c>
      <c r="BI49" s="72">
        <v>203</v>
      </c>
      <c r="BJ49" s="72">
        <v>192</v>
      </c>
      <c r="BK49" s="72">
        <v>211</v>
      </c>
      <c r="BL49" s="72">
        <v>191</v>
      </c>
      <c r="BM49" s="72">
        <v>169</v>
      </c>
      <c r="BN49" s="40">
        <v>149</v>
      </c>
      <c r="BO49" s="72">
        <v>154</v>
      </c>
      <c r="BP49" s="40">
        <v>150</v>
      </c>
      <c r="BQ49" s="40">
        <v>127</v>
      </c>
      <c r="BR49" s="40">
        <v>180</v>
      </c>
      <c r="BS49" s="40">
        <v>129</v>
      </c>
      <c r="BT49" s="40">
        <v>126</v>
      </c>
      <c r="BU49" s="40">
        <v>140</v>
      </c>
      <c r="BV49" s="40">
        <v>148</v>
      </c>
      <c r="BW49" s="72">
        <v>153</v>
      </c>
      <c r="BX49" s="72">
        <v>116</v>
      </c>
      <c r="BY49" s="72">
        <v>127</v>
      </c>
      <c r="BZ49" s="72">
        <v>131</v>
      </c>
      <c r="CA49" s="72">
        <v>141</v>
      </c>
      <c r="CB49" s="72">
        <v>115</v>
      </c>
      <c r="CC49" s="72">
        <v>110</v>
      </c>
      <c r="CD49" s="72">
        <v>105</v>
      </c>
      <c r="CE49" s="72">
        <v>101</v>
      </c>
      <c r="CF49" s="72">
        <v>99</v>
      </c>
      <c r="CG49" s="72">
        <v>84</v>
      </c>
      <c r="CH49" s="72">
        <v>75</v>
      </c>
      <c r="CI49" s="72">
        <v>68</v>
      </c>
      <c r="CJ49" s="72">
        <v>71</v>
      </c>
      <c r="CK49" s="72">
        <v>66</v>
      </c>
      <c r="CL49" s="72">
        <v>52</v>
      </c>
      <c r="CM49" s="72">
        <v>63</v>
      </c>
      <c r="CN49" s="72">
        <v>65</v>
      </c>
      <c r="CO49" s="72">
        <v>53</v>
      </c>
      <c r="CP49" s="72">
        <v>47</v>
      </c>
      <c r="CQ49" s="135"/>
      <c r="CR49" s="135"/>
      <c r="CS49" s="135"/>
      <c r="CT49" s="135"/>
      <c r="CU49" s="135"/>
      <c r="CV49" s="135"/>
      <c r="CW49" s="135"/>
      <c r="CX49" s="135"/>
      <c r="CY49" s="72"/>
      <c r="CZ49" s="72"/>
      <c r="DA49" s="40"/>
      <c r="DB49" s="40"/>
      <c r="DC49" s="40"/>
      <c r="DD49" s="39"/>
      <c r="DE49" s="39"/>
      <c r="DF49" s="40"/>
      <c r="DG49" s="40"/>
      <c r="DH49" s="40"/>
      <c r="DI49" s="40"/>
      <c r="DJ49" s="40"/>
      <c r="DK49" s="40"/>
      <c r="DL49" s="40"/>
      <c r="DM49" s="40">
        <f>SUM(AI49:AL49)</f>
        <v>11</v>
      </c>
      <c r="DN49" s="40">
        <f>SUM(AM49:AP49)</f>
        <v>69</v>
      </c>
      <c r="DO49" s="40">
        <f>SUM(AQ49:AT49)</f>
        <v>205</v>
      </c>
      <c r="DP49" s="40">
        <f>SUM(AU49:AX49)</f>
        <v>72</v>
      </c>
      <c r="DQ49" s="40"/>
      <c r="DR49" s="40"/>
      <c r="DS49" s="40"/>
      <c r="DT49" s="69">
        <f>SUM(BK49:BN49)</f>
        <v>720</v>
      </c>
      <c r="DU49" s="69">
        <f>SUM(BO49:BR49)</f>
        <v>611</v>
      </c>
      <c r="DV49" s="69">
        <f>SUM(BS49:BV49)</f>
        <v>543</v>
      </c>
      <c r="DW49" s="69">
        <f>SUM(BW49:BZ49)</f>
        <v>527</v>
      </c>
      <c r="DX49" s="69">
        <f>SUM(CA49:CD49)</f>
        <v>471</v>
      </c>
      <c r="DY49" s="69">
        <f>SUM(CE49:CH49)</f>
        <v>359</v>
      </c>
      <c r="DZ49" s="69">
        <f>SUM(CI49:CL49)</f>
        <v>257</v>
      </c>
      <c r="EA49" s="69">
        <f>SUM(CM49:CP49)</f>
        <v>228</v>
      </c>
      <c r="EB49" s="69"/>
      <c r="EC49" s="40"/>
    </row>
    <row r="50" spans="1:143" s="11" customFormat="1">
      <c r="A50" s="31"/>
      <c r="B50" s="131" t="s">
        <v>619</v>
      </c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70"/>
      <c r="AL50" s="69"/>
      <c r="AM50" s="69"/>
      <c r="AN50" s="69"/>
      <c r="AO50" s="69"/>
      <c r="AP50" s="69"/>
      <c r="AQ50" s="70"/>
      <c r="AR50" s="69"/>
      <c r="AS50" s="69"/>
      <c r="AT50" s="69"/>
      <c r="AU50" s="69"/>
      <c r="AV50" s="69"/>
      <c r="AW50" s="69"/>
      <c r="AX50" s="69"/>
      <c r="AY50" s="69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69">
        <v>0</v>
      </c>
      <c r="BW50" s="75"/>
      <c r="BX50" s="75"/>
      <c r="BY50" s="75"/>
      <c r="BZ50" s="75"/>
      <c r="CA50" s="75"/>
      <c r="CB50" s="75"/>
      <c r="CC50" s="75"/>
      <c r="CD50" s="75"/>
      <c r="CE50" s="75"/>
      <c r="CF50" s="75"/>
      <c r="CG50" s="75"/>
      <c r="CH50" s="75"/>
      <c r="CI50" s="75"/>
      <c r="CJ50" s="75"/>
      <c r="CK50" s="75"/>
      <c r="CL50" s="75">
        <v>0</v>
      </c>
      <c r="CM50" s="75">
        <v>0</v>
      </c>
      <c r="CN50" s="75">
        <v>0</v>
      </c>
      <c r="CO50" s="75">
        <v>0</v>
      </c>
      <c r="CP50" s="75">
        <v>0</v>
      </c>
      <c r="CQ50" s="75">
        <v>7</v>
      </c>
      <c r="CR50" s="75">
        <v>14</v>
      </c>
      <c r="CS50" s="75">
        <f>+CR50+3</f>
        <v>17</v>
      </c>
      <c r="CT50" s="75">
        <f>+CS50+3</f>
        <v>20</v>
      </c>
      <c r="CU50" s="75">
        <f>+CT50+3</f>
        <v>23</v>
      </c>
      <c r="CV50" s="75">
        <f>+CU50+3</f>
        <v>26</v>
      </c>
      <c r="CW50" s="75">
        <f>+CV50+3</f>
        <v>29</v>
      </c>
      <c r="CX50" s="75">
        <f>+CW50+3</f>
        <v>32</v>
      </c>
      <c r="CY50" s="75"/>
      <c r="CZ50" s="75"/>
      <c r="DA50" s="69"/>
      <c r="DB50" s="69"/>
      <c r="DC50" s="69"/>
      <c r="DD50" s="69"/>
      <c r="DE50" s="69"/>
      <c r="DF50" s="71"/>
      <c r="DG50" s="71"/>
      <c r="DH50" s="71"/>
      <c r="DI50" s="71"/>
      <c r="DJ50" s="71"/>
      <c r="DK50" s="71"/>
      <c r="DL50" s="71"/>
      <c r="DM50" s="71"/>
      <c r="DN50" s="71"/>
      <c r="DO50" s="71"/>
      <c r="DP50" s="71"/>
      <c r="DQ50" s="71"/>
      <c r="DR50" s="71"/>
      <c r="DS50" s="71"/>
      <c r="DT50" s="69">
        <f t="shared" si="13"/>
        <v>0</v>
      </c>
      <c r="DU50" s="69">
        <f t="shared" si="11"/>
        <v>0</v>
      </c>
      <c r="DV50" s="69">
        <f t="shared" si="31"/>
        <v>0</v>
      </c>
      <c r="DW50" s="69"/>
      <c r="DX50" s="69"/>
      <c r="DY50" s="69"/>
      <c r="DZ50" s="69"/>
      <c r="EA50" s="69">
        <f t="shared" si="21"/>
        <v>0</v>
      </c>
      <c r="EB50" s="69">
        <f t="shared" si="51"/>
        <v>58</v>
      </c>
      <c r="EC50" s="69">
        <f>+EB50*1.9</f>
        <v>110.19999999999999</v>
      </c>
      <c r="ED50" s="69">
        <f>+EC50*1.9</f>
        <v>209.37999999999997</v>
      </c>
      <c r="EE50" s="63">
        <f>+ED50*1.05</f>
        <v>219.84899999999996</v>
      </c>
      <c r="EF50" s="63">
        <f t="shared" ref="EF50:EM50" si="54">+EE50*1.05</f>
        <v>230.84144999999998</v>
      </c>
      <c r="EG50" s="63">
        <f t="shared" si="54"/>
        <v>242.3835225</v>
      </c>
      <c r="EH50" s="63">
        <f t="shared" si="54"/>
        <v>254.50269862500002</v>
      </c>
      <c r="EI50" s="63">
        <f t="shared" si="54"/>
        <v>267.22783355625006</v>
      </c>
      <c r="EJ50" s="63">
        <f t="shared" si="54"/>
        <v>280.58922523406255</v>
      </c>
      <c r="EK50" s="63">
        <f t="shared" si="54"/>
        <v>294.6186864957657</v>
      </c>
      <c r="EL50" s="63">
        <f t="shared" si="54"/>
        <v>309.34962082055398</v>
      </c>
      <c r="EM50" s="63">
        <f t="shared" si="54"/>
        <v>324.8171018615817</v>
      </c>
    </row>
    <row r="51" spans="1:143" s="11" customFormat="1">
      <c r="A51" s="31"/>
      <c r="B51" s="97" t="s">
        <v>510</v>
      </c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70"/>
      <c r="AL51" s="69"/>
      <c r="AM51" s="69"/>
      <c r="AN51" s="69"/>
      <c r="AO51" s="69"/>
      <c r="AP51" s="69"/>
      <c r="AQ51" s="70"/>
      <c r="AR51" s="69"/>
      <c r="AS51" s="69"/>
      <c r="AT51" s="69"/>
      <c r="AU51" s="69"/>
      <c r="AV51" s="69"/>
      <c r="AW51" s="69"/>
      <c r="AX51" s="69"/>
      <c r="AY51" s="69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69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0</v>
      </c>
      <c r="CE51" s="75">
        <v>0</v>
      </c>
      <c r="CF51" s="75">
        <v>0</v>
      </c>
      <c r="CG51" s="75">
        <v>10</v>
      </c>
      <c r="CH51" s="75">
        <v>6</v>
      </c>
      <c r="CI51" s="75">
        <v>13</v>
      </c>
      <c r="CJ51" s="75">
        <v>11</v>
      </c>
      <c r="CK51" s="75">
        <v>11</v>
      </c>
      <c r="CL51" s="75">
        <v>-1</v>
      </c>
      <c r="CM51" s="75">
        <v>8</v>
      </c>
      <c r="CN51" s="75">
        <v>13</v>
      </c>
      <c r="CO51" s="75">
        <v>12</v>
      </c>
      <c r="CP51" s="75">
        <v>11</v>
      </c>
      <c r="CQ51" s="75">
        <v>12</v>
      </c>
      <c r="CR51" s="75">
        <v>13</v>
      </c>
      <c r="CS51" s="75">
        <f>+CO51</f>
        <v>12</v>
      </c>
      <c r="CT51" s="75">
        <f t="shared" ref="CT51:CX51" si="55">+CP51</f>
        <v>11</v>
      </c>
      <c r="CU51" s="75">
        <f t="shared" si="55"/>
        <v>12</v>
      </c>
      <c r="CV51" s="75">
        <f t="shared" si="55"/>
        <v>13</v>
      </c>
      <c r="CW51" s="75">
        <f t="shared" si="55"/>
        <v>12</v>
      </c>
      <c r="CX51" s="75">
        <f t="shared" si="55"/>
        <v>11</v>
      </c>
      <c r="CY51" s="75"/>
      <c r="CZ51" s="75"/>
      <c r="DA51" s="69"/>
      <c r="DB51" s="69"/>
      <c r="DC51" s="69"/>
      <c r="DD51" s="69"/>
      <c r="DE51" s="69"/>
      <c r="DF51" s="71"/>
      <c r="DG51" s="71"/>
      <c r="DH51" s="71"/>
      <c r="DI51" s="71"/>
      <c r="DJ51" s="71"/>
      <c r="DK51" s="71"/>
      <c r="DL51" s="71"/>
      <c r="DM51" s="71"/>
      <c r="DN51" s="71"/>
      <c r="DO51" s="71"/>
      <c r="DP51" s="71"/>
      <c r="DQ51" s="71"/>
      <c r="DR51" s="71"/>
      <c r="DS51" s="71"/>
      <c r="DT51" s="69">
        <f t="shared" si="13"/>
        <v>0</v>
      </c>
      <c r="DU51" s="69">
        <f t="shared" si="11"/>
        <v>0</v>
      </c>
      <c r="DV51" s="69">
        <f t="shared" si="31"/>
        <v>0</v>
      </c>
      <c r="DW51" s="69">
        <f t="shared" si="8"/>
        <v>0</v>
      </c>
      <c r="DX51" s="69">
        <f t="shared" si="9"/>
        <v>0</v>
      </c>
      <c r="DY51" s="69">
        <f t="shared" ref="DY51:DY82" si="56">SUM(CE51:CH51)</f>
        <v>16</v>
      </c>
      <c r="DZ51" s="69">
        <f t="shared" ref="DZ51:DZ82" si="57">SUM(CI51:CL51)</f>
        <v>34</v>
      </c>
      <c r="EA51" s="69">
        <f t="shared" ref="EA51:EA82" si="58">SUM(CM51:CP51)</f>
        <v>44</v>
      </c>
      <c r="EB51" s="69">
        <f t="shared" si="51"/>
        <v>48</v>
      </c>
      <c r="EC51" s="69">
        <f>+EB51*1.05</f>
        <v>50.400000000000006</v>
      </c>
      <c r="ED51" s="69">
        <f t="shared" ref="ED51:EM51" si="59">+EC51*1.05</f>
        <v>52.920000000000009</v>
      </c>
      <c r="EE51" s="69">
        <f t="shared" si="59"/>
        <v>55.56600000000001</v>
      </c>
      <c r="EF51" s="69">
        <f t="shared" si="59"/>
        <v>58.344300000000011</v>
      </c>
      <c r="EG51" s="69">
        <f t="shared" si="59"/>
        <v>61.261515000000017</v>
      </c>
      <c r="EH51" s="69">
        <f t="shared" si="59"/>
        <v>64.324590750000027</v>
      </c>
      <c r="EI51" s="69">
        <f t="shared" si="59"/>
        <v>67.540820287500026</v>
      </c>
      <c r="EJ51" s="69">
        <f t="shared" si="59"/>
        <v>70.917861301875035</v>
      </c>
      <c r="EK51" s="69">
        <f t="shared" si="59"/>
        <v>74.463754366968786</v>
      </c>
      <c r="EL51" s="69">
        <f t="shared" si="59"/>
        <v>78.186942085317227</v>
      </c>
      <c r="EM51" s="69">
        <f t="shared" si="59"/>
        <v>82.096289189583089</v>
      </c>
    </row>
    <row r="52" spans="1:143" s="11" customFormat="1">
      <c r="A52" s="31"/>
      <c r="B52" s="98" t="s">
        <v>238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>
        <v>0</v>
      </c>
      <c r="AD52" s="40">
        <v>53</v>
      </c>
      <c r="AE52" s="40"/>
      <c r="AF52" s="40">
        <v>0</v>
      </c>
      <c r="AG52" s="40">
        <v>71</v>
      </c>
      <c r="AH52" s="40">
        <v>33</v>
      </c>
      <c r="AI52" s="40">
        <v>2</v>
      </c>
      <c r="AJ52" s="40">
        <v>0</v>
      </c>
      <c r="AK52" s="52">
        <v>92</v>
      </c>
      <c r="AL52" s="40">
        <v>51</v>
      </c>
      <c r="AM52" s="40">
        <v>2</v>
      </c>
      <c r="AN52" s="40">
        <v>1</v>
      </c>
      <c r="AO52" s="40">
        <v>120</v>
      </c>
      <c r="AP52" s="40">
        <v>51</v>
      </c>
      <c r="AQ52" s="67">
        <v>3</v>
      </c>
      <c r="AR52" s="40">
        <f>AN52</f>
        <v>1</v>
      </c>
      <c r="AS52" s="40">
        <v>124</v>
      </c>
      <c r="AT52" s="40">
        <v>34</v>
      </c>
      <c r="AU52" s="40">
        <v>2</v>
      </c>
      <c r="AV52" s="40"/>
      <c r="AW52" s="40"/>
      <c r="AX52" s="40"/>
      <c r="AY52" s="40"/>
      <c r="AZ52" s="40"/>
      <c r="BA52" s="40"/>
      <c r="BB52" s="40"/>
      <c r="BC52" s="40">
        <v>7</v>
      </c>
      <c r="BD52" s="40">
        <v>5</v>
      </c>
      <c r="BE52" s="40"/>
      <c r="BF52" s="40"/>
      <c r="BG52" s="40">
        <v>7</v>
      </c>
      <c r="BH52" s="40">
        <v>14</v>
      </c>
      <c r="BI52" s="72">
        <v>76</v>
      </c>
      <c r="BJ52" s="72">
        <v>191</v>
      </c>
      <c r="BK52" s="72">
        <v>5</v>
      </c>
      <c r="BL52" s="72">
        <v>6</v>
      </c>
      <c r="BM52" s="72">
        <v>26</v>
      </c>
      <c r="BN52" s="40">
        <v>67</v>
      </c>
      <c r="BO52" s="72">
        <v>0</v>
      </c>
      <c r="BP52" s="40">
        <v>0</v>
      </c>
      <c r="BQ52" s="40">
        <v>20</v>
      </c>
      <c r="BR52" s="40">
        <v>58</v>
      </c>
      <c r="BS52" s="40">
        <v>0</v>
      </c>
      <c r="BT52" s="40">
        <v>0</v>
      </c>
      <c r="BU52" s="40">
        <v>35</v>
      </c>
      <c r="BV52" s="40">
        <v>75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72">
        <v>0</v>
      </c>
      <c r="CC52" s="72">
        <v>116</v>
      </c>
      <c r="CD52" s="72">
        <v>179</v>
      </c>
      <c r="CE52" s="72">
        <v>2</v>
      </c>
      <c r="CF52" s="72">
        <v>1</v>
      </c>
      <c r="CG52" s="72">
        <v>72</v>
      </c>
      <c r="CH52" s="72">
        <v>178</v>
      </c>
      <c r="CI52" s="72">
        <v>-1</v>
      </c>
      <c r="CJ52" s="72">
        <v>1</v>
      </c>
      <c r="CK52" s="72">
        <v>59</v>
      </c>
      <c r="CL52" s="72">
        <v>116</v>
      </c>
      <c r="CM52" s="72">
        <v>2</v>
      </c>
      <c r="CN52" s="72">
        <v>0</v>
      </c>
      <c r="CO52" s="72">
        <v>75</v>
      </c>
      <c r="CP52" s="72">
        <v>138</v>
      </c>
      <c r="CQ52" s="72">
        <v>7</v>
      </c>
      <c r="CR52" s="72">
        <v>2</v>
      </c>
      <c r="CS52" s="72">
        <f>+CO52</f>
        <v>75</v>
      </c>
      <c r="CT52" s="72">
        <f t="shared" ref="CT52:CX52" si="60">+CP52</f>
        <v>138</v>
      </c>
      <c r="CU52" s="72">
        <f t="shared" si="60"/>
        <v>7</v>
      </c>
      <c r="CV52" s="72">
        <f t="shared" si="60"/>
        <v>2</v>
      </c>
      <c r="CW52" s="72">
        <f t="shared" si="60"/>
        <v>75</v>
      </c>
      <c r="CX52" s="72">
        <f t="shared" si="60"/>
        <v>138</v>
      </c>
      <c r="CY52" s="72"/>
      <c r="CZ52" s="72"/>
      <c r="DA52" s="40"/>
      <c r="DB52" s="40"/>
      <c r="DC52" s="40"/>
      <c r="DD52" s="39"/>
      <c r="DE52" s="39"/>
      <c r="DF52" s="40"/>
      <c r="DG52" s="40"/>
      <c r="DH52" s="40"/>
      <c r="DI52" s="40"/>
      <c r="DJ52" s="40"/>
      <c r="DK52" s="40"/>
      <c r="DL52" s="40"/>
      <c r="DM52" s="40">
        <f>SUM(AI52:AL52)</f>
        <v>145</v>
      </c>
      <c r="DN52" s="40">
        <f>SUM(AM52:AP52)</f>
        <v>174</v>
      </c>
      <c r="DO52" s="40">
        <f>SUM(AQ52:AT52)</f>
        <v>162</v>
      </c>
      <c r="DP52" s="40">
        <f>SUM(AU52:AX52)</f>
        <v>2</v>
      </c>
      <c r="DQ52" s="40"/>
      <c r="DR52" s="40"/>
      <c r="DS52" s="40"/>
      <c r="DT52" s="69">
        <f t="shared" si="13"/>
        <v>104</v>
      </c>
      <c r="DU52" s="69">
        <f t="shared" si="11"/>
        <v>78</v>
      </c>
      <c r="DV52" s="69">
        <f t="shared" si="31"/>
        <v>110</v>
      </c>
      <c r="DW52" s="69">
        <f t="shared" si="8"/>
        <v>0</v>
      </c>
      <c r="DX52" s="69">
        <f t="shared" si="9"/>
        <v>295</v>
      </c>
      <c r="DY52" s="69">
        <f t="shared" si="56"/>
        <v>253</v>
      </c>
      <c r="DZ52" s="69">
        <f t="shared" si="57"/>
        <v>175</v>
      </c>
      <c r="EA52" s="69">
        <f t="shared" si="58"/>
        <v>215</v>
      </c>
      <c r="EB52" s="69">
        <f t="shared" si="51"/>
        <v>222</v>
      </c>
      <c r="EC52" s="69">
        <f t="shared" ref="EC52:EM52" si="61">+EB52*1.05</f>
        <v>233.10000000000002</v>
      </c>
      <c r="ED52" s="69">
        <f t="shared" si="61"/>
        <v>244.75500000000002</v>
      </c>
      <c r="EE52" s="69">
        <f t="shared" si="61"/>
        <v>256.99275000000006</v>
      </c>
      <c r="EF52" s="69">
        <f t="shared" si="61"/>
        <v>269.84238750000009</v>
      </c>
      <c r="EG52" s="69">
        <f t="shared" si="61"/>
        <v>283.3345068750001</v>
      </c>
      <c r="EH52" s="69">
        <f t="shared" si="61"/>
        <v>297.50123221875015</v>
      </c>
      <c r="EI52" s="69">
        <f t="shared" si="61"/>
        <v>312.37629382968765</v>
      </c>
      <c r="EJ52" s="69">
        <f t="shared" si="61"/>
        <v>327.99510852117203</v>
      </c>
      <c r="EK52" s="69">
        <f t="shared" si="61"/>
        <v>344.39486394723065</v>
      </c>
      <c r="EL52" s="69">
        <f t="shared" si="61"/>
        <v>361.61460714459218</v>
      </c>
      <c r="EM52" s="69">
        <f t="shared" si="61"/>
        <v>379.69533750182183</v>
      </c>
    </row>
    <row r="53" spans="1:143" s="11" customFormat="1">
      <c r="A53" s="31"/>
      <c r="B53" s="130" t="s">
        <v>623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52"/>
      <c r="AL53" s="40"/>
      <c r="AM53" s="40"/>
      <c r="AN53" s="40"/>
      <c r="AO53" s="40"/>
      <c r="AP53" s="40"/>
      <c r="AQ53" s="67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>
        <v>0</v>
      </c>
      <c r="BH53" s="40">
        <v>5</v>
      </c>
      <c r="BI53" s="72">
        <v>8</v>
      </c>
      <c r="BJ53" s="72">
        <v>12</v>
      </c>
      <c r="BK53" s="72">
        <v>13</v>
      </c>
      <c r="BL53" s="72">
        <v>17</v>
      </c>
      <c r="BM53" s="72">
        <v>14</v>
      </c>
      <c r="BN53" s="40">
        <v>19</v>
      </c>
      <c r="BO53" s="72">
        <v>19</v>
      </c>
      <c r="BP53" s="40">
        <v>16</v>
      </c>
      <c r="BQ53" s="40">
        <v>21</v>
      </c>
      <c r="BR53" s="40">
        <v>23</v>
      </c>
      <c r="BS53" s="40">
        <v>28</v>
      </c>
      <c r="BT53" s="40">
        <v>22</v>
      </c>
      <c r="BU53" s="40">
        <v>23</v>
      </c>
      <c r="BV53" s="40">
        <v>22</v>
      </c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135"/>
      <c r="CR53" s="135"/>
      <c r="CS53" s="135"/>
      <c r="CT53" s="135"/>
      <c r="CU53" s="135"/>
      <c r="CV53" s="135"/>
      <c r="CW53" s="135"/>
      <c r="CX53" s="135"/>
      <c r="CY53" s="72"/>
      <c r="CZ53" s="72"/>
      <c r="DA53" s="40"/>
      <c r="DB53" s="40"/>
      <c r="DC53" s="40"/>
      <c r="DD53" s="39"/>
      <c r="DE53" s="39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69">
        <f t="shared" si="13"/>
        <v>63</v>
      </c>
      <c r="DU53" s="69">
        <f t="shared" si="11"/>
        <v>79</v>
      </c>
      <c r="DV53" s="69">
        <f t="shared" si="31"/>
        <v>95</v>
      </c>
      <c r="DW53" s="69"/>
      <c r="DX53" s="69"/>
      <c r="DY53" s="69"/>
      <c r="DZ53" s="69"/>
      <c r="EA53" s="69"/>
      <c r="EB53" s="69"/>
    </row>
    <row r="54" spans="1:143" s="11" customFormat="1">
      <c r="A54" s="31"/>
      <c r="B54" s="130" t="s">
        <v>624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52"/>
      <c r="AL54" s="40"/>
      <c r="AM54" s="40"/>
      <c r="AN54" s="40"/>
      <c r="AO54" s="40"/>
      <c r="AP54" s="40"/>
      <c r="AQ54" s="67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>
        <v>0</v>
      </c>
      <c r="BD54" s="40"/>
      <c r="BE54" s="40"/>
      <c r="BF54" s="40"/>
      <c r="BG54" s="40">
        <v>30</v>
      </c>
      <c r="BH54" s="40">
        <v>55</v>
      </c>
      <c r="BI54" s="72">
        <v>58</v>
      </c>
      <c r="BJ54" s="72">
        <v>47</v>
      </c>
      <c r="BK54" s="72">
        <v>39</v>
      </c>
      <c r="BL54" s="72">
        <v>48</v>
      </c>
      <c r="BM54" s="72">
        <v>47</v>
      </c>
      <c r="BN54" s="40">
        <v>36</v>
      </c>
      <c r="BO54" s="72">
        <v>37</v>
      </c>
      <c r="BP54" s="40">
        <v>34</v>
      </c>
      <c r="BQ54" s="40">
        <v>37</v>
      </c>
      <c r="BR54" s="40">
        <v>42</v>
      </c>
      <c r="BS54" s="40">
        <v>34</v>
      </c>
      <c r="BT54" s="40">
        <v>39</v>
      </c>
      <c r="BU54" s="40">
        <v>18</v>
      </c>
      <c r="BV54" s="40">
        <v>19</v>
      </c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135"/>
      <c r="CR54" s="135"/>
      <c r="CS54" s="135"/>
      <c r="CT54" s="135"/>
      <c r="CU54" s="135"/>
      <c r="CV54" s="135"/>
      <c r="CW54" s="135"/>
      <c r="CX54" s="135"/>
      <c r="CY54" s="72"/>
      <c r="CZ54" s="72"/>
      <c r="DA54" s="40"/>
      <c r="DB54" s="40"/>
      <c r="DC54" s="40"/>
      <c r="DD54" s="39"/>
      <c r="DE54" s="39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69">
        <f t="shared" si="13"/>
        <v>170</v>
      </c>
      <c r="DU54" s="69">
        <f t="shared" si="11"/>
        <v>150</v>
      </c>
      <c r="DV54" s="69">
        <f t="shared" si="31"/>
        <v>110</v>
      </c>
      <c r="DW54" s="69"/>
      <c r="DX54" s="69"/>
      <c r="DY54" s="69"/>
      <c r="DZ54" s="69"/>
      <c r="EA54" s="69"/>
      <c r="EB54" s="69"/>
    </row>
    <row r="55" spans="1:143" s="11" customFormat="1">
      <c r="A55" s="31"/>
      <c r="B55" s="130" t="s">
        <v>626</v>
      </c>
      <c r="C55" s="40">
        <v>12</v>
      </c>
      <c r="D55" s="40">
        <v>9</v>
      </c>
      <c r="E55" s="40">
        <v>9</v>
      </c>
      <c r="F55" s="40">
        <v>14</v>
      </c>
      <c r="G55" s="40">
        <v>13</v>
      </c>
      <c r="H55" s="40">
        <v>17</v>
      </c>
      <c r="I55" s="40">
        <v>15</v>
      </c>
      <c r="J55" s="40">
        <v>18</v>
      </c>
      <c r="K55" s="40">
        <v>18</v>
      </c>
      <c r="L55" s="40">
        <v>17</v>
      </c>
      <c r="M55" s="40">
        <v>18</v>
      </c>
      <c r="N55" s="40">
        <v>23</v>
      </c>
      <c r="O55" s="40">
        <v>21</v>
      </c>
      <c r="P55" s="40">
        <v>17</v>
      </c>
      <c r="Q55" s="40">
        <v>26</v>
      </c>
      <c r="R55" s="40">
        <v>24</v>
      </c>
      <c r="S55" s="40">
        <v>17</v>
      </c>
      <c r="T55" s="40">
        <v>19</v>
      </c>
      <c r="U55" s="40">
        <v>15</v>
      </c>
      <c r="V55" s="40">
        <v>19</v>
      </c>
      <c r="W55" s="40">
        <v>18</v>
      </c>
      <c r="X55" s="40">
        <v>15</v>
      </c>
      <c r="Y55" s="40">
        <v>21</v>
      </c>
      <c r="Z55" s="40">
        <v>24</v>
      </c>
      <c r="AA55" s="40">
        <v>20</v>
      </c>
      <c r="AB55" s="40">
        <v>20</v>
      </c>
      <c r="AC55" s="40">
        <v>20</v>
      </c>
      <c r="AD55" s="40">
        <v>24</v>
      </c>
      <c r="AE55" s="40">
        <v>20</v>
      </c>
      <c r="AF55" s="40">
        <v>21</v>
      </c>
      <c r="AG55" s="40">
        <v>25</v>
      </c>
      <c r="AH55" s="40">
        <v>23</v>
      </c>
      <c r="AI55" s="40">
        <v>24</v>
      </c>
      <c r="AJ55" s="40">
        <v>23</v>
      </c>
      <c r="AK55" s="52">
        <v>34</v>
      </c>
      <c r="AL55" s="40">
        <v>25</v>
      </c>
      <c r="AM55" s="40">
        <v>32</v>
      </c>
      <c r="AN55" s="40">
        <v>38</v>
      </c>
      <c r="AO55" s="40">
        <v>37</v>
      </c>
      <c r="AP55" s="40">
        <v>26</v>
      </c>
      <c r="AQ55" s="67">
        <v>39</v>
      </c>
      <c r="AR55" s="40">
        <f>AQ55</f>
        <v>39</v>
      </c>
      <c r="AS55" s="40">
        <v>37</v>
      </c>
      <c r="AT55" s="40">
        <v>49</v>
      </c>
      <c r="AU55" s="40">
        <v>52</v>
      </c>
      <c r="AV55" s="40"/>
      <c r="AW55" s="40"/>
      <c r="AX55" s="40"/>
      <c r="AY55" s="40"/>
      <c r="AZ55" s="40"/>
      <c r="BA55" s="40"/>
      <c r="BB55" s="40"/>
      <c r="BC55" s="40">
        <v>203</v>
      </c>
      <c r="BD55" s="40">
        <v>206</v>
      </c>
      <c r="BE55" s="40"/>
      <c r="BF55" s="40"/>
      <c r="BG55" s="40">
        <v>388</v>
      </c>
      <c r="BH55" s="40">
        <v>375</v>
      </c>
      <c r="BI55" s="72">
        <v>361</v>
      </c>
      <c r="BJ55" s="72">
        <v>379</v>
      </c>
      <c r="BK55" s="72">
        <v>322</v>
      </c>
      <c r="BL55" s="72">
        <v>314</v>
      </c>
      <c r="BM55" s="72">
        <v>270</v>
      </c>
      <c r="BN55" s="40">
        <v>246</v>
      </c>
      <c r="BO55" s="72">
        <v>142</v>
      </c>
      <c r="BP55" s="40">
        <v>213</v>
      </c>
      <c r="BQ55" s="40">
        <v>191</v>
      </c>
      <c r="BR55" s="40">
        <v>168</v>
      </c>
      <c r="BS55" s="40">
        <v>107</v>
      </c>
      <c r="BT55" s="40">
        <v>103</v>
      </c>
      <c r="BU55" s="40">
        <v>72</v>
      </c>
      <c r="BV55" s="40">
        <v>35</v>
      </c>
      <c r="BW55" s="72">
        <v>47</v>
      </c>
      <c r="BX55" s="72">
        <v>52</v>
      </c>
      <c r="BY55" s="72">
        <v>56</v>
      </c>
      <c r="BZ55" s="72">
        <v>151</v>
      </c>
      <c r="CA55" s="72">
        <v>44</v>
      </c>
      <c r="CB55" s="72">
        <v>24</v>
      </c>
      <c r="CC55" s="72">
        <v>19</v>
      </c>
      <c r="CD55" s="72">
        <v>41</v>
      </c>
      <c r="CE55" s="72">
        <v>36</v>
      </c>
      <c r="CF55" s="72">
        <v>26</v>
      </c>
      <c r="CG55" s="72">
        <v>24</v>
      </c>
      <c r="CH55" s="72">
        <v>20</v>
      </c>
      <c r="CI55" s="72">
        <v>93</v>
      </c>
      <c r="CJ55" s="72">
        <v>75</v>
      </c>
      <c r="CK55" s="72">
        <v>93</v>
      </c>
      <c r="CL55" s="132">
        <v>79</v>
      </c>
      <c r="CM55" s="72">
        <v>68</v>
      </c>
      <c r="CN55" s="72">
        <v>53</v>
      </c>
      <c r="CO55" s="72">
        <v>53</v>
      </c>
      <c r="CP55" s="72">
        <v>57</v>
      </c>
      <c r="CQ55" s="72">
        <f>54+6</f>
        <v>60</v>
      </c>
      <c r="CR55" s="72">
        <v>49</v>
      </c>
      <c r="CS55" s="72">
        <f>+CR55</f>
        <v>49</v>
      </c>
      <c r="CT55" s="72">
        <f t="shared" ref="CT55:CY55" si="62">+CS55</f>
        <v>49</v>
      </c>
      <c r="CU55" s="72">
        <f t="shared" si="62"/>
        <v>49</v>
      </c>
      <c r="CV55" s="72">
        <f t="shared" si="62"/>
        <v>49</v>
      </c>
      <c r="CW55" s="72">
        <f t="shared" si="62"/>
        <v>49</v>
      </c>
      <c r="CX55" s="72">
        <f t="shared" si="62"/>
        <v>49</v>
      </c>
      <c r="CY55" s="72"/>
      <c r="CZ55" s="72"/>
      <c r="DA55" s="40"/>
      <c r="DB55" s="40"/>
      <c r="DC55" s="40"/>
      <c r="DD55" s="39"/>
      <c r="DE55" s="39"/>
      <c r="DF55" s="40">
        <v>63</v>
      </c>
      <c r="DG55" s="40">
        <v>76</v>
      </c>
      <c r="DH55" s="40">
        <v>88</v>
      </c>
      <c r="DI55" s="40">
        <f t="shared" ref="DI55:DI59" si="63">SUM(S55:V55)</f>
        <v>70</v>
      </c>
      <c r="DJ55" s="40">
        <f>SUM(W55:Z55)</f>
        <v>78</v>
      </c>
      <c r="DK55" s="40">
        <f t="shared" ref="DK55:DK59" si="64">SUM(AA55:AD55)</f>
        <v>84</v>
      </c>
      <c r="DL55" s="40">
        <f>DK55</f>
        <v>84</v>
      </c>
      <c r="DM55" s="40">
        <f>SUM(AI55:AL55)</f>
        <v>106</v>
      </c>
      <c r="DN55" s="40">
        <f>SUM(AM55:AP55)</f>
        <v>133</v>
      </c>
      <c r="DO55" s="40">
        <f>SUM(AQ55:AT55)</f>
        <v>164</v>
      </c>
      <c r="DP55" s="40">
        <f>SUM(AU55:AX55)</f>
        <v>52</v>
      </c>
      <c r="DQ55" s="40"/>
      <c r="DR55" s="40"/>
      <c r="DS55" s="40"/>
      <c r="DT55" s="69">
        <f t="shared" si="13"/>
        <v>1152</v>
      </c>
      <c r="DU55" s="69">
        <f t="shared" si="11"/>
        <v>714</v>
      </c>
      <c r="DV55" s="69">
        <f t="shared" si="31"/>
        <v>317</v>
      </c>
      <c r="DW55" s="69">
        <f t="shared" si="8"/>
        <v>306</v>
      </c>
      <c r="DX55" s="69">
        <f t="shared" si="9"/>
        <v>128</v>
      </c>
      <c r="DY55" s="69">
        <f t="shared" si="56"/>
        <v>106</v>
      </c>
      <c r="DZ55" s="69">
        <f t="shared" si="57"/>
        <v>340</v>
      </c>
      <c r="EA55" s="69">
        <f t="shared" si="58"/>
        <v>231</v>
      </c>
      <c r="EB55" s="69">
        <f t="shared" si="51"/>
        <v>207</v>
      </c>
      <c r="EC55" s="69">
        <f t="shared" ref="EC55:EM55" si="65">+EB55*0.9</f>
        <v>186.3</v>
      </c>
      <c r="ED55" s="69">
        <f t="shared" si="65"/>
        <v>167.67000000000002</v>
      </c>
      <c r="EE55" s="69">
        <f t="shared" si="65"/>
        <v>150.90300000000002</v>
      </c>
      <c r="EF55" s="69">
        <f t="shared" si="65"/>
        <v>135.81270000000004</v>
      </c>
      <c r="EG55" s="69">
        <f t="shared" si="65"/>
        <v>122.23143000000003</v>
      </c>
      <c r="EH55" s="69">
        <f t="shared" si="65"/>
        <v>110.00828700000002</v>
      </c>
      <c r="EI55" s="69">
        <f t="shared" si="65"/>
        <v>99.007458300000025</v>
      </c>
      <c r="EJ55" s="69">
        <f t="shared" si="65"/>
        <v>89.106712470000019</v>
      </c>
      <c r="EK55" s="69">
        <f t="shared" si="65"/>
        <v>80.196041223000023</v>
      </c>
      <c r="EL55" s="69">
        <f t="shared" si="65"/>
        <v>72.176437100700028</v>
      </c>
      <c r="EM55" s="69">
        <f t="shared" si="65"/>
        <v>64.958793390630021</v>
      </c>
    </row>
    <row r="56" spans="1:143" s="11" customFormat="1">
      <c r="A56" s="31"/>
      <c r="B56" s="98" t="s">
        <v>341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>
        <v>0</v>
      </c>
      <c r="AB56" s="40">
        <v>16</v>
      </c>
      <c r="AC56" s="40">
        <v>122</v>
      </c>
      <c r="AD56" s="40">
        <v>480</v>
      </c>
      <c r="AE56" s="40">
        <v>519</v>
      </c>
      <c r="AF56" s="40">
        <v>81</v>
      </c>
      <c r="AG56" s="40">
        <v>124</v>
      </c>
      <c r="AH56" s="40">
        <v>506</v>
      </c>
      <c r="AI56" s="40">
        <v>545</v>
      </c>
      <c r="AJ56" s="40">
        <v>54</v>
      </c>
      <c r="AK56" s="52">
        <v>82</v>
      </c>
      <c r="AL56" s="40">
        <v>401</v>
      </c>
      <c r="AM56" s="40">
        <v>459</v>
      </c>
      <c r="AN56" s="40">
        <v>43</v>
      </c>
      <c r="AO56" s="40">
        <v>139</v>
      </c>
      <c r="AP56" s="40">
        <v>397</v>
      </c>
      <c r="AQ56" s="67">
        <v>408</v>
      </c>
      <c r="AR56" s="40">
        <f>AN56</f>
        <v>43</v>
      </c>
      <c r="AS56" s="40">
        <v>108</v>
      </c>
      <c r="AT56" s="40">
        <v>411</v>
      </c>
      <c r="AU56" s="40">
        <v>384</v>
      </c>
      <c r="AV56" s="40"/>
      <c r="AW56" s="40"/>
      <c r="AX56" s="40"/>
      <c r="AY56" s="40">
        <v>404</v>
      </c>
      <c r="AZ56" s="40"/>
      <c r="BA56" s="40"/>
      <c r="BB56" s="40"/>
      <c r="BC56" s="40">
        <v>328</v>
      </c>
      <c r="BD56" s="40">
        <v>47</v>
      </c>
      <c r="BE56" s="40"/>
      <c r="BF56" s="40"/>
      <c r="BG56" s="40">
        <v>204</v>
      </c>
      <c r="BH56" s="40">
        <v>66</v>
      </c>
      <c r="BI56" s="72">
        <v>117</v>
      </c>
      <c r="BJ56" s="72">
        <v>275</v>
      </c>
      <c r="BK56" s="72">
        <v>244</v>
      </c>
      <c r="BL56" s="72">
        <v>27</v>
      </c>
      <c r="BM56" s="72">
        <v>104</v>
      </c>
      <c r="BN56" s="40">
        <v>302</v>
      </c>
      <c r="BO56" s="72">
        <v>230</v>
      </c>
      <c r="BP56" s="40">
        <v>70</v>
      </c>
      <c r="BQ56" s="40">
        <v>153</v>
      </c>
      <c r="BR56" s="40">
        <v>234</v>
      </c>
      <c r="BS56" s="40">
        <v>224</v>
      </c>
      <c r="BT56" s="40">
        <v>26</v>
      </c>
      <c r="BU56" s="40">
        <v>164</v>
      </c>
      <c r="BV56" s="40">
        <v>251</v>
      </c>
      <c r="BW56" s="72">
        <v>53</v>
      </c>
      <c r="BX56" s="72">
        <v>96</v>
      </c>
      <c r="BY56" s="72">
        <v>146</v>
      </c>
      <c r="BZ56" s="72">
        <v>63</v>
      </c>
      <c r="CA56" s="72">
        <v>85</v>
      </c>
      <c r="CB56" s="72">
        <v>90</v>
      </c>
      <c r="CC56" s="72">
        <v>118</v>
      </c>
      <c r="CD56" s="72">
        <v>78</v>
      </c>
      <c r="CE56" s="72">
        <v>24</v>
      </c>
      <c r="CF56" s="72">
        <v>24</v>
      </c>
      <c r="CG56" s="72">
        <v>122</v>
      </c>
      <c r="CH56" s="72">
        <v>239</v>
      </c>
      <c r="CI56" s="72">
        <v>200</v>
      </c>
      <c r="CJ56" s="72">
        <v>80</v>
      </c>
      <c r="CK56" s="72">
        <v>104</v>
      </c>
      <c r="CL56" s="72">
        <v>194</v>
      </c>
      <c r="CM56" s="72">
        <v>198</v>
      </c>
      <c r="CN56" s="72">
        <v>87</v>
      </c>
      <c r="CO56" s="72">
        <v>99</v>
      </c>
      <c r="CP56" s="72">
        <v>164</v>
      </c>
      <c r="CQ56" s="72">
        <v>171</v>
      </c>
      <c r="CR56" s="72">
        <v>81</v>
      </c>
      <c r="CS56" s="72">
        <f>+CO56</f>
        <v>99</v>
      </c>
      <c r="CT56" s="72">
        <f t="shared" ref="CT56" si="66">+CP56</f>
        <v>164</v>
      </c>
      <c r="CU56" s="72">
        <f t="shared" ref="CU56" si="67">+CQ56</f>
        <v>171</v>
      </c>
      <c r="CV56" s="72">
        <f t="shared" ref="CV56" si="68">+CR56</f>
        <v>81</v>
      </c>
      <c r="CW56" s="72">
        <f t="shared" ref="CW56" si="69">+CS56</f>
        <v>99</v>
      </c>
      <c r="CX56" s="72">
        <f t="shared" ref="CX56" si="70">+CT56</f>
        <v>164</v>
      </c>
      <c r="CY56" s="72"/>
      <c r="CZ56" s="72"/>
      <c r="DA56" s="40"/>
      <c r="DB56" s="40"/>
      <c r="DC56" s="40"/>
      <c r="DD56" s="39"/>
      <c r="DE56" s="39"/>
      <c r="DF56" s="40"/>
      <c r="DG56" s="40"/>
      <c r="DH56" s="40"/>
      <c r="DI56" s="40"/>
      <c r="DJ56" s="40"/>
      <c r="DK56" s="40">
        <f>SUM(AA56:AD56)</f>
        <v>618</v>
      </c>
      <c r="DL56" s="40">
        <f>SUM(AE56:AH56)</f>
        <v>1230</v>
      </c>
      <c r="DM56" s="40">
        <f>SUM(AI56:AL56)</f>
        <v>1082</v>
      </c>
      <c r="DN56" s="40">
        <f>SUM(AM56:AP56)</f>
        <v>1038</v>
      </c>
      <c r="DO56" s="40">
        <f>SUM(AQ56:AT56)</f>
        <v>970</v>
      </c>
      <c r="DP56" s="40">
        <f>SUM(AU56:AX56)</f>
        <v>384</v>
      </c>
      <c r="DQ56" s="40"/>
      <c r="DR56" s="40"/>
      <c r="DS56" s="40"/>
      <c r="DT56" s="69">
        <f t="shared" si="13"/>
        <v>677</v>
      </c>
      <c r="DU56" s="69">
        <f t="shared" si="11"/>
        <v>687</v>
      </c>
      <c r="DV56" s="69">
        <f t="shared" si="31"/>
        <v>665</v>
      </c>
      <c r="DW56" s="69">
        <f t="shared" si="8"/>
        <v>358</v>
      </c>
      <c r="DX56" s="69">
        <f t="shared" si="9"/>
        <v>371</v>
      </c>
      <c r="DY56" s="69">
        <f t="shared" si="56"/>
        <v>409</v>
      </c>
      <c r="DZ56" s="69">
        <f t="shared" si="57"/>
        <v>578</v>
      </c>
      <c r="EA56" s="69">
        <f t="shared" si="58"/>
        <v>548</v>
      </c>
      <c r="EB56" s="69">
        <f t="shared" si="51"/>
        <v>515</v>
      </c>
      <c r="EC56" s="69">
        <f>+EB56*0.9</f>
        <v>463.5</v>
      </c>
      <c r="ED56" s="69">
        <f t="shared" ref="ED56:EM56" si="71">+EC56*0.9</f>
        <v>417.15000000000003</v>
      </c>
      <c r="EE56" s="69">
        <f t="shared" si="71"/>
        <v>375.43500000000006</v>
      </c>
      <c r="EF56" s="69">
        <f t="shared" si="71"/>
        <v>337.89150000000006</v>
      </c>
      <c r="EG56" s="69">
        <f t="shared" si="71"/>
        <v>304.10235000000006</v>
      </c>
      <c r="EH56" s="69">
        <f t="shared" si="71"/>
        <v>273.69211500000006</v>
      </c>
      <c r="EI56" s="69">
        <f t="shared" si="71"/>
        <v>246.32290350000005</v>
      </c>
      <c r="EJ56" s="69">
        <f t="shared" si="71"/>
        <v>221.69061315000005</v>
      </c>
      <c r="EK56" s="69">
        <f t="shared" si="71"/>
        <v>199.52155183500005</v>
      </c>
      <c r="EL56" s="69">
        <f t="shared" si="71"/>
        <v>179.56939665150006</v>
      </c>
      <c r="EM56" s="69">
        <f t="shared" si="71"/>
        <v>161.61245698635005</v>
      </c>
    </row>
    <row r="57" spans="1:143" s="11" customFormat="1">
      <c r="A57" s="31"/>
      <c r="B57" s="98" t="s">
        <v>38</v>
      </c>
      <c r="C57" s="40">
        <v>41</v>
      </c>
      <c r="D57" s="40">
        <v>40</v>
      </c>
      <c r="E57" s="40">
        <v>34</v>
      </c>
      <c r="F57" s="40">
        <v>40</v>
      </c>
      <c r="G57" s="40">
        <v>35</v>
      </c>
      <c r="H57" s="40">
        <v>37</v>
      </c>
      <c r="I57" s="40">
        <v>34</v>
      </c>
      <c r="J57" s="40">
        <v>38</v>
      </c>
      <c r="K57" s="40">
        <v>38</v>
      </c>
      <c r="L57" s="40">
        <v>36</v>
      </c>
      <c r="M57" s="40">
        <v>36</v>
      </c>
      <c r="N57" s="40">
        <v>43</v>
      </c>
      <c r="O57" s="40">
        <v>42</v>
      </c>
      <c r="P57" s="40">
        <v>41</v>
      </c>
      <c r="Q57" s="40">
        <v>35</v>
      </c>
      <c r="R57" s="40">
        <v>40</v>
      </c>
      <c r="S57" s="40">
        <v>42</v>
      </c>
      <c r="T57" s="40">
        <v>39</v>
      </c>
      <c r="U57" s="40">
        <v>34</v>
      </c>
      <c r="V57" s="40">
        <v>40</v>
      </c>
      <c r="W57" s="40">
        <v>35</v>
      </c>
      <c r="X57" s="40">
        <v>37</v>
      </c>
      <c r="Y57" s="40">
        <v>33</v>
      </c>
      <c r="Z57" s="40">
        <v>41</v>
      </c>
      <c r="AA57" s="40">
        <v>42</v>
      </c>
      <c r="AB57" s="40">
        <v>40</v>
      </c>
      <c r="AC57" s="40">
        <v>39</v>
      </c>
      <c r="AD57" s="40">
        <v>45</v>
      </c>
      <c r="AE57" s="40">
        <v>43</v>
      </c>
      <c r="AF57" s="40">
        <v>45</v>
      </c>
      <c r="AG57" s="40">
        <v>38</v>
      </c>
      <c r="AH57" s="40">
        <v>37</v>
      </c>
      <c r="AI57" s="40">
        <v>36</v>
      </c>
      <c r="AJ57" s="40">
        <v>31</v>
      </c>
      <c r="AK57" s="52">
        <v>31</v>
      </c>
      <c r="AL57" s="40">
        <v>37</v>
      </c>
      <c r="AM57" s="40">
        <v>69</v>
      </c>
      <c r="AN57" s="40">
        <v>64</v>
      </c>
      <c r="AO57" s="40">
        <v>61</v>
      </c>
      <c r="AP57" s="40">
        <v>60</v>
      </c>
      <c r="AQ57" s="67">
        <v>55</v>
      </c>
      <c r="AR57" s="40">
        <f>AQ57</f>
        <v>55</v>
      </c>
      <c r="AS57" s="40">
        <v>52</v>
      </c>
      <c r="AT57" s="40">
        <v>54</v>
      </c>
      <c r="AU57" s="40">
        <v>48</v>
      </c>
      <c r="AV57" s="40"/>
      <c r="AW57" s="40"/>
      <c r="AX57" s="40"/>
      <c r="AY57" s="40"/>
      <c r="AZ57" s="40"/>
      <c r="BA57" s="40"/>
      <c r="BB57" s="40"/>
      <c r="BC57" s="40">
        <v>80</v>
      </c>
      <c r="BD57" s="40">
        <v>75</v>
      </c>
      <c r="BE57" s="40"/>
      <c r="BF57" s="40"/>
      <c r="BG57" s="40">
        <v>82</v>
      </c>
      <c r="BH57" s="40">
        <f>91-BH48</f>
        <v>59</v>
      </c>
      <c r="BI57" s="72">
        <v>61</v>
      </c>
      <c r="BJ57" s="72">
        <v>65</v>
      </c>
      <c r="BK57" s="72">
        <v>65</v>
      </c>
      <c r="BL57" s="72">
        <v>79</v>
      </c>
      <c r="BM57" s="72">
        <v>86</v>
      </c>
      <c r="BN57" s="40">
        <v>86</v>
      </c>
      <c r="BO57" s="72">
        <v>67</v>
      </c>
      <c r="BP57" s="40">
        <v>66</v>
      </c>
      <c r="BQ57" s="40">
        <v>67</v>
      </c>
      <c r="BR57" s="40">
        <v>85</v>
      </c>
      <c r="BS57" s="40">
        <v>75</v>
      </c>
      <c r="BT57" s="40">
        <v>88</v>
      </c>
      <c r="BU57" s="40">
        <v>70</v>
      </c>
      <c r="BV57" s="40">
        <v>107</v>
      </c>
      <c r="BW57" s="72">
        <v>128</v>
      </c>
      <c r="BX57" s="72">
        <v>101</v>
      </c>
      <c r="BY57" s="72">
        <v>102</v>
      </c>
      <c r="BZ57" s="72">
        <v>135</v>
      </c>
      <c r="CA57" s="72">
        <v>113</v>
      </c>
      <c r="CB57" s="72">
        <v>70</v>
      </c>
      <c r="CC57" s="72">
        <v>90</v>
      </c>
      <c r="CD57" s="72">
        <v>125</v>
      </c>
      <c r="CE57" s="72">
        <v>160</v>
      </c>
      <c r="CF57" s="72">
        <v>130</v>
      </c>
      <c r="CG57" s="72">
        <v>153</v>
      </c>
      <c r="CH57" s="72">
        <v>150</v>
      </c>
      <c r="CI57" s="72">
        <v>146</v>
      </c>
      <c r="CJ57" s="72">
        <v>107</v>
      </c>
      <c r="CK57" s="72">
        <v>97</v>
      </c>
      <c r="CL57" s="72">
        <v>70</v>
      </c>
      <c r="CM57" s="72">
        <v>106</v>
      </c>
      <c r="CN57" s="72">
        <v>71</v>
      </c>
      <c r="CO57" s="72">
        <v>67</v>
      </c>
      <c r="CP57" s="72">
        <v>80</v>
      </c>
      <c r="CQ57" s="72">
        <v>98</v>
      </c>
      <c r="CR57" s="72">
        <v>83</v>
      </c>
      <c r="CS57" s="72">
        <f>+CR57</f>
        <v>83</v>
      </c>
      <c r="CT57" s="72">
        <f t="shared" ref="CT57:CX57" si="72">+CS57</f>
        <v>83</v>
      </c>
      <c r="CU57" s="72">
        <f t="shared" si="72"/>
        <v>83</v>
      </c>
      <c r="CV57" s="72">
        <f t="shared" si="72"/>
        <v>83</v>
      </c>
      <c r="CW57" s="72">
        <f t="shared" si="72"/>
        <v>83</v>
      </c>
      <c r="CX57" s="72">
        <f t="shared" si="72"/>
        <v>83</v>
      </c>
      <c r="CY57" s="72"/>
      <c r="CZ57" s="72"/>
      <c r="DA57" s="40"/>
      <c r="DB57" s="40"/>
      <c r="DC57" s="40"/>
      <c r="DD57" s="39"/>
      <c r="DE57" s="39"/>
      <c r="DF57" s="40">
        <v>144</v>
      </c>
      <c r="DG57" s="40">
        <v>153</v>
      </c>
      <c r="DH57" s="40">
        <v>158</v>
      </c>
      <c r="DI57" s="40">
        <f>SUM(S57:V57)</f>
        <v>155</v>
      </c>
      <c r="DJ57" s="40">
        <f>SUM(W57:Z57)</f>
        <v>146</v>
      </c>
      <c r="DK57" s="40">
        <f>SUM(AA57:AD57)</f>
        <v>166</v>
      </c>
      <c r="DL57" s="40">
        <f>DK57</f>
        <v>166</v>
      </c>
      <c r="DM57" s="40">
        <f>SUM(AI57:AL57)</f>
        <v>135</v>
      </c>
      <c r="DN57" s="40">
        <f>SUM(AM57:AP57)</f>
        <v>254</v>
      </c>
      <c r="DO57" s="40">
        <f>SUM(AQ57:AT57)</f>
        <v>216</v>
      </c>
      <c r="DP57" s="40">
        <f>SUM(AU57:AX57)</f>
        <v>48</v>
      </c>
      <c r="DQ57" s="40"/>
      <c r="DR57" s="40"/>
      <c r="DS57" s="40"/>
      <c r="DT57" s="69">
        <f t="shared" si="13"/>
        <v>316</v>
      </c>
      <c r="DU57" s="69">
        <f t="shared" si="11"/>
        <v>285</v>
      </c>
      <c r="DV57" s="69">
        <f t="shared" si="31"/>
        <v>340</v>
      </c>
      <c r="DW57" s="69">
        <f t="shared" si="8"/>
        <v>466</v>
      </c>
      <c r="DX57" s="69">
        <f t="shared" si="9"/>
        <v>398</v>
      </c>
      <c r="DY57" s="69">
        <f t="shared" si="56"/>
        <v>593</v>
      </c>
      <c r="DZ57" s="69">
        <f t="shared" si="57"/>
        <v>420</v>
      </c>
      <c r="EA57" s="69">
        <f t="shared" si="58"/>
        <v>324</v>
      </c>
      <c r="EB57" s="69">
        <f t="shared" si="51"/>
        <v>347</v>
      </c>
      <c r="EC57" s="69">
        <f t="shared" ref="EC57:EM57" si="73">+EB57*0.9</f>
        <v>312.3</v>
      </c>
      <c r="ED57" s="69">
        <f t="shared" si="73"/>
        <v>281.07</v>
      </c>
      <c r="EE57" s="69">
        <f t="shared" si="73"/>
        <v>252.96299999999999</v>
      </c>
      <c r="EF57" s="69">
        <f t="shared" si="73"/>
        <v>227.66669999999999</v>
      </c>
      <c r="EG57" s="69">
        <f t="shared" si="73"/>
        <v>204.90002999999999</v>
      </c>
      <c r="EH57" s="69">
        <f t="shared" si="73"/>
        <v>184.41002699999999</v>
      </c>
      <c r="EI57" s="69">
        <f t="shared" si="73"/>
        <v>165.9690243</v>
      </c>
      <c r="EJ57" s="69">
        <f t="shared" si="73"/>
        <v>149.37212187</v>
      </c>
      <c r="EK57" s="69">
        <f t="shared" si="73"/>
        <v>134.434909683</v>
      </c>
      <c r="EL57" s="69">
        <f t="shared" si="73"/>
        <v>120.9914187147</v>
      </c>
      <c r="EM57" s="69">
        <f t="shared" si="73"/>
        <v>108.89227684323001</v>
      </c>
    </row>
    <row r="58" spans="1:143" s="11" customFormat="1">
      <c r="A58" s="31"/>
      <c r="B58" s="98" t="s">
        <v>527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52"/>
      <c r="AL58" s="40"/>
      <c r="AM58" s="40"/>
      <c r="AN58" s="40"/>
      <c r="AO58" s="40"/>
      <c r="AP58" s="40"/>
      <c r="AQ58" s="67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72"/>
      <c r="BP58" s="40"/>
      <c r="BQ58" s="40"/>
      <c r="BR58" s="40"/>
      <c r="BS58" s="40"/>
      <c r="BT58" s="40"/>
      <c r="BU58" s="40"/>
      <c r="BV58" s="40"/>
      <c r="BW58" s="72"/>
      <c r="BX58" s="72"/>
      <c r="BY58" s="72"/>
      <c r="BZ58" s="72">
        <v>414</v>
      </c>
      <c r="CA58" s="72">
        <v>43</v>
      </c>
      <c r="CB58" s="72">
        <v>227</v>
      </c>
      <c r="CC58" s="72">
        <v>58</v>
      </c>
      <c r="CD58" s="72">
        <v>399</v>
      </c>
      <c r="CE58" s="72">
        <v>63</v>
      </c>
      <c r="CF58" s="72">
        <v>175</v>
      </c>
      <c r="CG58" s="72">
        <v>125</v>
      </c>
      <c r="CH58" s="72">
        <v>513</v>
      </c>
      <c r="CI58" s="72">
        <v>410</v>
      </c>
      <c r="CJ58" s="72">
        <v>141</v>
      </c>
      <c r="CK58" s="72">
        <v>392</v>
      </c>
      <c r="CL58" s="72">
        <v>409</v>
      </c>
      <c r="CM58" s="72">
        <f>27+286</f>
        <v>313</v>
      </c>
      <c r="CN58" s="72">
        <f>341+193</f>
        <v>534</v>
      </c>
      <c r="CO58" s="72">
        <f>377+97</f>
        <v>474</v>
      </c>
      <c r="CP58" s="72">
        <f>277+424</f>
        <v>701</v>
      </c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40"/>
      <c r="DB58" s="40"/>
      <c r="DC58" s="40"/>
      <c r="DD58" s="39"/>
      <c r="DE58" s="39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69">
        <f t="shared" si="13"/>
        <v>0</v>
      </c>
      <c r="DU58" s="69">
        <f t="shared" si="11"/>
        <v>0</v>
      </c>
      <c r="DV58" s="69">
        <f t="shared" si="31"/>
        <v>0</v>
      </c>
      <c r="DW58" s="69">
        <f t="shared" si="8"/>
        <v>414</v>
      </c>
      <c r="DX58" s="69">
        <f t="shared" si="9"/>
        <v>727</v>
      </c>
      <c r="DY58" s="69">
        <f t="shared" si="56"/>
        <v>876</v>
      </c>
      <c r="DZ58" s="69">
        <f t="shared" si="57"/>
        <v>1352</v>
      </c>
      <c r="EA58" s="69">
        <f t="shared" si="58"/>
        <v>2022</v>
      </c>
      <c r="EB58" s="69"/>
      <c r="EC58" s="40"/>
    </row>
    <row r="59" spans="1:143" s="11" customFormat="1">
      <c r="A59" s="31"/>
      <c r="B59" s="98" t="s">
        <v>292</v>
      </c>
      <c r="C59" s="40">
        <v>1467</v>
      </c>
      <c r="D59" s="40">
        <v>1345</v>
      </c>
      <c r="E59" s="40">
        <v>1394</v>
      </c>
      <c r="F59" s="40">
        <v>1372</v>
      </c>
      <c r="G59" s="40">
        <v>1192</v>
      </c>
      <c r="H59" s="40">
        <v>1116</v>
      </c>
      <c r="I59" s="40">
        <v>1200</v>
      </c>
      <c r="J59" s="40">
        <v>1115</v>
      </c>
      <c r="K59" s="40">
        <v>692</v>
      </c>
      <c r="L59" s="40">
        <v>742</v>
      </c>
      <c r="M59" s="40">
        <v>631</v>
      </c>
      <c r="N59" s="40">
        <v>500</v>
      </c>
      <c r="O59" s="40">
        <v>540</v>
      </c>
      <c r="P59" s="40">
        <v>531</v>
      </c>
      <c r="Q59" s="40">
        <v>430</v>
      </c>
      <c r="R59" s="40">
        <v>446</v>
      </c>
      <c r="S59" s="40">
        <v>427</v>
      </c>
      <c r="T59" s="40">
        <v>438</v>
      </c>
      <c r="U59" s="40">
        <v>376</v>
      </c>
      <c r="V59" s="40">
        <v>411</v>
      </c>
      <c r="W59" s="40">
        <f>700-X59</f>
        <v>344</v>
      </c>
      <c r="X59" s="40">
        <v>356</v>
      </c>
      <c r="Y59" s="40">
        <v>324</v>
      </c>
      <c r="Z59" s="40">
        <v>347</v>
      </c>
      <c r="AA59" s="40">
        <f>577-AB59</f>
        <v>279</v>
      </c>
      <c r="AB59" s="40">
        <v>298</v>
      </c>
      <c r="AC59" s="40">
        <v>268</v>
      </c>
      <c r="AD59" s="40">
        <v>298</v>
      </c>
      <c r="AE59" s="40">
        <v>252</v>
      </c>
      <c r="AF59" s="40">
        <v>290</v>
      </c>
      <c r="AG59" s="40">
        <v>249</v>
      </c>
      <c r="AH59" s="40">
        <v>264</v>
      </c>
      <c r="AI59" s="40">
        <v>211</v>
      </c>
      <c r="AJ59" s="40">
        <v>245</v>
      </c>
      <c r="AK59" s="52">
        <v>240</v>
      </c>
      <c r="AL59" s="40">
        <v>250</v>
      </c>
      <c r="AM59" s="40">
        <f>18+67+99+65</f>
        <v>249</v>
      </c>
      <c r="AN59" s="40">
        <v>261</v>
      </c>
      <c r="AO59" s="40">
        <v>233</v>
      </c>
      <c r="AP59" s="40">
        <v>243</v>
      </c>
      <c r="AQ59" s="67">
        <v>235</v>
      </c>
      <c r="AR59" s="40">
        <f t="shared" ref="AR59" si="74">AQ59-5</f>
        <v>230</v>
      </c>
      <c r="AS59" s="40">
        <v>224</v>
      </c>
      <c r="AT59" s="40">
        <v>248</v>
      </c>
      <c r="AU59" s="40">
        <v>170</v>
      </c>
      <c r="AV59" s="40"/>
      <c r="AW59" s="40"/>
      <c r="AX59" s="40"/>
      <c r="AY59" s="40">
        <v>125</v>
      </c>
      <c r="AZ59" s="40"/>
      <c r="BA59" s="40"/>
      <c r="BB59" s="40"/>
      <c r="BC59" s="40">
        <v>110</v>
      </c>
      <c r="BD59" s="40">
        <v>105</v>
      </c>
      <c r="BE59" s="40"/>
      <c r="BF59" s="40"/>
      <c r="BG59" s="40">
        <v>96</v>
      </c>
      <c r="BH59" s="40">
        <v>85</v>
      </c>
      <c r="BI59" s="72">
        <v>82</v>
      </c>
      <c r="BJ59" s="72">
        <v>77</v>
      </c>
      <c r="BK59" s="72">
        <v>75</v>
      </c>
      <c r="BL59" s="72">
        <v>70</v>
      </c>
      <c r="BM59" s="72">
        <v>72</v>
      </c>
      <c r="BN59" s="40">
        <v>59</v>
      </c>
      <c r="BO59" s="72">
        <v>68</v>
      </c>
      <c r="BP59" s="40">
        <v>68</v>
      </c>
      <c r="BQ59" s="40">
        <v>66</v>
      </c>
      <c r="BR59" s="40">
        <v>69</v>
      </c>
      <c r="BS59" s="40">
        <v>69</v>
      </c>
      <c r="BT59" s="40">
        <v>76</v>
      </c>
      <c r="BU59" s="40">
        <v>67</v>
      </c>
      <c r="BV59" s="40">
        <v>60</v>
      </c>
      <c r="BW59" s="72">
        <v>76</v>
      </c>
      <c r="BX59" s="72">
        <v>68</v>
      </c>
      <c r="BY59" s="72">
        <v>73</v>
      </c>
      <c r="BZ59" s="72">
        <v>46</v>
      </c>
      <c r="CA59" s="72">
        <v>54</v>
      </c>
      <c r="CB59" s="72">
        <v>45</v>
      </c>
      <c r="CC59" s="72">
        <v>45</v>
      </c>
      <c r="CD59" s="72">
        <v>39</v>
      </c>
      <c r="CE59" s="72">
        <v>54</v>
      </c>
      <c r="CF59" s="72">
        <v>46</v>
      </c>
      <c r="CG59" s="72">
        <v>38</v>
      </c>
      <c r="CH59" s="72">
        <v>41</v>
      </c>
      <c r="CI59" s="72">
        <v>0</v>
      </c>
      <c r="CJ59" s="72">
        <v>0</v>
      </c>
      <c r="CK59" s="72">
        <v>0</v>
      </c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40"/>
      <c r="DB59" s="40"/>
      <c r="DC59" s="40"/>
      <c r="DD59" s="39"/>
      <c r="DE59" s="39"/>
      <c r="DF59" s="40">
        <v>4623</v>
      </c>
      <c r="DG59" s="40">
        <v>2565</v>
      </c>
      <c r="DH59" s="40">
        <v>1947</v>
      </c>
      <c r="DI59" s="40">
        <f t="shared" si="63"/>
        <v>1652</v>
      </c>
      <c r="DJ59" s="40">
        <f t="shared" ref="DJ59:DJ71" si="75">SUM(W59:Z59)</f>
        <v>1371</v>
      </c>
      <c r="DK59" s="40">
        <f t="shared" si="64"/>
        <v>1143</v>
      </c>
      <c r="DL59" s="40">
        <f>SUM(AE59:AH59)</f>
        <v>1055</v>
      </c>
      <c r="DM59" s="40">
        <f>SUM(AI59:AL59)</f>
        <v>946</v>
      </c>
      <c r="DN59" s="40">
        <f t="shared" ref="DN59:DN76" si="76">SUM(AM59:AP59)</f>
        <v>986</v>
      </c>
      <c r="DO59" s="40">
        <f t="shared" ref="DO59:DO77" si="77">SUM(AQ59:AT59)</f>
        <v>937</v>
      </c>
      <c r="DP59" s="40">
        <f t="shared" ref="DP59:DP69" si="78">SUM(AU59:AX59)</f>
        <v>170</v>
      </c>
      <c r="DQ59" s="40"/>
      <c r="DR59" s="40"/>
      <c r="DS59" s="40"/>
      <c r="DT59" s="69">
        <f t="shared" si="13"/>
        <v>276</v>
      </c>
      <c r="DU59" s="69">
        <f t="shared" si="11"/>
        <v>271</v>
      </c>
      <c r="DV59" s="69">
        <f t="shared" si="31"/>
        <v>272</v>
      </c>
      <c r="DW59" s="69">
        <f t="shared" si="8"/>
        <v>263</v>
      </c>
      <c r="DX59" s="69">
        <f t="shared" si="9"/>
        <v>183</v>
      </c>
      <c r="DY59" s="69">
        <f t="shared" si="56"/>
        <v>179</v>
      </c>
      <c r="DZ59" s="69">
        <f t="shared" si="57"/>
        <v>0</v>
      </c>
      <c r="EA59" s="69">
        <f t="shared" si="58"/>
        <v>0</v>
      </c>
      <c r="EB59" s="69"/>
      <c r="EC59" s="40"/>
    </row>
    <row r="60" spans="1:143" s="11" customFormat="1">
      <c r="A60" s="31"/>
      <c r="B60" s="98" t="s">
        <v>458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52"/>
      <c r="AL60" s="40"/>
      <c r="AM60" s="40"/>
      <c r="AN60" s="40"/>
      <c r="AO60" s="40"/>
      <c r="AP60" s="40"/>
      <c r="AQ60" s="67"/>
      <c r="AR60" s="40"/>
      <c r="AS60" s="40"/>
      <c r="AT60" s="40"/>
      <c r="AU60" s="40"/>
      <c r="AV60" s="40"/>
      <c r="AW60" s="40"/>
      <c r="AX60" s="40"/>
      <c r="AY60" s="40">
        <v>42</v>
      </c>
      <c r="AZ60" s="40">
        <v>53</v>
      </c>
      <c r="BA60" s="40"/>
      <c r="BB60" s="40"/>
      <c r="BC60" s="40">
        <v>78</v>
      </c>
      <c r="BD60" s="40">
        <v>88</v>
      </c>
      <c r="BE60" s="40"/>
      <c r="BF60" s="40"/>
      <c r="BG60" s="40">
        <v>90</v>
      </c>
      <c r="BH60" s="40">
        <v>82</v>
      </c>
      <c r="BI60" s="72">
        <v>72</v>
      </c>
      <c r="BJ60" s="72">
        <v>72</v>
      </c>
      <c r="BK60" s="72">
        <v>62</v>
      </c>
      <c r="BL60" s="72">
        <v>76</v>
      </c>
      <c r="BM60" s="72">
        <v>61</v>
      </c>
      <c r="BN60" s="40">
        <v>55</v>
      </c>
      <c r="BO60" s="72">
        <v>46</v>
      </c>
      <c r="BP60" s="40">
        <v>43</v>
      </c>
      <c r="BQ60" s="40">
        <v>39</v>
      </c>
      <c r="BR60" s="40">
        <v>48</v>
      </c>
      <c r="BS60" s="40">
        <v>31</v>
      </c>
      <c r="BT60" s="40">
        <v>29</v>
      </c>
      <c r="BU60" s="40">
        <v>34</v>
      </c>
      <c r="BV60" s="40">
        <v>32</v>
      </c>
      <c r="BW60" s="72">
        <v>30</v>
      </c>
      <c r="BX60" s="72">
        <v>25</v>
      </c>
      <c r="BY60" s="72">
        <v>28</v>
      </c>
      <c r="BZ60" s="72">
        <v>27</v>
      </c>
      <c r="CA60" s="72">
        <v>20</v>
      </c>
      <c r="CB60" s="72">
        <v>15</v>
      </c>
      <c r="CC60" s="72">
        <v>15</v>
      </c>
      <c r="CD60" s="72">
        <v>19</v>
      </c>
      <c r="CE60" s="72">
        <v>16</v>
      </c>
      <c r="CF60" s="72">
        <v>16</v>
      </c>
      <c r="CG60" s="72">
        <v>13</v>
      </c>
      <c r="CH60" s="72">
        <v>10</v>
      </c>
      <c r="CI60" s="72">
        <v>0</v>
      </c>
      <c r="CJ60" s="72">
        <v>0</v>
      </c>
      <c r="CK60" s="72">
        <v>0</v>
      </c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40"/>
      <c r="DB60" s="40"/>
      <c r="DC60" s="40"/>
      <c r="DD60" s="39"/>
      <c r="DE60" s="39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>
        <v>400</v>
      </c>
      <c r="DQ60" s="40"/>
      <c r="DR60" s="40"/>
      <c r="DS60" s="40"/>
      <c r="DT60" s="69">
        <f t="shared" si="13"/>
        <v>254</v>
      </c>
      <c r="DU60" s="69">
        <f t="shared" si="11"/>
        <v>176</v>
      </c>
      <c r="DV60" s="69">
        <f t="shared" si="31"/>
        <v>126</v>
      </c>
      <c r="DW60" s="69">
        <f t="shared" si="8"/>
        <v>110</v>
      </c>
      <c r="DX60" s="69">
        <f t="shared" si="9"/>
        <v>69</v>
      </c>
      <c r="DY60" s="69">
        <f t="shared" si="56"/>
        <v>55</v>
      </c>
      <c r="DZ60" s="69">
        <f t="shared" si="57"/>
        <v>0</v>
      </c>
      <c r="EA60" s="69">
        <f t="shared" si="58"/>
        <v>0</v>
      </c>
      <c r="EB60" s="69"/>
      <c r="EC60" s="40"/>
    </row>
    <row r="61" spans="1:143" s="11" customFormat="1">
      <c r="A61" s="31"/>
      <c r="B61" s="98" t="s">
        <v>426</v>
      </c>
      <c r="C61" s="40">
        <v>82</v>
      </c>
      <c r="D61" s="40">
        <v>112</v>
      </c>
      <c r="E61" s="40">
        <v>92</v>
      </c>
      <c r="F61" s="40">
        <v>124</v>
      </c>
      <c r="G61" s="40">
        <v>149</v>
      </c>
      <c r="H61" s="40">
        <v>129</v>
      </c>
      <c r="I61" s="40">
        <v>131</v>
      </c>
      <c r="J61" s="40">
        <v>160</v>
      </c>
      <c r="K61" s="40">
        <v>206</v>
      </c>
      <c r="L61" s="40">
        <v>152</v>
      </c>
      <c r="M61" s="40">
        <v>185</v>
      </c>
      <c r="N61" s="40">
        <v>207</v>
      </c>
      <c r="O61" s="40">
        <v>209</v>
      </c>
      <c r="P61" s="40">
        <v>216</v>
      </c>
      <c r="Q61" s="40">
        <v>214</v>
      </c>
      <c r="R61" s="40">
        <v>240</v>
      </c>
      <c r="S61" s="40">
        <v>235</v>
      </c>
      <c r="T61" s="40">
        <v>254</v>
      </c>
      <c r="U61" s="40">
        <v>238</v>
      </c>
      <c r="V61" s="40">
        <v>247</v>
      </c>
      <c r="W61" s="40">
        <f>530-X61</f>
        <v>254</v>
      </c>
      <c r="X61" s="40">
        <v>276</v>
      </c>
      <c r="Y61" s="40">
        <v>279</v>
      </c>
      <c r="Z61" s="40">
        <v>301</v>
      </c>
      <c r="AA61" s="40">
        <f>614-AB61</f>
        <v>296</v>
      </c>
      <c r="AB61" s="40">
        <v>318</v>
      </c>
      <c r="AC61" s="40">
        <v>320</v>
      </c>
      <c r="AD61" s="40">
        <v>353</v>
      </c>
      <c r="AE61" s="40">
        <v>346</v>
      </c>
      <c r="AF61" s="40">
        <v>388</v>
      </c>
      <c r="AG61" s="40">
        <v>386</v>
      </c>
      <c r="AH61" s="40">
        <v>351</v>
      </c>
      <c r="AI61" s="40">
        <v>323</v>
      </c>
      <c r="AJ61" s="40">
        <v>356</v>
      </c>
      <c r="AK61" s="52">
        <v>370</v>
      </c>
      <c r="AL61" s="40">
        <v>387</v>
      </c>
      <c r="AM61" s="40">
        <f>56+195+53+69</f>
        <v>373</v>
      </c>
      <c r="AN61" s="40">
        <v>376</v>
      </c>
      <c r="AO61" s="40">
        <v>359</v>
      </c>
      <c r="AP61" s="40">
        <v>375</v>
      </c>
      <c r="AQ61" s="67">
        <v>355</v>
      </c>
      <c r="AR61" s="40">
        <f>AQ61-5</f>
        <v>350</v>
      </c>
      <c r="AS61" s="40">
        <v>364</v>
      </c>
      <c r="AT61" s="40">
        <v>346</v>
      </c>
      <c r="AU61" s="40">
        <v>317</v>
      </c>
      <c r="AV61" s="40"/>
      <c r="AW61" s="40"/>
      <c r="AX61" s="40"/>
      <c r="AY61" s="40">
        <v>168</v>
      </c>
      <c r="AZ61" s="40">
        <v>166</v>
      </c>
      <c r="BA61" s="40"/>
      <c r="BB61" s="40"/>
      <c r="BC61" s="40">
        <v>122</v>
      </c>
      <c r="BD61" s="40">
        <v>139</v>
      </c>
      <c r="BE61" s="40"/>
      <c r="BF61" s="40"/>
      <c r="BG61" s="40">
        <v>95</v>
      </c>
      <c r="BH61" s="40">
        <v>99</v>
      </c>
      <c r="BI61" s="72">
        <v>78</v>
      </c>
      <c r="BJ61" s="72">
        <v>86</v>
      </c>
      <c r="BK61" s="72">
        <v>71</v>
      </c>
      <c r="BL61" s="72">
        <v>89</v>
      </c>
      <c r="BM61" s="72">
        <v>74</v>
      </c>
      <c r="BN61" s="40">
        <v>81</v>
      </c>
      <c r="BO61" s="72">
        <v>75</v>
      </c>
      <c r="BP61" s="40">
        <v>72</v>
      </c>
      <c r="BQ61" s="40">
        <v>80</v>
      </c>
      <c r="BR61" s="40">
        <v>73</v>
      </c>
      <c r="BS61" s="40">
        <v>71</v>
      </c>
      <c r="BT61" s="40">
        <v>66</v>
      </c>
      <c r="BU61" s="40">
        <v>65</v>
      </c>
      <c r="BV61" s="40">
        <v>58</v>
      </c>
      <c r="BW61" s="72">
        <v>50</v>
      </c>
      <c r="BX61" s="72">
        <v>56</v>
      </c>
      <c r="BY61" s="72">
        <v>55</v>
      </c>
      <c r="BZ61" s="72">
        <v>60</v>
      </c>
      <c r="CA61" s="72">
        <v>66</v>
      </c>
      <c r="CB61" s="72">
        <v>59</v>
      </c>
      <c r="CC61" s="72">
        <v>54</v>
      </c>
      <c r="CD61" s="72">
        <v>63</v>
      </c>
      <c r="CE61" s="72">
        <v>34</v>
      </c>
      <c r="CF61" s="72">
        <v>23</v>
      </c>
      <c r="CG61" s="72">
        <v>19</v>
      </c>
      <c r="CH61" s="72">
        <v>21</v>
      </c>
      <c r="CI61" s="72">
        <v>0</v>
      </c>
      <c r="CJ61" s="72">
        <v>0</v>
      </c>
      <c r="CK61" s="72">
        <v>0</v>
      </c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40"/>
      <c r="DB61" s="40"/>
      <c r="DC61" s="40"/>
      <c r="DD61" s="39"/>
      <c r="DE61" s="39"/>
      <c r="DF61" s="40">
        <v>569</v>
      </c>
      <c r="DG61" s="40">
        <v>750</v>
      </c>
      <c r="DH61" s="40">
        <v>879</v>
      </c>
      <c r="DI61" s="40">
        <f>SUM(S61:V61)</f>
        <v>974</v>
      </c>
      <c r="DJ61" s="40">
        <f>SUM(W61:Z61)</f>
        <v>1110</v>
      </c>
      <c r="DK61" s="40">
        <f>SUM(AA61:AD61)</f>
        <v>1287</v>
      </c>
      <c r="DL61" s="40">
        <f>SUM(AE61:AH61)</f>
        <v>1471</v>
      </c>
      <c r="DM61" s="40">
        <f>SUM(AI61:AL61)</f>
        <v>1436</v>
      </c>
      <c r="DN61" s="40">
        <f>SUM(AM61:AP61)</f>
        <v>1483</v>
      </c>
      <c r="DO61" s="40">
        <f>SUM(AQ61:AT61)</f>
        <v>1415</v>
      </c>
      <c r="DP61" s="40">
        <f>SUM(AU61:AX61)</f>
        <v>317</v>
      </c>
      <c r="DQ61" s="40"/>
      <c r="DR61" s="40"/>
      <c r="DS61" s="40"/>
      <c r="DT61" s="69">
        <f t="shared" si="13"/>
        <v>315</v>
      </c>
      <c r="DU61" s="69">
        <f t="shared" si="11"/>
        <v>300</v>
      </c>
      <c r="DV61" s="69">
        <f t="shared" si="31"/>
        <v>260</v>
      </c>
      <c r="DW61" s="69">
        <f t="shared" si="8"/>
        <v>221</v>
      </c>
      <c r="DX61" s="69">
        <f t="shared" si="9"/>
        <v>242</v>
      </c>
      <c r="DY61" s="69">
        <f t="shared" si="56"/>
        <v>97</v>
      </c>
      <c r="DZ61" s="69">
        <f t="shared" si="57"/>
        <v>0</v>
      </c>
      <c r="EA61" s="69">
        <f t="shared" si="58"/>
        <v>0</v>
      </c>
      <c r="EB61" s="69"/>
      <c r="EC61" s="40"/>
    </row>
    <row r="62" spans="1:143" s="11" customFormat="1">
      <c r="A62" s="31"/>
      <c r="B62" s="98" t="s">
        <v>438</v>
      </c>
      <c r="C62" s="40">
        <v>185</v>
      </c>
      <c r="D62" s="40">
        <v>165</v>
      </c>
      <c r="E62" s="40">
        <v>165</v>
      </c>
      <c r="F62" s="40">
        <v>170</v>
      </c>
      <c r="G62" s="40">
        <v>329</v>
      </c>
      <c r="H62" s="40">
        <v>263</v>
      </c>
      <c r="I62" s="40">
        <v>196</v>
      </c>
      <c r="J62" s="40">
        <v>357</v>
      </c>
      <c r="K62" s="40">
        <v>444</v>
      </c>
      <c r="L62" s="40">
        <v>270</v>
      </c>
      <c r="M62" s="40">
        <v>345</v>
      </c>
      <c r="N62" s="40">
        <v>428</v>
      </c>
      <c r="O62" s="40">
        <v>448</v>
      </c>
      <c r="P62" s="40">
        <v>488</v>
      </c>
      <c r="Q62" s="40">
        <v>529</v>
      </c>
      <c r="R62" s="40">
        <v>562</v>
      </c>
      <c r="S62" s="40">
        <v>633</v>
      </c>
      <c r="T62" s="40">
        <v>667</v>
      </c>
      <c r="U62" s="40">
        <v>706</v>
      </c>
      <c r="V62" s="40">
        <v>755</v>
      </c>
      <c r="W62" s="40">
        <v>807</v>
      </c>
      <c r="X62" s="40">
        <v>849</v>
      </c>
      <c r="Y62" s="40">
        <v>848</v>
      </c>
      <c r="Z62" s="40">
        <v>912</v>
      </c>
      <c r="AA62" s="40">
        <v>923</v>
      </c>
      <c r="AB62" s="40">
        <v>963</v>
      </c>
      <c r="AC62" s="40">
        <v>1055</v>
      </c>
      <c r="AD62" s="40">
        <v>1086</v>
      </c>
      <c r="AE62" s="40">
        <v>1050</v>
      </c>
      <c r="AF62" s="40">
        <v>1112</v>
      </c>
      <c r="AG62" s="40">
        <v>1130</v>
      </c>
      <c r="AH62" s="40">
        <v>1160</v>
      </c>
      <c r="AI62" s="40">
        <v>1125</v>
      </c>
      <c r="AJ62" s="40">
        <v>1249</v>
      </c>
      <c r="AK62" s="52">
        <v>1231</v>
      </c>
      <c r="AL62" s="40">
        <v>1261</v>
      </c>
      <c r="AM62" s="40">
        <v>1307</v>
      </c>
      <c r="AN62" s="40">
        <f>1049+303</f>
        <v>1352</v>
      </c>
      <c r="AO62" s="40">
        <f>1024+279</f>
        <v>1303</v>
      </c>
      <c r="AP62" s="40">
        <f>1024+316</f>
        <v>1340</v>
      </c>
      <c r="AQ62" s="67">
        <v>1345</v>
      </c>
      <c r="AR62" s="40">
        <f>+AN62*1.03</f>
        <v>1392.56</v>
      </c>
      <c r="AS62" s="40">
        <f>1034+366</f>
        <v>1400</v>
      </c>
      <c r="AT62" s="40">
        <f>1148+398</f>
        <v>1546</v>
      </c>
      <c r="AU62" s="40">
        <f>384+754</f>
        <v>1138</v>
      </c>
      <c r="AV62" s="40"/>
      <c r="AW62" s="40"/>
      <c r="AX62" s="40"/>
      <c r="AY62" s="40">
        <f>322+127</f>
        <v>449</v>
      </c>
      <c r="AZ62" s="40">
        <f>99+339</f>
        <v>438</v>
      </c>
      <c r="BA62" s="40"/>
      <c r="BB62" s="40"/>
      <c r="BC62" s="40">
        <f>66+292</f>
        <v>358</v>
      </c>
      <c r="BD62" s="40">
        <f>304+89</f>
        <v>393</v>
      </c>
      <c r="BE62" s="40"/>
      <c r="BF62" s="40"/>
      <c r="BG62" s="40">
        <v>262</v>
      </c>
      <c r="BH62" s="40">
        <v>264</v>
      </c>
      <c r="BI62" s="72">
        <v>258</v>
      </c>
      <c r="BJ62" s="72">
        <v>241</v>
      </c>
      <c r="BK62" s="72">
        <v>202</v>
      </c>
      <c r="BL62" s="72">
        <v>225</v>
      </c>
      <c r="BM62" s="72">
        <v>190</v>
      </c>
      <c r="BN62" s="40">
        <v>118</v>
      </c>
      <c r="BO62" s="72">
        <v>67</v>
      </c>
      <c r="BP62" s="40">
        <v>95</v>
      </c>
      <c r="BQ62" s="40">
        <v>62</v>
      </c>
      <c r="BR62" s="40">
        <v>108</v>
      </c>
      <c r="BS62" s="40">
        <v>53</v>
      </c>
      <c r="BT62" s="40">
        <v>76</v>
      </c>
      <c r="BU62" s="40">
        <v>40</v>
      </c>
      <c r="BV62" s="40">
        <v>56</v>
      </c>
      <c r="BW62" s="72">
        <v>37</v>
      </c>
      <c r="BX62" s="72">
        <v>32</v>
      </c>
      <c r="BY62" s="72">
        <v>82</v>
      </c>
      <c r="BZ62" s="72">
        <v>40</v>
      </c>
      <c r="CA62" s="72">
        <v>36</v>
      </c>
      <c r="CB62" s="72">
        <v>27</v>
      </c>
      <c r="CC62" s="72">
        <v>35</v>
      </c>
      <c r="CD62" s="72">
        <v>19</v>
      </c>
      <c r="CE62" s="72">
        <v>29</v>
      </c>
      <c r="CF62" s="72">
        <v>21</v>
      </c>
      <c r="CG62" s="72">
        <v>24</v>
      </c>
      <c r="CH62" s="72">
        <v>19</v>
      </c>
      <c r="CI62" s="72">
        <v>0</v>
      </c>
      <c r="CJ62" s="72">
        <v>0</v>
      </c>
      <c r="CK62" s="72">
        <v>0</v>
      </c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40"/>
      <c r="DB62" s="40"/>
      <c r="DC62" s="40"/>
      <c r="DD62" s="39"/>
      <c r="DE62" s="39"/>
      <c r="DF62" s="40">
        <v>1145</v>
      </c>
      <c r="DG62" s="40">
        <v>1487</v>
      </c>
      <c r="DH62" s="40">
        <v>2027</v>
      </c>
      <c r="DI62" s="40">
        <f>SUM(S62:V62)</f>
        <v>2761</v>
      </c>
      <c r="DJ62" s="40">
        <f>SUM(W62:Z62)</f>
        <v>3416</v>
      </c>
      <c r="DK62" s="40">
        <f>SUM(AA62:AD62)</f>
        <v>4027</v>
      </c>
      <c r="DL62" s="40">
        <f>SUM(AE62:AH62)</f>
        <v>4452</v>
      </c>
      <c r="DM62" s="40">
        <f>SUM(AI62:AL62)</f>
        <v>4866</v>
      </c>
      <c r="DN62" s="40">
        <f>SUM(AM62:AP62)</f>
        <v>5302</v>
      </c>
      <c r="DO62" s="40">
        <f>SUM(AQ62:AT62)</f>
        <v>5683.5599999999995</v>
      </c>
      <c r="DP62" s="40">
        <f>SUM(AU62:AX62)</f>
        <v>1138</v>
      </c>
      <c r="DQ62" s="40"/>
      <c r="DR62" s="40"/>
      <c r="DS62" s="40"/>
      <c r="DT62" s="69">
        <f t="shared" si="13"/>
        <v>735</v>
      </c>
      <c r="DU62" s="40"/>
      <c r="DV62" s="69">
        <f t="shared" si="31"/>
        <v>225</v>
      </c>
      <c r="DW62" s="69">
        <f t="shared" si="8"/>
        <v>191</v>
      </c>
      <c r="DX62" s="69">
        <f t="shared" si="9"/>
        <v>117</v>
      </c>
      <c r="DY62" s="69">
        <f t="shared" si="56"/>
        <v>93</v>
      </c>
      <c r="DZ62" s="69">
        <f t="shared" si="57"/>
        <v>0</v>
      </c>
      <c r="EA62" s="69">
        <f t="shared" si="58"/>
        <v>0</v>
      </c>
      <c r="EB62" s="69"/>
      <c r="EC62" s="40"/>
    </row>
    <row r="63" spans="1:143" s="11" customFormat="1">
      <c r="A63" s="31"/>
      <c r="B63" s="130" t="s">
        <v>621</v>
      </c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  <c r="AI63" s="135"/>
      <c r="AJ63" s="135"/>
      <c r="AK63" s="135"/>
      <c r="AL63" s="135"/>
      <c r="AM63" s="135"/>
      <c r="AN63" s="135"/>
      <c r="AO63" s="135"/>
      <c r="AP63" s="135"/>
      <c r="AQ63" s="139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40">
        <v>0</v>
      </c>
      <c r="BH63" s="40">
        <v>1</v>
      </c>
      <c r="BI63" s="72">
        <v>10</v>
      </c>
      <c r="BJ63" s="72">
        <v>15</v>
      </c>
      <c r="BK63" s="72">
        <v>17</v>
      </c>
      <c r="BL63" s="72">
        <v>23</v>
      </c>
      <c r="BM63" s="72">
        <v>25</v>
      </c>
      <c r="BN63" s="40">
        <v>26</v>
      </c>
      <c r="BO63" s="72">
        <v>30</v>
      </c>
      <c r="BP63" s="40">
        <v>32</v>
      </c>
      <c r="BQ63" s="40">
        <v>30</v>
      </c>
      <c r="BR63" s="40">
        <v>30</v>
      </c>
      <c r="BS63" s="40">
        <v>28</v>
      </c>
      <c r="BT63" s="40">
        <v>24</v>
      </c>
      <c r="BU63" s="40">
        <v>32</v>
      </c>
      <c r="BV63" s="40">
        <v>25</v>
      </c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40"/>
      <c r="DB63" s="40"/>
      <c r="DC63" s="40"/>
      <c r="DD63" s="39"/>
      <c r="DE63" s="39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69">
        <f t="shared" si="13"/>
        <v>91</v>
      </c>
      <c r="DU63" s="69">
        <f t="shared" si="11"/>
        <v>122</v>
      </c>
      <c r="DV63" s="69">
        <f t="shared" si="31"/>
        <v>109</v>
      </c>
      <c r="DW63" s="69"/>
      <c r="DX63" s="69"/>
      <c r="DY63" s="69"/>
      <c r="DZ63" s="69"/>
      <c r="EA63" s="69"/>
      <c r="EB63" s="69"/>
      <c r="EC63" s="40"/>
    </row>
    <row r="64" spans="1:143" s="11" customFormat="1">
      <c r="A64" s="31"/>
      <c r="B64" s="130" t="s">
        <v>622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52"/>
      <c r="AL64" s="40"/>
      <c r="AM64" s="40"/>
      <c r="AN64" s="40"/>
      <c r="AO64" s="40"/>
      <c r="AP64" s="40"/>
      <c r="AQ64" s="67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72">
        <v>0</v>
      </c>
      <c r="BP64" s="40">
        <v>11</v>
      </c>
      <c r="BQ64" s="40">
        <v>10</v>
      </c>
      <c r="BR64" s="40">
        <v>13</v>
      </c>
      <c r="BS64" s="40">
        <v>9</v>
      </c>
      <c r="BT64" s="40">
        <v>7</v>
      </c>
      <c r="BU64" s="40">
        <v>8</v>
      </c>
      <c r="BV64" s="40">
        <v>10</v>
      </c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40"/>
      <c r="DB64" s="40"/>
      <c r="DC64" s="40"/>
      <c r="DD64" s="39"/>
      <c r="DE64" s="39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69">
        <f t="shared" si="13"/>
        <v>0</v>
      </c>
      <c r="DU64" s="69">
        <f t="shared" si="11"/>
        <v>34</v>
      </c>
      <c r="DV64" s="69">
        <f t="shared" si="31"/>
        <v>34</v>
      </c>
      <c r="DW64" s="69"/>
      <c r="DX64" s="69"/>
      <c r="DY64" s="69"/>
      <c r="DZ64" s="69"/>
      <c r="EA64" s="69"/>
      <c r="EB64" s="69"/>
      <c r="EC64" s="40"/>
    </row>
    <row r="65" spans="1:133" s="11" customFormat="1">
      <c r="A65" s="31"/>
      <c r="B65" s="130" t="s">
        <v>625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52"/>
      <c r="AL65" s="40"/>
      <c r="AM65" s="40"/>
      <c r="AN65" s="40"/>
      <c r="AO65" s="40"/>
      <c r="AP65" s="40"/>
      <c r="AQ65" s="67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72">
        <v>0</v>
      </c>
      <c r="BP65" s="40"/>
      <c r="BQ65" s="40"/>
      <c r="BR65" s="40">
        <v>5</v>
      </c>
      <c r="BS65" s="40"/>
      <c r="BT65" s="40"/>
      <c r="BU65" s="40"/>
      <c r="BV65" s="40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40"/>
      <c r="DB65" s="40"/>
      <c r="DC65" s="40"/>
      <c r="DD65" s="39"/>
      <c r="DE65" s="39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69">
        <f t="shared" si="13"/>
        <v>0</v>
      </c>
      <c r="DU65" s="69">
        <f t="shared" si="11"/>
        <v>5</v>
      </c>
      <c r="DV65" s="69">
        <f t="shared" si="31"/>
        <v>0</v>
      </c>
      <c r="DW65" s="69"/>
      <c r="DX65" s="69"/>
      <c r="DY65" s="69"/>
      <c r="DZ65" s="69"/>
      <c r="EA65" s="69"/>
      <c r="EB65" s="69"/>
      <c r="EC65" s="40"/>
    </row>
    <row r="66" spans="1:133" s="11" customFormat="1">
      <c r="A66" s="31"/>
      <c r="B66" s="98" t="s">
        <v>45</v>
      </c>
      <c r="C66" s="40">
        <v>66</v>
      </c>
      <c r="D66" s="40">
        <v>86</v>
      </c>
      <c r="E66" s="40">
        <v>54</v>
      </c>
      <c r="F66" s="40">
        <v>67</v>
      </c>
      <c r="G66" s="40">
        <v>92</v>
      </c>
      <c r="H66" s="40">
        <v>74</v>
      </c>
      <c r="I66" s="40">
        <v>68</v>
      </c>
      <c r="J66" s="40">
        <v>94</v>
      </c>
      <c r="K66" s="40">
        <v>108</v>
      </c>
      <c r="L66" s="40">
        <v>54</v>
      </c>
      <c r="M66" s="40">
        <v>83</v>
      </c>
      <c r="N66" s="40">
        <v>104</v>
      </c>
      <c r="O66" s="40">
        <v>95</v>
      </c>
      <c r="P66" s="40">
        <v>91</v>
      </c>
      <c r="Q66" s="40">
        <v>81</v>
      </c>
      <c r="R66" s="40">
        <v>89</v>
      </c>
      <c r="S66" s="40">
        <v>68</v>
      </c>
      <c r="T66" s="40">
        <v>104</v>
      </c>
      <c r="U66" s="40">
        <v>86</v>
      </c>
      <c r="V66" s="40">
        <v>94</v>
      </c>
      <c r="W66" s="40">
        <f>196-X66</f>
        <v>93</v>
      </c>
      <c r="X66" s="40">
        <v>103</v>
      </c>
      <c r="Y66" s="40">
        <v>99</v>
      </c>
      <c r="Z66" s="40">
        <v>103</v>
      </c>
      <c r="AA66" s="40">
        <f>213-AB66</f>
        <v>107</v>
      </c>
      <c r="AB66" s="40">
        <v>106</v>
      </c>
      <c r="AC66" s="40">
        <v>107</v>
      </c>
      <c r="AD66" s="40">
        <v>114</v>
      </c>
      <c r="AE66" s="40">
        <v>107</v>
      </c>
      <c r="AF66" s="40">
        <v>114</v>
      </c>
      <c r="AG66" s="40">
        <v>115</v>
      </c>
      <c r="AH66" s="40">
        <v>112</v>
      </c>
      <c r="AI66" s="40">
        <v>101</v>
      </c>
      <c r="AJ66" s="40">
        <v>107</v>
      </c>
      <c r="AK66" s="52">
        <v>111</v>
      </c>
      <c r="AL66" s="40">
        <v>115</v>
      </c>
      <c r="AM66" s="40">
        <v>106</v>
      </c>
      <c r="AN66" s="40">
        <v>109</v>
      </c>
      <c r="AO66" s="40">
        <v>103</v>
      </c>
      <c r="AP66" s="40">
        <v>110</v>
      </c>
      <c r="AQ66" s="67">
        <v>101</v>
      </c>
      <c r="AR66" s="40">
        <f t="shared" ref="AR66:AR71" si="79">AQ66</f>
        <v>101</v>
      </c>
      <c r="AS66" s="40">
        <v>108</v>
      </c>
      <c r="AT66" s="40">
        <v>101</v>
      </c>
      <c r="AU66" s="40">
        <v>54</v>
      </c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72"/>
      <c r="BP66" s="40"/>
      <c r="BQ66" s="40"/>
      <c r="BR66" s="40"/>
      <c r="BS66" s="40"/>
      <c r="BT66" s="40"/>
      <c r="BU66" s="40"/>
      <c r="BV66" s="40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40"/>
      <c r="DB66" s="40"/>
      <c r="DC66" s="40"/>
      <c r="DD66" s="39"/>
      <c r="DE66" s="39"/>
      <c r="DF66" s="40">
        <v>328</v>
      </c>
      <c r="DG66" s="40">
        <v>349</v>
      </c>
      <c r="DH66" s="40">
        <v>356</v>
      </c>
      <c r="DI66" s="40">
        <f t="shared" ref="DI66:DI75" si="80">SUM(S66:V66)</f>
        <v>352</v>
      </c>
      <c r="DJ66" s="40">
        <f t="shared" si="75"/>
        <v>398</v>
      </c>
      <c r="DK66" s="40">
        <f t="shared" ref="DK66:DK75" si="81">SUM(AA66:AD66)</f>
        <v>434</v>
      </c>
      <c r="DL66" s="40">
        <f t="shared" ref="DL66:DL71" si="82">DK66</f>
        <v>434</v>
      </c>
      <c r="DM66" s="40">
        <f t="shared" ref="DM66:DM71" si="83">SUM(AI66:AL66)</f>
        <v>434</v>
      </c>
      <c r="DN66" s="40">
        <f t="shared" si="76"/>
        <v>428</v>
      </c>
      <c r="DO66" s="40">
        <f t="shared" si="77"/>
        <v>411</v>
      </c>
      <c r="DP66" s="40">
        <f t="shared" si="78"/>
        <v>54</v>
      </c>
      <c r="DQ66" s="40"/>
      <c r="DR66" s="40"/>
      <c r="DS66" s="40"/>
      <c r="DT66" s="69">
        <f t="shared" si="13"/>
        <v>0</v>
      </c>
      <c r="DU66" s="69"/>
      <c r="DV66" s="69"/>
      <c r="DW66" s="69"/>
      <c r="DX66" s="69"/>
      <c r="DY66" s="69"/>
      <c r="DZ66" s="69"/>
      <c r="EA66" s="69"/>
      <c r="EB66" s="69"/>
      <c r="EC66" s="40"/>
    </row>
    <row r="67" spans="1:133" s="11" customFormat="1">
      <c r="A67" s="31"/>
      <c r="B67" s="31" t="s">
        <v>47</v>
      </c>
      <c r="C67" s="40">
        <v>49</v>
      </c>
      <c r="D67" s="40">
        <v>57</v>
      </c>
      <c r="E67" s="40">
        <v>56</v>
      </c>
      <c r="F67" s="40">
        <v>65.499999999999005</v>
      </c>
      <c r="G67" s="40">
        <v>67</v>
      </c>
      <c r="H67" s="40">
        <v>74</v>
      </c>
      <c r="I67" s="40">
        <v>75</v>
      </c>
      <c r="J67" s="40">
        <v>69</v>
      </c>
      <c r="K67" s="40">
        <v>74</v>
      </c>
      <c r="L67" s="40">
        <v>80</v>
      </c>
      <c r="M67" s="40">
        <v>88</v>
      </c>
      <c r="N67" s="40">
        <v>104</v>
      </c>
      <c r="O67" s="40">
        <v>97</v>
      </c>
      <c r="P67" s="40">
        <v>112</v>
      </c>
      <c r="Q67" s="40">
        <v>101</v>
      </c>
      <c r="R67" s="40">
        <v>113</v>
      </c>
      <c r="S67" s="40">
        <v>131</v>
      </c>
      <c r="T67" s="40">
        <v>127</v>
      </c>
      <c r="U67" s="40">
        <v>117</v>
      </c>
      <c r="V67" s="40">
        <v>130</v>
      </c>
      <c r="W67" s="40">
        <v>141</v>
      </c>
      <c r="X67" s="40">
        <v>143</v>
      </c>
      <c r="Y67" s="40">
        <v>153</v>
      </c>
      <c r="Z67" s="40">
        <v>167</v>
      </c>
      <c r="AA67" s="40">
        <v>178</v>
      </c>
      <c r="AB67" s="40">
        <v>194</v>
      </c>
      <c r="AC67" s="40">
        <v>186</v>
      </c>
      <c r="AD67" s="40">
        <v>215</v>
      </c>
      <c r="AE67" s="40">
        <v>213</v>
      </c>
      <c r="AF67" s="40">
        <v>226</v>
      </c>
      <c r="AG67" s="40">
        <v>241</v>
      </c>
      <c r="AH67" s="40">
        <v>217</v>
      </c>
      <c r="AI67" s="40">
        <v>202</v>
      </c>
      <c r="AJ67" s="40">
        <v>213</v>
      </c>
      <c r="AK67" s="52">
        <v>221</v>
      </c>
      <c r="AL67" s="40">
        <v>236</v>
      </c>
      <c r="AM67" s="40">
        <v>233</v>
      </c>
      <c r="AN67" s="40">
        <v>197</v>
      </c>
      <c r="AO67" s="40">
        <v>204</v>
      </c>
      <c r="AP67" s="40">
        <v>183</v>
      </c>
      <c r="AQ67" s="67">
        <v>172</v>
      </c>
      <c r="AR67" s="40">
        <f>AQ67-5</f>
        <v>167</v>
      </c>
      <c r="AS67" s="40">
        <v>139</v>
      </c>
      <c r="AT67" s="40">
        <v>114</v>
      </c>
      <c r="AU67" s="40">
        <v>100</v>
      </c>
      <c r="AV67" s="40"/>
      <c r="AW67" s="40"/>
      <c r="AX67" s="40"/>
      <c r="AY67" s="40"/>
      <c r="AZ67" s="40"/>
      <c r="BA67" s="40"/>
      <c r="BB67" s="40"/>
      <c r="BC67" s="40">
        <v>65</v>
      </c>
      <c r="BD67" s="40">
        <v>65</v>
      </c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72"/>
      <c r="BP67" s="40"/>
      <c r="BQ67" s="40"/>
      <c r="BR67" s="40"/>
      <c r="BS67" s="40"/>
      <c r="BT67" s="40"/>
      <c r="BU67" s="40"/>
      <c r="BV67" s="40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40"/>
      <c r="DB67" s="40"/>
      <c r="DC67" s="40"/>
      <c r="DD67" s="39"/>
      <c r="DE67" s="39"/>
      <c r="DF67" s="40">
        <v>285</v>
      </c>
      <c r="DG67" s="40">
        <v>346</v>
      </c>
      <c r="DH67" s="40">
        <v>423</v>
      </c>
      <c r="DI67" s="40">
        <f>SUM(S67:V67)</f>
        <v>505</v>
      </c>
      <c r="DJ67" s="40">
        <f>SUM(W67:Z67)</f>
        <v>604</v>
      </c>
      <c r="DK67" s="40">
        <f>SUM(AA67:AD67)</f>
        <v>773</v>
      </c>
      <c r="DL67" s="40">
        <f>SUM(AE67:AH67)</f>
        <v>897</v>
      </c>
      <c r="DM67" s="40">
        <f>SUM(AI67:AL67)</f>
        <v>872</v>
      </c>
      <c r="DN67" s="40">
        <f>SUM(AM67:AP67)</f>
        <v>817</v>
      </c>
      <c r="DO67" s="40">
        <f>SUM(AQ67:AT67)</f>
        <v>592</v>
      </c>
      <c r="DP67" s="40">
        <f>SUM(AU67:AX67)</f>
        <v>100</v>
      </c>
      <c r="DQ67" s="40"/>
      <c r="DR67" s="40"/>
      <c r="DS67" s="40"/>
      <c r="DT67" s="69">
        <f t="shared" si="13"/>
        <v>0</v>
      </c>
      <c r="DU67" s="69"/>
      <c r="DV67" s="69"/>
      <c r="DW67" s="69"/>
      <c r="DX67" s="69"/>
      <c r="DY67" s="69"/>
      <c r="DZ67" s="69"/>
      <c r="EA67" s="69"/>
      <c r="EB67" s="69"/>
      <c r="EC67" s="40"/>
    </row>
    <row r="68" spans="1:133" s="11" customFormat="1">
      <c r="A68" s="31"/>
      <c r="B68" s="98" t="s">
        <v>46</v>
      </c>
      <c r="C68" s="40"/>
      <c r="D68" s="40"/>
      <c r="E68" s="40"/>
      <c r="F68" s="40"/>
      <c r="G68" s="40"/>
      <c r="H68" s="40"/>
      <c r="I68" s="40"/>
      <c r="J68" s="40"/>
      <c r="K68" s="40">
        <v>17</v>
      </c>
      <c r="L68" s="40">
        <v>18</v>
      </c>
      <c r="M68" s="40">
        <v>19</v>
      </c>
      <c r="N68" s="40">
        <v>19</v>
      </c>
      <c r="O68" s="40">
        <v>17</v>
      </c>
      <c r="P68" s="40">
        <v>21</v>
      </c>
      <c r="Q68" s="40">
        <v>16</v>
      </c>
      <c r="R68" s="40">
        <v>17</v>
      </c>
      <c r="S68" s="40">
        <v>17</v>
      </c>
      <c r="T68" s="40">
        <v>18</v>
      </c>
      <c r="U68" s="40">
        <v>15</v>
      </c>
      <c r="V68" s="40">
        <v>16</v>
      </c>
      <c r="W68" s="40">
        <v>15</v>
      </c>
      <c r="X68" s="40">
        <v>14</v>
      </c>
      <c r="Y68" s="40">
        <v>15</v>
      </c>
      <c r="Z68" s="40">
        <v>13</v>
      </c>
      <c r="AA68" s="40">
        <v>12</v>
      </c>
      <c r="AB68" s="40">
        <v>15</v>
      </c>
      <c r="AC68" s="40">
        <v>16</v>
      </c>
      <c r="AD68" s="40">
        <v>249</v>
      </c>
      <c r="AE68" s="40">
        <v>221</v>
      </c>
      <c r="AF68" s="40">
        <v>15</v>
      </c>
      <c r="AG68" s="40">
        <v>13</v>
      </c>
      <c r="AH68" s="40">
        <v>11</v>
      </c>
      <c r="AI68" s="40">
        <v>10</v>
      </c>
      <c r="AJ68" s="40">
        <v>12</v>
      </c>
      <c r="AK68" s="52">
        <v>11</v>
      </c>
      <c r="AL68" s="40">
        <v>15</v>
      </c>
      <c r="AM68" s="40">
        <v>10</v>
      </c>
      <c r="AN68" s="40">
        <v>10</v>
      </c>
      <c r="AO68" s="40">
        <v>9</v>
      </c>
      <c r="AP68" s="40">
        <v>13</v>
      </c>
      <c r="AQ68" s="67">
        <v>10</v>
      </c>
      <c r="AR68" s="40">
        <f>AQ68</f>
        <v>10</v>
      </c>
      <c r="AS68" s="40">
        <v>7</v>
      </c>
      <c r="AT68" s="40">
        <v>7</v>
      </c>
      <c r="AU68" s="40">
        <v>6</v>
      </c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72"/>
      <c r="BP68" s="40"/>
      <c r="BQ68" s="40"/>
      <c r="BR68" s="40"/>
      <c r="BS68" s="40"/>
      <c r="BT68" s="40"/>
      <c r="BU68" s="40"/>
      <c r="BV68" s="40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40"/>
      <c r="DB68" s="40"/>
      <c r="DC68" s="40"/>
      <c r="DD68" s="39"/>
      <c r="DE68" s="39"/>
      <c r="DF68" s="40"/>
      <c r="DG68" s="40">
        <v>73</v>
      </c>
      <c r="DH68" s="40">
        <v>71</v>
      </c>
      <c r="DI68" s="40">
        <f>SUM(S68:V68)</f>
        <v>66</v>
      </c>
      <c r="DJ68" s="40">
        <f>SUM(W68:Z68)</f>
        <v>57</v>
      </c>
      <c r="DK68" s="40">
        <f>SUM(AA68:AD68)</f>
        <v>292</v>
      </c>
      <c r="DL68" s="40">
        <f>DK68</f>
        <v>292</v>
      </c>
      <c r="DM68" s="40">
        <f>SUM(AI68:AL68)</f>
        <v>48</v>
      </c>
      <c r="DN68" s="40">
        <f>SUM(AM68:AP68)</f>
        <v>42</v>
      </c>
      <c r="DO68" s="40">
        <f>SUM(AQ68:AT68)</f>
        <v>34</v>
      </c>
      <c r="DP68" s="40">
        <f>SUM(AU68:AX68)</f>
        <v>6</v>
      </c>
      <c r="DQ68" s="40"/>
      <c r="DR68" s="40"/>
      <c r="DS68" s="40"/>
      <c r="DT68" s="69">
        <f t="shared" si="13"/>
        <v>0</v>
      </c>
      <c r="DU68" s="69"/>
      <c r="DV68" s="69"/>
      <c r="DW68" s="69"/>
      <c r="DX68" s="69"/>
      <c r="DY68" s="69"/>
      <c r="DZ68" s="69"/>
      <c r="EA68" s="69"/>
      <c r="EB68" s="69"/>
      <c r="EC68" s="40"/>
    </row>
    <row r="69" spans="1:133" s="11" customFormat="1">
      <c r="A69" s="31"/>
      <c r="B69" s="98" t="s">
        <v>35</v>
      </c>
      <c r="C69" s="40">
        <v>55</v>
      </c>
      <c r="D69" s="40">
        <v>73</v>
      </c>
      <c r="E69" s="40">
        <v>63</v>
      </c>
      <c r="F69" s="40">
        <v>74</v>
      </c>
      <c r="G69" s="40">
        <v>63</v>
      </c>
      <c r="H69" s="40">
        <v>81</v>
      </c>
      <c r="I69" s="40">
        <v>79</v>
      </c>
      <c r="J69" s="40">
        <v>76</v>
      </c>
      <c r="K69" s="40">
        <v>90</v>
      </c>
      <c r="L69" s="40">
        <v>96</v>
      </c>
      <c r="M69" s="40">
        <v>86</v>
      </c>
      <c r="N69" s="40">
        <v>92</v>
      </c>
      <c r="O69" s="40">
        <v>81</v>
      </c>
      <c r="P69" s="40">
        <v>100</v>
      </c>
      <c r="Q69" s="40">
        <v>87</v>
      </c>
      <c r="R69" s="40">
        <v>93</v>
      </c>
      <c r="S69" s="40">
        <v>92</v>
      </c>
      <c r="T69" s="40">
        <v>112</v>
      </c>
      <c r="U69" s="40">
        <v>91</v>
      </c>
      <c r="V69" s="40">
        <v>92</v>
      </c>
      <c r="W69" s="40">
        <f>187-X69</f>
        <v>85</v>
      </c>
      <c r="X69" s="40">
        <v>102</v>
      </c>
      <c r="Y69" s="40">
        <v>83</v>
      </c>
      <c r="Z69" s="40">
        <v>90</v>
      </c>
      <c r="AA69" s="40">
        <f>187-AB69</f>
        <v>92</v>
      </c>
      <c r="AB69" s="40">
        <v>95</v>
      </c>
      <c r="AC69" s="40">
        <v>80</v>
      </c>
      <c r="AD69" s="40">
        <v>87</v>
      </c>
      <c r="AE69" s="40">
        <v>80</v>
      </c>
      <c r="AF69" s="40">
        <v>92</v>
      </c>
      <c r="AG69" s="40">
        <v>72</v>
      </c>
      <c r="AH69" s="40">
        <v>78</v>
      </c>
      <c r="AI69" s="40">
        <v>64</v>
      </c>
      <c r="AJ69" s="40">
        <v>72</v>
      </c>
      <c r="AK69" s="52">
        <v>63</v>
      </c>
      <c r="AL69" s="40">
        <v>65</v>
      </c>
      <c r="AM69" s="40">
        <v>55</v>
      </c>
      <c r="AN69" s="40">
        <v>65</v>
      </c>
      <c r="AO69" s="40">
        <v>55</v>
      </c>
      <c r="AP69" s="40">
        <v>52</v>
      </c>
      <c r="AQ69" s="67">
        <v>55</v>
      </c>
      <c r="AR69" s="40">
        <f t="shared" si="79"/>
        <v>55</v>
      </c>
      <c r="AS69" s="40">
        <v>52</v>
      </c>
      <c r="AT69" s="40">
        <v>50</v>
      </c>
      <c r="AU69" s="40">
        <v>44</v>
      </c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72"/>
      <c r="BP69" s="40"/>
      <c r="BQ69" s="40"/>
      <c r="BR69" s="40"/>
      <c r="BS69" s="40"/>
      <c r="BT69" s="40"/>
      <c r="BU69" s="40"/>
      <c r="BV69" s="40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40"/>
      <c r="DB69" s="40"/>
      <c r="DC69" s="40"/>
      <c r="DD69" s="39"/>
      <c r="DE69" s="39"/>
      <c r="DF69" s="40">
        <v>299</v>
      </c>
      <c r="DG69" s="40">
        <v>364</v>
      </c>
      <c r="DH69" s="40">
        <v>361</v>
      </c>
      <c r="DI69" s="40">
        <f t="shared" si="80"/>
        <v>387</v>
      </c>
      <c r="DJ69" s="40">
        <f t="shared" si="75"/>
        <v>360</v>
      </c>
      <c r="DK69" s="40">
        <f t="shared" si="81"/>
        <v>354</v>
      </c>
      <c r="DL69" s="40">
        <f t="shared" si="82"/>
        <v>354</v>
      </c>
      <c r="DM69" s="40">
        <f t="shared" si="83"/>
        <v>264</v>
      </c>
      <c r="DN69" s="40">
        <f t="shared" si="76"/>
        <v>227</v>
      </c>
      <c r="DO69" s="40">
        <f t="shared" si="77"/>
        <v>212</v>
      </c>
      <c r="DP69" s="40">
        <f t="shared" si="78"/>
        <v>44</v>
      </c>
      <c r="DQ69" s="40"/>
      <c r="DR69" s="40"/>
      <c r="DS69" s="40"/>
      <c r="DT69" s="69">
        <f t="shared" si="13"/>
        <v>0</v>
      </c>
      <c r="DU69" s="69"/>
      <c r="DV69" s="69"/>
      <c r="DW69" s="69"/>
      <c r="DX69" s="69"/>
      <c r="DY69" s="69"/>
      <c r="DZ69" s="69"/>
      <c r="EA69" s="69"/>
      <c r="EB69" s="69"/>
      <c r="EC69" s="40"/>
    </row>
    <row r="70" spans="1:133" s="11" customFormat="1">
      <c r="A70" s="31"/>
      <c r="B70" s="98" t="s">
        <v>33</v>
      </c>
      <c r="C70" s="40">
        <v>287</v>
      </c>
      <c r="D70" s="40">
        <v>341</v>
      </c>
      <c r="E70" s="40">
        <v>183</v>
      </c>
      <c r="F70" s="40">
        <v>256</v>
      </c>
      <c r="G70" s="40">
        <v>277</v>
      </c>
      <c r="H70" s="40">
        <v>269</v>
      </c>
      <c r="I70" s="40">
        <v>187</v>
      </c>
      <c r="J70" s="40">
        <v>144</v>
      </c>
      <c r="K70" s="40">
        <v>108</v>
      </c>
      <c r="L70" s="40">
        <v>118</v>
      </c>
      <c r="M70" s="40">
        <v>116</v>
      </c>
      <c r="N70" s="40">
        <v>136</v>
      </c>
      <c r="O70" s="40">
        <v>105</v>
      </c>
      <c r="P70" s="40">
        <v>117</v>
      </c>
      <c r="Q70" s="40">
        <v>105</v>
      </c>
      <c r="R70" s="40">
        <v>113</v>
      </c>
      <c r="S70" s="40">
        <v>87</v>
      </c>
      <c r="T70" s="40">
        <v>78</v>
      </c>
      <c r="U70" s="40">
        <v>83</v>
      </c>
      <c r="V70" s="40">
        <v>84</v>
      </c>
      <c r="W70" s="40">
        <f>153-X70</f>
        <v>75</v>
      </c>
      <c r="X70" s="40">
        <v>78</v>
      </c>
      <c r="Y70" s="40">
        <v>76</v>
      </c>
      <c r="Z70" s="40">
        <v>78</v>
      </c>
      <c r="AA70" s="40">
        <f>156-AB70</f>
        <v>80</v>
      </c>
      <c r="AB70" s="40">
        <v>76</v>
      </c>
      <c r="AC70" s="40">
        <v>72</v>
      </c>
      <c r="AD70" s="40">
        <v>67</v>
      </c>
      <c r="AE70" s="40">
        <v>59</v>
      </c>
      <c r="AF70" s="40">
        <v>65</v>
      </c>
      <c r="AG70" s="40">
        <v>60</v>
      </c>
      <c r="AH70" s="40">
        <v>52</v>
      </c>
      <c r="AI70" s="40">
        <v>47</v>
      </c>
      <c r="AJ70" s="40">
        <v>47</v>
      </c>
      <c r="AK70" s="52">
        <v>47</v>
      </c>
      <c r="AL70" s="40">
        <v>43</v>
      </c>
      <c r="AM70" s="40">
        <v>42</v>
      </c>
      <c r="AN70" s="40">
        <v>40</v>
      </c>
      <c r="AO70" s="40">
        <v>35</v>
      </c>
      <c r="AP70" s="40">
        <v>40</v>
      </c>
      <c r="AQ70" s="67">
        <v>33</v>
      </c>
      <c r="AR70" s="40">
        <f t="shared" si="79"/>
        <v>33</v>
      </c>
      <c r="AS70" s="40">
        <v>37</v>
      </c>
      <c r="AT70" s="40">
        <v>35</v>
      </c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72"/>
      <c r="BP70" s="40"/>
      <c r="BQ70" s="40"/>
      <c r="BR70" s="40"/>
      <c r="BS70" s="40"/>
      <c r="BT70" s="40"/>
      <c r="BU70" s="40"/>
      <c r="BV70" s="40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40"/>
      <c r="DB70" s="40"/>
      <c r="DC70" s="40"/>
      <c r="DD70" s="39"/>
      <c r="DE70" s="39"/>
      <c r="DF70" s="40">
        <v>877</v>
      </c>
      <c r="DG70" s="40">
        <v>478</v>
      </c>
      <c r="DH70" s="40">
        <v>440</v>
      </c>
      <c r="DI70" s="40">
        <f t="shared" si="80"/>
        <v>332</v>
      </c>
      <c r="DJ70" s="40">
        <f t="shared" si="75"/>
        <v>307</v>
      </c>
      <c r="DK70" s="40">
        <f t="shared" si="81"/>
        <v>295</v>
      </c>
      <c r="DL70" s="40">
        <f t="shared" si="82"/>
        <v>295</v>
      </c>
      <c r="DM70" s="40">
        <f t="shared" si="83"/>
        <v>184</v>
      </c>
      <c r="DN70" s="40">
        <f t="shared" si="76"/>
        <v>157</v>
      </c>
      <c r="DO70" s="40">
        <f t="shared" si="77"/>
        <v>138</v>
      </c>
      <c r="DP70" s="40"/>
      <c r="DQ70" s="40"/>
      <c r="DR70" s="40"/>
      <c r="DS70" s="40"/>
      <c r="DT70" s="69">
        <f t="shared" si="13"/>
        <v>0</v>
      </c>
      <c r="DU70" s="69"/>
      <c r="DV70" s="69"/>
      <c r="DW70" s="69"/>
      <c r="DX70" s="69"/>
      <c r="DY70" s="69"/>
      <c r="DZ70" s="69"/>
      <c r="EA70" s="69"/>
      <c r="EB70" s="69"/>
    </row>
    <row r="71" spans="1:133" s="11" customFormat="1">
      <c r="A71" s="31"/>
      <c r="B71" s="98" t="s">
        <v>456</v>
      </c>
      <c r="C71" s="40">
        <v>105</v>
      </c>
      <c r="D71" s="40">
        <v>104</v>
      </c>
      <c r="E71" s="40">
        <v>118</v>
      </c>
      <c r="F71" s="40">
        <v>136</v>
      </c>
      <c r="G71" s="40">
        <v>106</v>
      </c>
      <c r="H71" s="40">
        <v>97</v>
      </c>
      <c r="I71" s="40">
        <v>147</v>
      </c>
      <c r="J71" s="40">
        <v>139</v>
      </c>
      <c r="K71" s="40">
        <v>110</v>
      </c>
      <c r="L71" s="40">
        <v>129</v>
      </c>
      <c r="M71" s="40">
        <v>144</v>
      </c>
      <c r="N71" s="40">
        <v>157</v>
      </c>
      <c r="O71" s="40">
        <v>111</v>
      </c>
      <c r="P71" s="40">
        <v>148</v>
      </c>
      <c r="Q71" s="40">
        <v>102</v>
      </c>
      <c r="R71" s="40">
        <v>94</v>
      </c>
      <c r="S71" s="40">
        <v>93</v>
      </c>
      <c r="T71" s="40">
        <v>112.25</v>
      </c>
      <c r="U71" s="40">
        <v>82</v>
      </c>
      <c r="V71" s="40">
        <v>73</v>
      </c>
      <c r="W71" s="40">
        <f>142-X71</f>
        <v>72</v>
      </c>
      <c r="X71" s="40">
        <v>70</v>
      </c>
      <c r="Y71" s="40">
        <v>68</v>
      </c>
      <c r="Z71" s="40">
        <v>65</v>
      </c>
      <c r="AA71" s="40">
        <f>139-AB71</f>
        <v>65</v>
      </c>
      <c r="AB71" s="40">
        <v>74</v>
      </c>
      <c r="AC71" s="40">
        <v>66</v>
      </c>
      <c r="AD71" s="40">
        <v>66</v>
      </c>
      <c r="AE71" s="40">
        <v>66</v>
      </c>
      <c r="AF71" s="40">
        <v>70</v>
      </c>
      <c r="AG71" s="40">
        <v>65</v>
      </c>
      <c r="AH71" s="40">
        <v>67</v>
      </c>
      <c r="AI71" s="40">
        <v>61</v>
      </c>
      <c r="AJ71" s="40">
        <v>60</v>
      </c>
      <c r="AK71" s="52">
        <v>60</v>
      </c>
      <c r="AL71" s="40">
        <v>60</v>
      </c>
      <c r="AM71" s="40">
        <v>66</v>
      </c>
      <c r="AN71" s="40">
        <v>63</v>
      </c>
      <c r="AO71" s="40">
        <v>63</v>
      </c>
      <c r="AP71" s="40">
        <v>63</v>
      </c>
      <c r="AQ71" s="67">
        <v>68</v>
      </c>
      <c r="AR71" s="40">
        <f t="shared" si="79"/>
        <v>68</v>
      </c>
      <c r="AS71" s="40">
        <v>66</v>
      </c>
      <c r="AT71" s="40">
        <v>60</v>
      </c>
      <c r="AU71" s="40">
        <v>73</v>
      </c>
      <c r="AV71" s="40"/>
      <c r="AW71" s="40"/>
      <c r="AX71" s="40"/>
      <c r="AY71" s="40"/>
      <c r="AZ71" s="40"/>
      <c r="BA71" s="40"/>
      <c r="BB71" s="40"/>
      <c r="BC71" s="40">
        <v>69</v>
      </c>
      <c r="BD71" s="40">
        <v>53</v>
      </c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72"/>
      <c r="BP71" s="40"/>
      <c r="BQ71" s="40"/>
      <c r="BR71" s="40"/>
      <c r="BS71" s="40"/>
      <c r="BT71" s="40"/>
      <c r="BU71" s="40"/>
      <c r="BV71" s="40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40"/>
      <c r="DB71" s="40"/>
      <c r="DC71" s="40"/>
      <c r="DD71" s="39"/>
      <c r="DE71" s="39"/>
      <c r="DF71" s="40">
        <v>489</v>
      </c>
      <c r="DG71" s="40">
        <v>540</v>
      </c>
      <c r="DH71" s="40">
        <v>455</v>
      </c>
      <c r="DI71" s="40">
        <f t="shared" si="80"/>
        <v>360.25</v>
      </c>
      <c r="DJ71" s="40">
        <f t="shared" si="75"/>
        <v>275</v>
      </c>
      <c r="DK71" s="40">
        <f t="shared" si="81"/>
        <v>271</v>
      </c>
      <c r="DL71" s="40">
        <f t="shared" si="82"/>
        <v>271</v>
      </c>
      <c r="DM71" s="40">
        <f t="shared" si="83"/>
        <v>241</v>
      </c>
      <c r="DN71" s="40">
        <f t="shared" si="76"/>
        <v>255</v>
      </c>
      <c r="DO71" s="40">
        <f t="shared" si="77"/>
        <v>262</v>
      </c>
      <c r="DP71" s="40">
        <f t="shared" ref="DP71:DP75" si="84">SUM(AU71:AX71)</f>
        <v>73</v>
      </c>
      <c r="DQ71" s="40"/>
      <c r="DR71" s="40"/>
      <c r="DS71" s="40"/>
      <c r="DT71" s="69">
        <f t="shared" si="13"/>
        <v>0</v>
      </c>
      <c r="DU71" s="69"/>
      <c r="DV71" s="69"/>
      <c r="DW71" s="69"/>
      <c r="DX71" s="69"/>
      <c r="DY71" s="69"/>
      <c r="DZ71" s="69"/>
      <c r="EA71" s="69"/>
      <c r="EB71" s="69"/>
      <c r="EC71" s="40"/>
    </row>
    <row r="72" spans="1:133" s="11" customFormat="1">
      <c r="A72" s="31"/>
      <c r="B72" s="31" t="s">
        <v>455</v>
      </c>
      <c r="C72" s="40">
        <v>98</v>
      </c>
      <c r="D72" s="40">
        <v>115</v>
      </c>
      <c r="E72" s="40">
        <v>87</v>
      </c>
      <c r="F72" s="40">
        <v>104</v>
      </c>
      <c r="G72" s="40">
        <v>94</v>
      </c>
      <c r="H72" s="40">
        <v>96</v>
      </c>
      <c r="I72" s="40">
        <v>85</v>
      </c>
      <c r="J72" s="40">
        <v>95</v>
      </c>
      <c r="K72" s="40">
        <v>84</v>
      </c>
      <c r="L72" s="40">
        <v>81</v>
      </c>
      <c r="M72" s="40">
        <v>81</v>
      </c>
      <c r="N72" s="40">
        <v>96</v>
      </c>
      <c r="O72" s="40">
        <v>85</v>
      </c>
      <c r="P72" s="40">
        <v>93</v>
      </c>
      <c r="Q72" s="40">
        <v>93</v>
      </c>
      <c r="R72" s="40">
        <v>97</v>
      </c>
      <c r="S72" s="40">
        <v>83</v>
      </c>
      <c r="T72" s="40">
        <v>92</v>
      </c>
      <c r="U72" s="40">
        <v>87</v>
      </c>
      <c r="V72" s="40">
        <v>90</v>
      </c>
      <c r="W72" s="40">
        <v>76</v>
      </c>
      <c r="X72" s="40">
        <v>85</v>
      </c>
      <c r="Y72" s="40">
        <v>77</v>
      </c>
      <c r="Z72" s="40">
        <v>82</v>
      </c>
      <c r="AA72" s="40">
        <v>71</v>
      </c>
      <c r="AB72" s="40">
        <v>80</v>
      </c>
      <c r="AC72" s="40">
        <v>73</v>
      </c>
      <c r="AD72" s="40"/>
      <c r="AE72" s="40"/>
      <c r="AF72" s="40">
        <v>87</v>
      </c>
      <c r="AG72" s="40">
        <v>79</v>
      </c>
      <c r="AH72" s="40">
        <v>77</v>
      </c>
      <c r="AI72" s="40">
        <v>66</v>
      </c>
      <c r="AJ72" s="40">
        <v>77</v>
      </c>
      <c r="AK72" s="52">
        <v>74</v>
      </c>
      <c r="AL72" s="40">
        <v>79</v>
      </c>
      <c r="AM72" s="40">
        <v>67</v>
      </c>
      <c r="AN72" s="40">
        <v>72</v>
      </c>
      <c r="AO72" s="40">
        <v>0</v>
      </c>
      <c r="AP72" s="40">
        <v>0</v>
      </c>
      <c r="AQ72" s="67">
        <v>63</v>
      </c>
      <c r="AR72" s="40">
        <f t="shared" ref="AR72:AR75" si="85">AQ72</f>
        <v>63</v>
      </c>
      <c r="AS72" s="40">
        <v>68</v>
      </c>
      <c r="AT72" s="40">
        <v>68</v>
      </c>
      <c r="AU72" s="40">
        <v>57</v>
      </c>
      <c r="AV72" s="40"/>
      <c r="AW72" s="40"/>
      <c r="AX72" s="40"/>
      <c r="AY72" s="40"/>
      <c r="AZ72" s="40"/>
      <c r="BA72" s="40"/>
      <c r="BB72" s="40"/>
      <c r="BC72" s="40">
        <v>39</v>
      </c>
      <c r="BD72" s="40">
        <v>42</v>
      </c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72"/>
      <c r="BP72" s="40"/>
      <c r="BQ72" s="40"/>
      <c r="BR72" s="40"/>
      <c r="BS72" s="40"/>
      <c r="BT72" s="40"/>
      <c r="BU72" s="40"/>
      <c r="BV72" s="40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40"/>
      <c r="DB72" s="40"/>
      <c r="DC72" s="40"/>
      <c r="DD72" s="39"/>
      <c r="DE72" s="39"/>
      <c r="DF72" s="40">
        <v>370</v>
      </c>
      <c r="DG72" s="40">
        <v>342</v>
      </c>
      <c r="DH72" s="40">
        <v>368</v>
      </c>
      <c r="DI72" s="40">
        <f t="shared" si="80"/>
        <v>352</v>
      </c>
      <c r="DJ72" s="40">
        <f>SUM(W72:Z72)</f>
        <v>320</v>
      </c>
      <c r="DK72" s="40">
        <f t="shared" si="81"/>
        <v>224</v>
      </c>
      <c r="DL72" s="40">
        <f t="shared" ref="DL72:DL75" si="86">DK72</f>
        <v>224</v>
      </c>
      <c r="DM72" s="40">
        <f t="shared" ref="DM72:DM76" si="87">SUM(AI72:AL72)</f>
        <v>296</v>
      </c>
      <c r="DN72" s="40">
        <f t="shared" si="76"/>
        <v>139</v>
      </c>
      <c r="DO72" s="40">
        <f t="shared" si="77"/>
        <v>262</v>
      </c>
      <c r="DP72" s="40">
        <f t="shared" si="84"/>
        <v>57</v>
      </c>
      <c r="DQ72" s="40"/>
      <c r="DR72" s="40"/>
      <c r="DS72" s="40"/>
      <c r="DT72" s="69">
        <f t="shared" si="13"/>
        <v>0</v>
      </c>
      <c r="DU72" s="69"/>
      <c r="DV72" s="69"/>
      <c r="DW72" s="69"/>
      <c r="DX72" s="69"/>
      <c r="DY72" s="69"/>
      <c r="DZ72" s="69"/>
      <c r="EA72" s="69"/>
      <c r="EB72" s="69"/>
      <c r="EC72" s="40"/>
    </row>
    <row r="73" spans="1:133" s="11" customFormat="1">
      <c r="A73" s="31"/>
      <c r="B73" s="98" t="s">
        <v>44</v>
      </c>
      <c r="C73" s="40"/>
      <c r="D73" s="40"/>
      <c r="E73" s="40"/>
      <c r="F73" s="40"/>
      <c r="G73" s="40"/>
      <c r="H73" s="40"/>
      <c r="I73" s="40"/>
      <c r="J73" s="40"/>
      <c r="K73" s="40">
        <v>136</v>
      </c>
      <c r="L73" s="40">
        <v>98</v>
      </c>
      <c r="M73" s="40">
        <v>105</v>
      </c>
      <c r="N73" s="40">
        <v>119</v>
      </c>
      <c r="O73" s="40">
        <v>122</v>
      </c>
      <c r="P73" s="40">
        <v>126</v>
      </c>
      <c r="Q73" s="40">
        <v>126</v>
      </c>
      <c r="R73" s="40">
        <v>126</v>
      </c>
      <c r="S73" s="40">
        <v>107</v>
      </c>
      <c r="T73" s="40">
        <v>98</v>
      </c>
      <c r="U73" s="40">
        <v>76</v>
      </c>
      <c r="V73" s="40">
        <v>88</v>
      </c>
      <c r="W73" s="40">
        <v>89</v>
      </c>
      <c r="X73" s="40">
        <v>72</v>
      </c>
      <c r="Y73" s="40">
        <v>64</v>
      </c>
      <c r="Z73" s="40">
        <v>79</v>
      </c>
      <c r="AA73" s="40">
        <v>59</v>
      </c>
      <c r="AB73" s="40">
        <v>66</v>
      </c>
      <c r="AC73" s="40">
        <v>64</v>
      </c>
      <c r="AD73" s="40"/>
      <c r="AE73" s="40"/>
      <c r="AF73" s="40">
        <v>76</v>
      </c>
      <c r="AG73" s="40">
        <v>69</v>
      </c>
      <c r="AH73" s="40">
        <v>65</v>
      </c>
      <c r="AI73" s="40">
        <v>64</v>
      </c>
      <c r="AJ73" s="40">
        <v>70</v>
      </c>
      <c r="AK73" s="52">
        <v>77</v>
      </c>
      <c r="AL73" s="40">
        <v>79</v>
      </c>
      <c r="AM73" s="40">
        <v>75</v>
      </c>
      <c r="AN73" s="40">
        <v>81</v>
      </c>
      <c r="AO73" s="40">
        <v>85</v>
      </c>
      <c r="AP73" s="40">
        <v>81</v>
      </c>
      <c r="AQ73" s="67">
        <v>70</v>
      </c>
      <c r="AR73" s="40">
        <f t="shared" si="85"/>
        <v>70</v>
      </c>
      <c r="AS73" s="40">
        <v>71</v>
      </c>
      <c r="AT73" s="40">
        <v>67</v>
      </c>
      <c r="AU73" s="40">
        <v>66</v>
      </c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72"/>
      <c r="BP73" s="40"/>
      <c r="BQ73" s="40"/>
      <c r="BR73" s="40"/>
      <c r="BS73" s="40"/>
      <c r="BT73" s="40"/>
      <c r="BU73" s="40"/>
      <c r="BV73" s="40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40"/>
      <c r="DB73" s="40"/>
      <c r="DC73" s="40"/>
      <c r="DD73" s="39"/>
      <c r="DE73" s="39"/>
      <c r="DF73" s="40"/>
      <c r="DG73" s="40">
        <v>458</v>
      </c>
      <c r="DH73" s="40">
        <v>500</v>
      </c>
      <c r="DI73" s="40">
        <f t="shared" si="80"/>
        <v>369</v>
      </c>
      <c r="DJ73" s="40">
        <f>SUM(W73:Z73)</f>
        <v>304</v>
      </c>
      <c r="DK73" s="40">
        <f t="shared" si="81"/>
        <v>189</v>
      </c>
      <c r="DL73" s="40">
        <f t="shared" si="86"/>
        <v>189</v>
      </c>
      <c r="DM73" s="40">
        <f t="shared" si="87"/>
        <v>290</v>
      </c>
      <c r="DN73" s="40">
        <f t="shared" si="76"/>
        <v>322</v>
      </c>
      <c r="DO73" s="40">
        <f t="shared" si="77"/>
        <v>278</v>
      </c>
      <c r="DP73" s="40">
        <f t="shared" si="84"/>
        <v>66</v>
      </c>
      <c r="DQ73" s="40"/>
      <c r="DR73" s="40"/>
      <c r="DS73" s="40"/>
      <c r="DT73" s="69">
        <f t="shared" si="13"/>
        <v>0</v>
      </c>
      <c r="DU73" s="69"/>
      <c r="DV73" s="69"/>
      <c r="DW73" s="69"/>
      <c r="DX73" s="69"/>
      <c r="DY73" s="69"/>
      <c r="DZ73" s="69"/>
      <c r="EA73" s="69"/>
      <c r="EB73" s="69"/>
      <c r="EC73" s="40"/>
    </row>
    <row r="74" spans="1:133" s="11" customFormat="1">
      <c r="A74" s="31"/>
      <c r="B74" s="31" t="s">
        <v>222</v>
      </c>
      <c r="C74" s="40"/>
      <c r="D74" s="40"/>
      <c r="E74" s="40"/>
      <c r="F74" s="40"/>
      <c r="G74" s="40"/>
      <c r="H74" s="40"/>
      <c r="I74" s="40"/>
      <c r="J74" s="40"/>
      <c r="K74" s="40">
        <v>101</v>
      </c>
      <c r="L74" s="40">
        <v>122</v>
      </c>
      <c r="M74" s="40">
        <v>121</v>
      </c>
      <c r="N74" s="40">
        <v>122</v>
      </c>
      <c r="O74" s="40">
        <v>130</v>
      </c>
      <c r="P74" s="40">
        <v>140</v>
      </c>
      <c r="Q74" s="40">
        <v>128</v>
      </c>
      <c r="R74" s="40">
        <v>144</v>
      </c>
      <c r="S74" s="40">
        <v>127</v>
      </c>
      <c r="T74" s="40">
        <v>135</v>
      </c>
      <c r="U74" s="40">
        <v>118</v>
      </c>
      <c r="V74" s="40">
        <v>131</v>
      </c>
      <c r="W74" s="40">
        <v>132</v>
      </c>
      <c r="X74" s="40">
        <v>140</v>
      </c>
      <c r="Y74" s="40">
        <v>124</v>
      </c>
      <c r="Z74" s="40">
        <v>133</v>
      </c>
      <c r="AA74" s="40">
        <v>126</v>
      </c>
      <c r="AB74" s="40">
        <v>143</v>
      </c>
      <c r="AC74" s="40">
        <v>129</v>
      </c>
      <c r="AD74" s="40"/>
      <c r="AE74" s="40">
        <v>138</v>
      </c>
      <c r="AF74" s="40">
        <v>171</v>
      </c>
      <c r="AG74" s="40">
        <v>149</v>
      </c>
      <c r="AH74" s="40">
        <v>147</v>
      </c>
      <c r="AI74" s="40">
        <v>132</v>
      </c>
      <c r="AJ74" s="40">
        <v>153</v>
      </c>
      <c r="AK74" s="52">
        <v>148</v>
      </c>
      <c r="AL74" s="40">
        <v>166</v>
      </c>
      <c r="AM74" s="40">
        <v>149</v>
      </c>
      <c r="AN74" s="40">
        <v>155</v>
      </c>
      <c r="AO74" s="40">
        <v>139</v>
      </c>
      <c r="AP74" s="40">
        <v>162</v>
      </c>
      <c r="AQ74" s="67">
        <v>149</v>
      </c>
      <c r="AR74" s="40">
        <f t="shared" si="85"/>
        <v>149</v>
      </c>
      <c r="AS74" s="40">
        <v>149</v>
      </c>
      <c r="AT74" s="40">
        <v>148</v>
      </c>
      <c r="AU74" s="40">
        <v>132</v>
      </c>
      <c r="AV74" s="40"/>
      <c r="AW74" s="40"/>
      <c r="AX74" s="40"/>
      <c r="AY74" s="40"/>
      <c r="AZ74" s="40"/>
      <c r="BA74" s="40"/>
      <c r="BB74" s="40"/>
      <c r="BC74" s="40">
        <v>122</v>
      </c>
      <c r="BD74" s="40">
        <v>127</v>
      </c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72"/>
      <c r="BP74" s="40"/>
      <c r="BQ74" s="40"/>
      <c r="BR74" s="40"/>
      <c r="BS74" s="40"/>
      <c r="BT74" s="40"/>
      <c r="BU74" s="40"/>
      <c r="BV74" s="40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40"/>
      <c r="DB74" s="40"/>
      <c r="DC74" s="40"/>
      <c r="DD74" s="39"/>
      <c r="DE74" s="39"/>
      <c r="DF74" s="40"/>
      <c r="DG74" s="40">
        <v>466</v>
      </c>
      <c r="DH74" s="40">
        <v>542</v>
      </c>
      <c r="DI74" s="40">
        <f t="shared" si="80"/>
        <v>511</v>
      </c>
      <c r="DJ74" s="40">
        <f>SUM(W74:Z74)</f>
        <v>529</v>
      </c>
      <c r="DK74" s="40">
        <f t="shared" si="81"/>
        <v>398</v>
      </c>
      <c r="DL74" s="40">
        <f t="shared" si="86"/>
        <v>398</v>
      </c>
      <c r="DM74" s="40">
        <f t="shared" si="87"/>
        <v>599</v>
      </c>
      <c r="DN74" s="40">
        <f t="shared" si="76"/>
        <v>605</v>
      </c>
      <c r="DO74" s="40">
        <f t="shared" si="77"/>
        <v>595</v>
      </c>
      <c r="DP74" s="40">
        <f t="shared" si="84"/>
        <v>132</v>
      </c>
      <c r="DQ74" s="40"/>
      <c r="DR74" s="40"/>
      <c r="DS74" s="40"/>
      <c r="DT74" s="69">
        <f t="shared" si="13"/>
        <v>0</v>
      </c>
      <c r="DU74" s="69"/>
      <c r="DV74" s="69"/>
      <c r="DW74" s="69"/>
      <c r="DX74" s="69"/>
      <c r="DY74" s="69"/>
      <c r="DZ74" s="69"/>
      <c r="EA74" s="69"/>
      <c r="EB74" s="69"/>
      <c r="EC74" s="40"/>
    </row>
    <row r="75" spans="1:133" s="11" customFormat="1">
      <c r="A75" s="31"/>
      <c r="B75" s="98" t="s">
        <v>215</v>
      </c>
      <c r="C75" s="40">
        <v>207</v>
      </c>
      <c r="D75" s="40">
        <v>210</v>
      </c>
      <c r="E75" s="40">
        <v>190</v>
      </c>
      <c r="F75" s="40">
        <v>206</v>
      </c>
      <c r="G75" s="40">
        <v>164</v>
      </c>
      <c r="H75" s="40">
        <v>172</v>
      </c>
      <c r="I75" s="40">
        <v>165</v>
      </c>
      <c r="J75" s="40">
        <v>189</v>
      </c>
      <c r="K75" s="40">
        <v>66</v>
      </c>
      <c r="L75" s="40">
        <v>69</v>
      </c>
      <c r="M75" s="40">
        <v>100</v>
      </c>
      <c r="N75" s="40">
        <v>47</v>
      </c>
      <c r="O75" s="40">
        <v>72</v>
      </c>
      <c r="P75" s="40">
        <v>64</v>
      </c>
      <c r="Q75" s="40">
        <v>71</v>
      </c>
      <c r="R75" s="40">
        <v>86</v>
      </c>
      <c r="S75" s="40">
        <v>97</v>
      </c>
      <c r="T75" s="40">
        <v>92</v>
      </c>
      <c r="U75" s="40">
        <v>73</v>
      </c>
      <c r="V75" s="40">
        <v>72</v>
      </c>
      <c r="W75" s="40">
        <v>68</v>
      </c>
      <c r="X75" s="40">
        <v>65</v>
      </c>
      <c r="Y75" s="40">
        <v>57</v>
      </c>
      <c r="Z75" s="40">
        <v>81</v>
      </c>
      <c r="AA75" s="40">
        <v>74</v>
      </c>
      <c r="AB75" s="40">
        <v>66</v>
      </c>
      <c r="AC75" s="40">
        <v>63</v>
      </c>
      <c r="AD75" s="40">
        <v>68</v>
      </c>
      <c r="AE75" s="40">
        <f>787-519-213</f>
        <v>55</v>
      </c>
      <c r="AF75" s="40">
        <v>58</v>
      </c>
      <c r="AG75" s="40">
        <v>58</v>
      </c>
      <c r="AH75" s="40">
        <v>49</v>
      </c>
      <c r="AI75" s="40">
        <v>43</v>
      </c>
      <c r="AJ75" s="40">
        <v>35</v>
      </c>
      <c r="AK75" s="52">
        <v>35</v>
      </c>
      <c r="AL75" s="40">
        <v>30</v>
      </c>
      <c r="AM75" s="40">
        <v>28</v>
      </c>
      <c r="AN75" s="40">
        <v>25</v>
      </c>
      <c r="AO75" s="40">
        <v>30</v>
      </c>
      <c r="AP75" s="40">
        <v>25</v>
      </c>
      <c r="AQ75" s="67">
        <f>40-AQ76</f>
        <v>33</v>
      </c>
      <c r="AR75" s="40">
        <f t="shared" si="85"/>
        <v>33</v>
      </c>
      <c r="AS75" s="40">
        <v>29</v>
      </c>
      <c r="AT75" s="40">
        <v>36</v>
      </c>
      <c r="AU75" s="40">
        <v>16</v>
      </c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72"/>
      <c r="BP75" s="40"/>
      <c r="BQ75" s="40"/>
      <c r="BR75" s="40"/>
      <c r="BS75" s="40"/>
      <c r="BT75" s="40"/>
      <c r="BU75" s="40"/>
      <c r="BV75" s="40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40"/>
      <c r="DB75" s="40"/>
      <c r="DC75" s="40"/>
      <c r="DD75" s="39"/>
      <c r="DE75" s="39"/>
      <c r="DF75" s="40">
        <v>690</v>
      </c>
      <c r="DG75" s="40">
        <v>282</v>
      </c>
      <c r="DH75" s="40">
        <v>293</v>
      </c>
      <c r="DI75" s="40">
        <f t="shared" si="80"/>
        <v>334</v>
      </c>
      <c r="DJ75" s="40">
        <f>SUM(W75:Z75)</f>
        <v>271</v>
      </c>
      <c r="DK75" s="40">
        <f t="shared" si="81"/>
        <v>271</v>
      </c>
      <c r="DL75" s="40">
        <f t="shared" si="86"/>
        <v>271</v>
      </c>
      <c r="DM75" s="40">
        <f t="shared" si="87"/>
        <v>143</v>
      </c>
      <c r="DN75" s="40">
        <f t="shared" si="76"/>
        <v>108</v>
      </c>
      <c r="DO75" s="40">
        <f t="shared" si="77"/>
        <v>131</v>
      </c>
      <c r="DP75" s="40">
        <f t="shared" si="84"/>
        <v>16</v>
      </c>
      <c r="DQ75" s="40"/>
      <c r="DR75" s="40"/>
      <c r="DS75" s="40"/>
      <c r="DT75" s="69">
        <f t="shared" si="13"/>
        <v>0</v>
      </c>
      <c r="DU75" s="69"/>
      <c r="DV75" s="69"/>
      <c r="DW75" s="69"/>
      <c r="DX75" s="69"/>
      <c r="DY75" s="69"/>
      <c r="DZ75" s="69"/>
      <c r="EA75" s="69"/>
      <c r="EB75" s="69"/>
      <c r="EC75" s="40"/>
    </row>
    <row r="76" spans="1:133" s="11" customFormat="1">
      <c r="A76" s="31"/>
      <c r="B76" s="98" t="s">
        <v>330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>
        <v>0</v>
      </c>
      <c r="AH76" s="40"/>
      <c r="AI76" s="40"/>
      <c r="AJ76" s="40"/>
      <c r="AK76" s="52">
        <v>152</v>
      </c>
      <c r="AL76" s="40">
        <v>237</v>
      </c>
      <c r="AM76" s="40">
        <v>39</v>
      </c>
      <c r="AN76" s="40">
        <v>0</v>
      </c>
      <c r="AO76" s="40">
        <v>0</v>
      </c>
      <c r="AP76" s="40">
        <v>0</v>
      </c>
      <c r="AQ76" s="67">
        <v>7</v>
      </c>
      <c r="AR76" s="40">
        <v>0</v>
      </c>
      <c r="AS76" s="40">
        <v>0</v>
      </c>
      <c r="AT76" s="40">
        <v>0</v>
      </c>
      <c r="AU76" s="40">
        <v>0</v>
      </c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72"/>
      <c r="BP76" s="40"/>
      <c r="BQ76" s="40"/>
      <c r="BR76" s="40"/>
      <c r="BS76" s="40"/>
      <c r="BT76" s="40"/>
      <c r="BU76" s="40"/>
      <c r="BV76" s="40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40"/>
      <c r="DB76" s="40"/>
      <c r="DC76" s="40"/>
      <c r="DD76" s="39"/>
      <c r="DE76" s="39"/>
      <c r="DF76" s="40"/>
      <c r="DG76" s="40"/>
      <c r="DH76" s="40"/>
      <c r="DI76" s="40"/>
      <c r="DJ76" s="40"/>
      <c r="DK76" s="40"/>
      <c r="DL76" s="40"/>
      <c r="DM76" s="40">
        <f t="shared" si="87"/>
        <v>389</v>
      </c>
      <c r="DN76" s="40">
        <f t="shared" si="76"/>
        <v>39</v>
      </c>
      <c r="DO76" s="40">
        <f t="shared" si="77"/>
        <v>7</v>
      </c>
      <c r="DP76" s="40"/>
      <c r="DQ76" s="40"/>
      <c r="DR76" s="40"/>
      <c r="DS76" s="40"/>
      <c r="DT76" s="69">
        <f t="shared" ref="DT76:DT86" si="88">SUM(BK76:BN76)</f>
        <v>0</v>
      </c>
      <c r="DU76" s="69"/>
      <c r="DV76" s="69"/>
      <c r="DW76" s="69"/>
      <c r="DX76" s="69"/>
      <c r="DY76" s="69"/>
      <c r="DZ76" s="69"/>
      <c r="EA76" s="69"/>
      <c r="EB76" s="69"/>
    </row>
    <row r="77" spans="1:133" s="11" customFormat="1">
      <c r="A77" s="31"/>
      <c r="B77" s="98" t="s">
        <v>430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52"/>
      <c r="AL77" s="40"/>
      <c r="AM77" s="40"/>
      <c r="AN77" s="40"/>
      <c r="AO77" s="40">
        <v>5</v>
      </c>
      <c r="AP77" s="40">
        <v>0</v>
      </c>
      <c r="AQ77" s="67">
        <v>4</v>
      </c>
      <c r="AR77" s="40">
        <f>AQ77</f>
        <v>4</v>
      </c>
      <c r="AS77" s="40">
        <v>10</v>
      </c>
      <c r="AT77" s="40">
        <v>14</v>
      </c>
      <c r="AU77" s="40">
        <v>16</v>
      </c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72"/>
      <c r="BP77" s="40"/>
      <c r="BQ77" s="40"/>
      <c r="BR77" s="40"/>
      <c r="BS77" s="40"/>
      <c r="BT77" s="40"/>
      <c r="BU77" s="40"/>
      <c r="BV77" s="40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40"/>
      <c r="DB77" s="40"/>
      <c r="DC77" s="40"/>
      <c r="DD77" s="39"/>
      <c r="DE77" s="39"/>
      <c r="DF77" s="40"/>
      <c r="DG77" s="40"/>
      <c r="DH77" s="40"/>
      <c r="DI77" s="40"/>
      <c r="DJ77" s="40"/>
      <c r="DK77" s="40"/>
      <c r="DL77" s="40"/>
      <c r="DM77" s="40"/>
      <c r="DN77" s="40"/>
      <c r="DO77" s="40">
        <f t="shared" si="77"/>
        <v>32</v>
      </c>
      <c r="DP77" s="40">
        <f>SUM(AU77:AX77)</f>
        <v>16</v>
      </c>
      <c r="DQ77" s="40"/>
      <c r="DR77" s="40"/>
      <c r="DS77" s="40"/>
      <c r="DT77" s="69">
        <f t="shared" si="88"/>
        <v>0</v>
      </c>
      <c r="DU77" s="69"/>
      <c r="DV77" s="69"/>
      <c r="DW77" s="69"/>
      <c r="DX77" s="69"/>
      <c r="DY77" s="69"/>
      <c r="DZ77" s="69"/>
      <c r="EA77" s="69"/>
      <c r="EB77" s="69"/>
      <c r="EC77" s="63"/>
    </row>
    <row r="78" spans="1:133" s="11" customFormat="1">
      <c r="A78" s="31"/>
      <c r="B78" s="98" t="s">
        <v>36</v>
      </c>
      <c r="C78" s="40">
        <v>48</v>
      </c>
      <c r="D78" s="40">
        <v>45</v>
      </c>
      <c r="E78" s="40">
        <v>20</v>
      </c>
      <c r="F78" s="40">
        <v>30</v>
      </c>
      <c r="G78" s="40">
        <v>32</v>
      </c>
      <c r="H78" s="40">
        <v>33</v>
      </c>
      <c r="I78" s="40">
        <v>27</v>
      </c>
      <c r="J78" s="40">
        <v>52</v>
      </c>
      <c r="K78" s="40">
        <v>31</v>
      </c>
      <c r="L78" s="40">
        <v>25</v>
      </c>
      <c r="M78" s="40">
        <v>20</v>
      </c>
      <c r="N78" s="40">
        <v>31</v>
      </c>
      <c r="O78" s="40">
        <v>30</v>
      </c>
      <c r="P78" s="40">
        <v>23</v>
      </c>
      <c r="Q78" s="40">
        <v>31</v>
      </c>
      <c r="R78" s="40">
        <v>32</v>
      </c>
      <c r="S78" s="40">
        <v>28</v>
      </c>
      <c r="T78" s="40">
        <v>13</v>
      </c>
      <c r="U78" s="40">
        <v>14</v>
      </c>
      <c r="V78" s="40">
        <v>17</v>
      </c>
      <c r="W78" s="40">
        <f>39-X78</f>
        <v>18</v>
      </c>
      <c r="X78" s="40">
        <v>21</v>
      </c>
      <c r="Y78" s="40">
        <v>20</v>
      </c>
      <c r="Z78" s="40">
        <v>22</v>
      </c>
      <c r="AA78" s="40">
        <f>38-AB78</f>
        <v>19</v>
      </c>
      <c r="AB78" s="40">
        <v>19</v>
      </c>
      <c r="AC78" s="40">
        <v>19</v>
      </c>
      <c r="AD78" s="40">
        <v>19</v>
      </c>
      <c r="AE78" s="40">
        <v>18</v>
      </c>
      <c r="AF78" s="40">
        <v>19</v>
      </c>
      <c r="AG78" s="40">
        <v>18</v>
      </c>
      <c r="AH78" s="40">
        <v>18</v>
      </c>
      <c r="AI78" s="40">
        <v>16</v>
      </c>
      <c r="AJ78" s="40">
        <v>16</v>
      </c>
      <c r="AK78" s="52">
        <v>17</v>
      </c>
      <c r="AL78" s="40">
        <v>17</v>
      </c>
      <c r="AM78" s="40"/>
      <c r="AN78" s="40"/>
      <c r="AO78" s="40"/>
      <c r="AP78" s="40"/>
      <c r="AQ78" s="52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72"/>
      <c r="BP78" s="40"/>
      <c r="BQ78" s="40"/>
      <c r="BR78" s="40"/>
      <c r="BS78" s="40"/>
      <c r="BT78" s="40"/>
      <c r="BU78" s="40"/>
      <c r="BV78" s="40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40"/>
      <c r="DB78" s="40"/>
      <c r="DC78" s="40"/>
      <c r="DD78" s="39"/>
      <c r="DE78" s="39"/>
      <c r="DF78" s="40">
        <v>144</v>
      </c>
      <c r="DG78" s="40">
        <v>107</v>
      </c>
      <c r="DH78" s="40">
        <v>116</v>
      </c>
      <c r="DI78" s="40">
        <f>SUM(S78:V78)</f>
        <v>72</v>
      </c>
      <c r="DJ78" s="40">
        <f>SUM(W78:Z78)</f>
        <v>81</v>
      </c>
      <c r="DK78" s="40">
        <f>SUM(AA78:AD78)</f>
        <v>76</v>
      </c>
      <c r="DL78" s="40">
        <f>DK78</f>
        <v>76</v>
      </c>
      <c r="DM78" s="40">
        <f>SUM(AI78:AL78)</f>
        <v>66</v>
      </c>
      <c r="DN78" s="40"/>
      <c r="DO78" s="40"/>
      <c r="DP78" s="40"/>
      <c r="DQ78" s="40"/>
      <c r="DR78" s="40"/>
      <c r="DS78" s="40"/>
      <c r="DT78" s="69">
        <f t="shared" si="88"/>
        <v>0</v>
      </c>
      <c r="DU78" s="69"/>
      <c r="DV78" s="69"/>
      <c r="DW78" s="69"/>
      <c r="DX78" s="69"/>
      <c r="DY78" s="69"/>
      <c r="DZ78" s="69"/>
      <c r="EA78" s="69"/>
      <c r="EB78" s="69"/>
      <c r="EC78" s="63"/>
    </row>
    <row r="79" spans="1:133" s="11" customFormat="1">
      <c r="A79" s="31"/>
      <c r="B79" s="98" t="s">
        <v>37</v>
      </c>
      <c r="C79" s="40">
        <v>32</v>
      </c>
      <c r="D79" s="40">
        <v>33</v>
      </c>
      <c r="E79" s="40">
        <v>29</v>
      </c>
      <c r="F79" s="40">
        <v>33</v>
      </c>
      <c r="G79" s="40">
        <v>31</v>
      </c>
      <c r="H79" s="40">
        <v>30</v>
      </c>
      <c r="I79" s="40">
        <v>30</v>
      </c>
      <c r="J79" s="40">
        <v>29</v>
      </c>
      <c r="K79" s="40">
        <v>31</v>
      </c>
      <c r="L79" s="40">
        <v>29</v>
      </c>
      <c r="M79" s="40">
        <v>31</v>
      </c>
      <c r="N79" s="40">
        <v>29</v>
      </c>
      <c r="O79" s="40">
        <v>25</v>
      </c>
      <c r="P79" s="40">
        <v>26</v>
      </c>
      <c r="Q79" s="40">
        <v>25</v>
      </c>
      <c r="R79" s="40">
        <v>25</v>
      </c>
      <c r="S79" s="40">
        <v>23</v>
      </c>
      <c r="T79" s="40">
        <v>23</v>
      </c>
      <c r="U79" s="40">
        <v>23</v>
      </c>
      <c r="V79" s="40">
        <v>22</v>
      </c>
      <c r="W79" s="40">
        <f>44-X79</f>
        <v>22</v>
      </c>
      <c r="X79" s="40">
        <v>22</v>
      </c>
      <c r="Y79" s="40">
        <v>21</v>
      </c>
      <c r="Z79" s="40">
        <v>23</v>
      </c>
      <c r="AA79" s="40">
        <f>46-AB79</f>
        <v>23</v>
      </c>
      <c r="AB79" s="40">
        <v>23</v>
      </c>
      <c r="AC79" s="40">
        <v>18</v>
      </c>
      <c r="AD79" s="40">
        <v>22</v>
      </c>
      <c r="AE79" s="40">
        <v>17</v>
      </c>
      <c r="AF79" s="40">
        <v>21</v>
      </c>
      <c r="AG79" s="40">
        <v>18</v>
      </c>
      <c r="AH79" s="40">
        <v>15</v>
      </c>
      <c r="AI79" s="40">
        <v>12</v>
      </c>
      <c r="AJ79" s="40">
        <v>16</v>
      </c>
      <c r="AK79" s="52">
        <v>16</v>
      </c>
      <c r="AL79" s="40">
        <v>19</v>
      </c>
      <c r="AM79" s="40"/>
      <c r="AN79" s="40"/>
      <c r="AO79" s="40"/>
      <c r="AP79" s="40"/>
      <c r="AQ79" s="52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72"/>
      <c r="BP79" s="40"/>
      <c r="BQ79" s="40"/>
      <c r="BR79" s="40"/>
      <c r="BS79" s="40"/>
      <c r="BT79" s="40"/>
      <c r="BU79" s="40"/>
      <c r="BV79" s="40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40"/>
      <c r="DB79" s="40"/>
      <c r="DC79" s="40"/>
      <c r="DD79" s="39"/>
      <c r="DE79" s="39"/>
      <c r="DF79" s="40">
        <v>120</v>
      </c>
      <c r="DG79" s="40">
        <v>120</v>
      </c>
      <c r="DH79" s="40">
        <v>101</v>
      </c>
      <c r="DI79" s="40">
        <f>SUM(S79:V79)</f>
        <v>91</v>
      </c>
      <c r="DJ79" s="40">
        <f>SUM(W79:Z79)</f>
        <v>88</v>
      </c>
      <c r="DK79" s="40">
        <f>SUM(AA79:AD79)</f>
        <v>86</v>
      </c>
      <c r="DL79" s="40">
        <f>DK79</f>
        <v>86</v>
      </c>
      <c r="DM79" s="40">
        <f>SUM(AI79:AL79)</f>
        <v>63</v>
      </c>
      <c r="DN79" s="40"/>
      <c r="DO79" s="40"/>
      <c r="DP79" s="40"/>
      <c r="DQ79" s="40"/>
      <c r="DR79" s="40"/>
      <c r="DS79" s="40"/>
      <c r="DT79" s="69">
        <f t="shared" si="88"/>
        <v>0</v>
      </c>
      <c r="DU79" s="69"/>
      <c r="DV79" s="69"/>
      <c r="DW79" s="69"/>
      <c r="DX79" s="69"/>
      <c r="DY79" s="69"/>
      <c r="DZ79" s="69"/>
      <c r="EA79" s="69"/>
      <c r="EB79" s="69"/>
      <c r="EC79" s="63"/>
    </row>
    <row r="80" spans="1:133" s="11" customFormat="1">
      <c r="A80" s="31"/>
      <c r="B80" s="98" t="s">
        <v>187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>
        <v>0</v>
      </c>
      <c r="AB80" s="40">
        <v>8</v>
      </c>
      <c r="AC80" s="40">
        <v>19</v>
      </c>
      <c r="AD80" s="40">
        <v>16</v>
      </c>
      <c r="AE80" s="40">
        <v>14</v>
      </c>
      <c r="AF80" s="40">
        <v>6</v>
      </c>
      <c r="AG80" s="40">
        <v>3</v>
      </c>
      <c r="AH80" s="40">
        <v>5</v>
      </c>
      <c r="AI80" s="40">
        <v>4</v>
      </c>
      <c r="AJ80" s="40">
        <v>5</v>
      </c>
      <c r="AK80" s="52">
        <v>2</v>
      </c>
      <c r="AL80" s="40">
        <v>4</v>
      </c>
      <c r="AM80" s="40"/>
      <c r="AN80" s="40"/>
      <c r="AO80" s="40"/>
      <c r="AP80" s="40"/>
      <c r="AQ80" s="52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72"/>
      <c r="BP80" s="40"/>
      <c r="BQ80" s="40"/>
      <c r="BR80" s="40"/>
      <c r="BS80" s="40"/>
      <c r="BT80" s="40"/>
      <c r="BU80" s="40"/>
      <c r="BV80" s="40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40"/>
      <c r="DB80" s="40"/>
      <c r="DC80" s="40"/>
      <c r="DD80" s="39"/>
      <c r="DE80" s="39"/>
      <c r="DF80" s="40"/>
      <c r="DG80" s="40"/>
      <c r="DH80" s="40"/>
      <c r="DI80" s="40"/>
      <c r="DJ80" s="40"/>
      <c r="DK80" s="40">
        <f>SUM(AA80:AG80)</f>
        <v>66</v>
      </c>
      <c r="DL80" s="40">
        <f>DK80</f>
        <v>66</v>
      </c>
      <c r="DM80" s="40">
        <f>SUM(AI80:AL80)</f>
        <v>15</v>
      </c>
      <c r="DN80" s="40"/>
      <c r="DO80" s="40"/>
      <c r="DP80" s="40"/>
      <c r="DQ80" s="40"/>
      <c r="DR80" s="40"/>
      <c r="DS80" s="40"/>
      <c r="DT80" s="69">
        <f t="shared" si="88"/>
        <v>0</v>
      </c>
      <c r="DU80" s="69"/>
      <c r="DV80" s="69"/>
      <c r="DW80" s="69"/>
      <c r="DX80" s="69"/>
      <c r="DY80" s="69"/>
      <c r="DZ80" s="69"/>
      <c r="EA80" s="69"/>
      <c r="EB80" s="69"/>
      <c r="EC80" s="63"/>
    </row>
    <row r="81" spans="1:143" s="11" customFormat="1">
      <c r="A81" s="31"/>
      <c r="B81" s="98" t="s">
        <v>41</v>
      </c>
      <c r="C81" s="40">
        <v>136</v>
      </c>
      <c r="D81" s="40">
        <v>144</v>
      </c>
      <c r="E81" s="40">
        <v>157</v>
      </c>
      <c r="F81" s="40">
        <v>181</v>
      </c>
      <c r="G81" s="40">
        <v>140</v>
      </c>
      <c r="H81" s="40">
        <v>117</v>
      </c>
      <c r="I81" s="40">
        <v>85</v>
      </c>
      <c r="J81" s="40">
        <v>138</v>
      </c>
      <c r="K81" s="40">
        <v>61</v>
      </c>
      <c r="L81" s="40">
        <v>39</v>
      </c>
      <c r="M81" s="40">
        <v>38</v>
      </c>
      <c r="N81" s="40">
        <v>40</v>
      </c>
      <c r="O81" s="40">
        <v>31</v>
      </c>
      <c r="P81" s="40">
        <v>38</v>
      </c>
      <c r="Q81" s="40">
        <v>30</v>
      </c>
      <c r="R81" s="40">
        <v>35</v>
      </c>
      <c r="S81" s="40">
        <v>28</v>
      </c>
      <c r="T81" s="40">
        <v>32</v>
      </c>
      <c r="U81" s="40">
        <v>26</v>
      </c>
      <c r="V81" s="40">
        <v>28</v>
      </c>
      <c r="W81" s="40">
        <f>45-X81</f>
        <v>21</v>
      </c>
      <c r="X81" s="40">
        <v>24</v>
      </c>
      <c r="Y81" s="40"/>
      <c r="Z81" s="40">
        <v>23</v>
      </c>
      <c r="AA81" s="40">
        <f>39-AB81</f>
        <v>19</v>
      </c>
      <c r="AB81" s="40">
        <v>20</v>
      </c>
      <c r="AC81" s="40"/>
      <c r="AD81" s="40">
        <v>24</v>
      </c>
      <c r="AE81" s="40">
        <v>18</v>
      </c>
      <c r="AF81" s="40"/>
      <c r="AG81" s="53" t="s">
        <v>332</v>
      </c>
      <c r="AH81" s="40"/>
      <c r="AI81" s="40"/>
      <c r="AJ81" s="40"/>
      <c r="AK81" s="52"/>
      <c r="AL81" s="40"/>
      <c r="AM81" s="40"/>
      <c r="AN81" s="40"/>
      <c r="AO81" s="40"/>
      <c r="AP81" s="40"/>
      <c r="AQ81" s="67">
        <v>23</v>
      </c>
      <c r="AR81" s="40">
        <f>AQ81</f>
        <v>23</v>
      </c>
      <c r="AS81" s="40">
        <v>0</v>
      </c>
      <c r="AT81" s="40">
        <v>0</v>
      </c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72"/>
      <c r="BP81" s="40"/>
      <c r="BQ81" s="40"/>
      <c r="BR81" s="40"/>
      <c r="BS81" s="40"/>
      <c r="BT81" s="40"/>
      <c r="BU81" s="40"/>
      <c r="BV81" s="40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40"/>
      <c r="DB81" s="40"/>
      <c r="DC81" s="40"/>
      <c r="DD81" s="39"/>
      <c r="DE81" s="39"/>
      <c r="DF81" s="40">
        <v>480</v>
      </c>
      <c r="DG81" s="40">
        <v>178</v>
      </c>
      <c r="DH81" s="40">
        <v>134</v>
      </c>
      <c r="DI81" s="40">
        <f>SUM(S81:V81)</f>
        <v>114</v>
      </c>
      <c r="DJ81" s="40">
        <f>SUM(W81:Z81)</f>
        <v>68</v>
      </c>
      <c r="DK81" s="40">
        <f>SUM(AA81:AD81)</f>
        <v>63</v>
      </c>
      <c r="DL81" s="40">
        <f>DK81</f>
        <v>63</v>
      </c>
      <c r="DM81" s="40">
        <f>SUM(AI81:AL81)</f>
        <v>0</v>
      </c>
      <c r="DN81" s="40"/>
      <c r="DO81" s="40">
        <f>SUM(AQ81:AT81)</f>
        <v>46</v>
      </c>
      <c r="DP81" s="40"/>
      <c r="DQ81" s="39"/>
      <c r="DR81" s="39"/>
      <c r="DS81" s="39"/>
      <c r="DT81" s="69">
        <f t="shared" si="88"/>
        <v>0</v>
      </c>
      <c r="DU81" s="69"/>
      <c r="DV81" s="69"/>
      <c r="DW81" s="69"/>
      <c r="DX81" s="69"/>
      <c r="DY81" s="69"/>
      <c r="DZ81" s="69"/>
      <c r="EA81" s="69"/>
      <c r="EB81" s="69"/>
      <c r="EC81" s="63"/>
    </row>
    <row r="82" spans="1:143" s="11" customFormat="1">
      <c r="A82" s="31"/>
      <c r="B82" s="98" t="s">
        <v>319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52"/>
      <c r="AL82" s="40"/>
      <c r="AM82" s="40"/>
      <c r="AN82" s="40"/>
      <c r="AO82" s="40"/>
      <c r="AP82" s="40"/>
      <c r="AQ82" s="52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72"/>
      <c r="BP82" s="40"/>
      <c r="BQ82" s="40"/>
      <c r="BR82" s="40"/>
      <c r="BS82" s="40"/>
      <c r="BT82" s="40"/>
      <c r="BU82" s="40"/>
      <c r="BV82" s="40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40"/>
      <c r="DB82" s="40"/>
      <c r="DC82" s="40"/>
      <c r="DD82" s="39"/>
      <c r="DE82" s="39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69">
        <f t="shared" si="88"/>
        <v>0</v>
      </c>
      <c r="DU82" s="69"/>
      <c r="DV82" s="69"/>
      <c r="DW82" s="69"/>
      <c r="DX82" s="69"/>
      <c r="DY82" s="69"/>
      <c r="DZ82" s="69"/>
      <c r="EA82" s="69"/>
      <c r="EB82" s="69"/>
      <c r="EC82" s="63"/>
    </row>
    <row r="83" spans="1:143" s="11" customFormat="1">
      <c r="A83" s="31"/>
      <c r="B83" s="98" t="s">
        <v>453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52"/>
      <c r="AL83" s="40"/>
      <c r="AM83" s="40"/>
      <c r="AN83" s="40"/>
      <c r="AO83" s="40"/>
      <c r="AP83" s="40"/>
      <c r="AQ83" s="52"/>
      <c r="AR83" s="40"/>
      <c r="AS83" s="40">
        <v>0</v>
      </c>
      <c r="AT83" s="40">
        <v>0</v>
      </c>
      <c r="AU83" s="40">
        <v>5</v>
      </c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72"/>
      <c r="BP83" s="40"/>
      <c r="BQ83" s="40"/>
      <c r="BR83" s="40"/>
      <c r="BS83" s="40"/>
      <c r="BT83" s="40"/>
      <c r="BU83" s="40"/>
      <c r="BV83" s="40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40"/>
      <c r="DB83" s="40"/>
      <c r="DC83" s="40"/>
      <c r="DD83" s="39"/>
      <c r="DE83" s="39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>
        <f>SUM(AU83:AX83)</f>
        <v>5</v>
      </c>
      <c r="DQ83" s="40"/>
      <c r="DR83" s="40"/>
      <c r="DS83" s="40"/>
      <c r="DT83" s="69">
        <f t="shared" si="88"/>
        <v>0</v>
      </c>
      <c r="DU83" s="69"/>
      <c r="DV83" s="69"/>
      <c r="DW83" s="69"/>
      <c r="DX83" s="69"/>
      <c r="DY83" s="40"/>
      <c r="DZ83" s="40"/>
      <c r="EA83" s="40"/>
      <c r="EB83" s="69"/>
      <c r="EC83" s="63"/>
    </row>
    <row r="84" spans="1:143" s="11" customFormat="1">
      <c r="A84" s="31"/>
      <c r="B84" s="98">
        <v>6140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52"/>
      <c r="AL84" s="40"/>
      <c r="AM84" s="40"/>
      <c r="AN84" s="40"/>
      <c r="AO84" s="40"/>
      <c r="AP84" s="40"/>
      <c r="AQ84" s="52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72"/>
      <c r="BP84" s="40"/>
      <c r="BQ84" s="40"/>
      <c r="BR84" s="40"/>
      <c r="BS84" s="40"/>
      <c r="BT84" s="40"/>
      <c r="BU84" s="40"/>
      <c r="BV84" s="40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40"/>
      <c r="DB84" s="40"/>
      <c r="DC84" s="40"/>
      <c r="DD84" s="39"/>
      <c r="DE84" s="39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69">
        <f t="shared" si="88"/>
        <v>0</v>
      </c>
      <c r="DU84" s="69"/>
      <c r="DV84" s="69"/>
      <c r="DW84" s="69"/>
      <c r="DX84" s="69"/>
      <c r="EB84" s="69"/>
    </row>
    <row r="85" spans="1:143" s="11" customFormat="1">
      <c r="A85" s="31"/>
      <c r="B85" s="98" t="s">
        <v>237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52"/>
      <c r="AL85" s="40"/>
      <c r="AM85" s="40"/>
      <c r="AN85" s="40"/>
      <c r="AO85" s="40"/>
      <c r="AP85" s="40"/>
      <c r="AQ85" s="52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72"/>
      <c r="BP85" s="40"/>
      <c r="BQ85" s="40"/>
      <c r="BR85" s="40"/>
      <c r="BS85" s="40"/>
      <c r="BT85" s="40"/>
      <c r="BU85" s="40"/>
      <c r="BV85" s="40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40"/>
      <c r="DB85" s="40"/>
      <c r="DC85" s="40"/>
      <c r="DD85" s="39"/>
      <c r="DE85" s="39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69">
        <f t="shared" si="88"/>
        <v>0</v>
      </c>
      <c r="DU85" s="69"/>
      <c r="DV85" s="69"/>
      <c r="DW85" s="69"/>
      <c r="DX85" s="69"/>
      <c r="EB85" s="71"/>
    </row>
    <row r="86" spans="1:143" s="11" customFormat="1">
      <c r="A86" s="31"/>
      <c r="B86" s="98" t="s">
        <v>48</v>
      </c>
      <c r="C86" s="40"/>
      <c r="D86" s="40"/>
      <c r="E86" s="40"/>
      <c r="F86" s="40"/>
      <c r="G86" s="40">
        <v>116</v>
      </c>
      <c r="H86" s="40">
        <v>123</v>
      </c>
      <c r="I86" s="40">
        <v>124</v>
      </c>
      <c r="J86" s="40">
        <v>135</v>
      </c>
      <c r="K86" s="40">
        <v>140</v>
      </c>
      <c r="L86" s="40">
        <v>137</v>
      </c>
      <c r="M86" s="40">
        <v>116</v>
      </c>
      <c r="N86" s="40">
        <v>138</v>
      </c>
      <c r="O86" s="40">
        <v>132</v>
      </c>
      <c r="P86" s="40">
        <v>141</v>
      </c>
      <c r="Q86" s="40">
        <v>139</v>
      </c>
      <c r="R86" s="40">
        <v>148</v>
      </c>
      <c r="S86" s="40">
        <v>156</v>
      </c>
      <c r="T86" s="40">
        <v>166</v>
      </c>
      <c r="U86" s="40">
        <v>154</v>
      </c>
      <c r="V86" s="40">
        <v>171</v>
      </c>
      <c r="W86" s="40">
        <f>88+83</f>
        <v>171</v>
      </c>
      <c r="X86" s="40">
        <f>93+90</f>
        <v>183</v>
      </c>
      <c r="Y86" s="40">
        <f>95+85</f>
        <v>180</v>
      </c>
      <c r="Z86" s="40">
        <f>98+102</f>
        <v>200</v>
      </c>
      <c r="AA86" s="40">
        <f>98+102</f>
        <v>200</v>
      </c>
      <c r="AB86" s="40">
        <f>111+102</f>
        <v>213</v>
      </c>
      <c r="AC86" s="40">
        <v>204</v>
      </c>
      <c r="AD86" s="40">
        <f>8170-SUM(AD12:AD75)</f>
        <v>746</v>
      </c>
      <c r="AE86" s="40">
        <f>7677-SUM(AE12:AE75)</f>
        <v>626</v>
      </c>
      <c r="AF86" s="40">
        <f>148+98</f>
        <v>246</v>
      </c>
      <c r="AG86" s="40">
        <f>129+98</f>
        <v>227</v>
      </c>
      <c r="AH86" s="40">
        <f>101+124</f>
        <v>225</v>
      </c>
      <c r="AI86" s="40">
        <f>105+117</f>
        <v>222</v>
      </c>
      <c r="AJ86" s="40">
        <f>112+127</f>
        <v>239</v>
      </c>
      <c r="AK86" s="40">
        <f>104+120</f>
        <v>224</v>
      </c>
      <c r="AL86" s="40">
        <f>72+142</f>
        <v>214</v>
      </c>
      <c r="AM86" s="40">
        <f>64+132</f>
        <v>196</v>
      </c>
      <c r="AN86" s="40">
        <f>59+134</f>
        <v>193</v>
      </c>
      <c r="AO86" s="40">
        <f>42+123</f>
        <v>165</v>
      </c>
      <c r="AP86" s="40">
        <f>146+54</f>
        <v>200</v>
      </c>
      <c r="AQ86" s="67">
        <f>53+141</f>
        <v>194</v>
      </c>
      <c r="AR86" s="40">
        <f>AQ86</f>
        <v>194</v>
      </c>
      <c r="AS86" s="40">
        <f>56+88</f>
        <v>144</v>
      </c>
      <c r="AT86" s="40">
        <v>55</v>
      </c>
      <c r="AU86" s="40">
        <v>29</v>
      </c>
      <c r="AV86" s="40">
        <v>0</v>
      </c>
      <c r="AW86" s="40">
        <v>0</v>
      </c>
      <c r="AX86" s="40">
        <v>0</v>
      </c>
      <c r="AY86" s="40">
        <v>0</v>
      </c>
      <c r="AZ86" s="40">
        <v>0</v>
      </c>
      <c r="BA86" s="40">
        <v>0</v>
      </c>
      <c r="BB86" s="40">
        <v>0</v>
      </c>
      <c r="BC86" s="40">
        <v>0</v>
      </c>
      <c r="BD86" s="40">
        <v>0</v>
      </c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72"/>
      <c r="BP86" s="40">
        <v>111</v>
      </c>
      <c r="BQ86" s="40">
        <v>1350</v>
      </c>
      <c r="BR86" s="40"/>
      <c r="BS86" s="40"/>
      <c r="BT86" s="40"/>
      <c r="BU86" s="40"/>
      <c r="BV86" s="40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40"/>
      <c r="DB86" s="40"/>
      <c r="DC86" s="40"/>
      <c r="DD86" s="39"/>
      <c r="DE86" s="39"/>
      <c r="DF86" s="40">
        <v>498</v>
      </c>
      <c r="DG86" s="40">
        <v>531</v>
      </c>
      <c r="DH86" s="40">
        <v>560</v>
      </c>
      <c r="DI86" s="40">
        <f>SUM(S86:V86)</f>
        <v>647</v>
      </c>
      <c r="DJ86" s="40">
        <f>SUM(W86:Z86)</f>
        <v>734</v>
      </c>
      <c r="DK86" s="40">
        <f>SUM(AA86:AD86)</f>
        <v>1363</v>
      </c>
      <c r="DL86" s="40">
        <f>DK86</f>
        <v>1363</v>
      </c>
      <c r="DM86" s="40">
        <f>SUM(AI86:AL86)</f>
        <v>899</v>
      </c>
      <c r="DN86" s="40">
        <f>SUM(AM86:AP86)</f>
        <v>754</v>
      </c>
      <c r="DO86" s="40">
        <f>SUM(AQ86:AT86)</f>
        <v>587</v>
      </c>
      <c r="DP86" s="40">
        <f>SUM(AU86:AX86)</f>
        <v>29</v>
      </c>
      <c r="DQ86" s="40"/>
      <c r="DR86" s="40">
        <f t="shared" ref="DR86:DU86" si="89">DQ86</f>
        <v>0</v>
      </c>
      <c r="DS86" s="40">
        <f t="shared" si="89"/>
        <v>0</v>
      </c>
      <c r="DT86" s="69">
        <f t="shared" si="88"/>
        <v>0</v>
      </c>
      <c r="DU86" s="69">
        <f t="shared" ref="DU75:DU86" si="90">SUM(BO86:BR86)</f>
        <v>1461</v>
      </c>
      <c r="DV86" s="69"/>
      <c r="DW86" s="69"/>
      <c r="DX86" s="69"/>
      <c r="DY86" s="40"/>
      <c r="DZ86" s="40"/>
      <c r="EA86" s="40"/>
      <c r="EB86" s="40"/>
      <c r="EC86" s="40"/>
    </row>
    <row r="87" spans="1:143" s="10" customFormat="1">
      <c r="A87" s="95"/>
      <c r="B87" s="99" t="s">
        <v>536</v>
      </c>
      <c r="C87" s="68">
        <v>3933</v>
      </c>
      <c r="D87" s="68">
        <v>4035</v>
      </c>
      <c r="E87" s="68">
        <v>3888</v>
      </c>
      <c r="F87" s="68">
        <v>4366.5</v>
      </c>
      <c r="G87" s="68">
        <v>4346.3</v>
      </c>
      <c r="H87" s="68">
        <v>4312</v>
      </c>
      <c r="I87" s="68">
        <v>4282</v>
      </c>
      <c r="J87" s="68">
        <v>4901</v>
      </c>
      <c r="K87" s="68">
        <v>4744</v>
      </c>
      <c r="L87" s="68">
        <v>4447</v>
      </c>
      <c r="M87" s="68">
        <v>4817</v>
      </c>
      <c r="N87" s="68">
        <v>4841.3999999999996</v>
      </c>
      <c r="O87" s="68">
        <v>5074</v>
      </c>
      <c r="P87" s="68">
        <v>5288</v>
      </c>
      <c r="Q87" s="68">
        <v>5265</v>
      </c>
      <c r="R87" s="68">
        <v>5799</v>
      </c>
      <c r="S87" s="68">
        <v>5743</v>
      </c>
      <c r="T87" s="68">
        <v>6132.25</v>
      </c>
      <c r="U87" s="68">
        <v>5789</v>
      </c>
      <c r="V87" s="68">
        <f>SUM(V12:V86)</f>
        <v>6022</v>
      </c>
      <c r="W87" s="68">
        <f>SUM(W12:W86)</f>
        <v>5903</v>
      </c>
      <c r="X87" s="68">
        <f>SUM(X12:X86)</f>
        <v>6317</v>
      </c>
      <c r="Y87" s="68">
        <f>SUM(Y12:Y86)</f>
        <v>6240</v>
      </c>
      <c r="Z87" s="68">
        <f>SUM(Z12:Z86)</f>
        <v>6902</v>
      </c>
      <c r="AA87" s="68">
        <f>SUM(AA12:AA86)</f>
        <v>6612</v>
      </c>
      <c r="AB87" s="68">
        <f>SUM(AB12:AB86)</f>
        <v>6859</v>
      </c>
      <c r="AC87" s="68">
        <f>SUM(AC12:AC86)</f>
        <v>6779</v>
      </c>
      <c r="AD87" s="68">
        <f>SUM(AD12:AD86)</f>
        <v>8251</v>
      </c>
      <c r="AE87" s="68">
        <f>SUM(AE12:AE86)</f>
        <v>7744</v>
      </c>
      <c r="AF87" s="68">
        <f>SUM(AF12:AF86)</f>
        <v>7438</v>
      </c>
      <c r="AG87" s="68">
        <f>SUM(AG12:AG86)</f>
        <v>7274</v>
      </c>
      <c r="AH87" s="68">
        <f>SUM(AH12:AH86)</f>
        <v>7679</v>
      </c>
      <c r="AI87" s="68">
        <f>SUM(AI12:AI86)</f>
        <v>7186</v>
      </c>
      <c r="AJ87" s="68">
        <f>SUM(AJ12:AJ86)</f>
        <v>7407</v>
      </c>
      <c r="AK87" s="68">
        <f>SUM(AK12:AK86)</f>
        <v>7638</v>
      </c>
      <c r="AL87" s="68">
        <f>SUM(AL12:AL86)</f>
        <v>8279</v>
      </c>
      <c r="AM87" s="68">
        <f>SUM(AM12:AM86)</f>
        <v>7875</v>
      </c>
      <c r="AN87" s="68">
        <f>SUM(AN12:AN86)</f>
        <v>7514</v>
      </c>
      <c r="AO87" s="68">
        <f>SUM(AO12:AO86)</f>
        <v>7258</v>
      </c>
      <c r="AP87" s="68">
        <f>SUM(AP12:AP86)</f>
        <v>7876</v>
      </c>
      <c r="AQ87" s="88">
        <f>SUM(AQ12:AQ86)</f>
        <v>7540</v>
      </c>
      <c r="AR87" s="68">
        <f>SUM(AR12:AR86)</f>
        <v>7082.16</v>
      </c>
      <c r="AS87" s="68">
        <f>SUM(AS12:AS86)</f>
        <v>7458</v>
      </c>
      <c r="AT87" s="68">
        <f>SUM(AT12:AT86)</f>
        <v>7817</v>
      </c>
      <c r="AU87" s="68">
        <f>SUM(AU12:AU86)</f>
        <v>6626</v>
      </c>
      <c r="AV87" s="68">
        <f>SUM(AV12:AV86)</f>
        <v>0</v>
      </c>
      <c r="AW87" s="68">
        <f>SUM(AW12:AW86)</f>
        <v>0</v>
      </c>
      <c r="AX87" s="68">
        <f>SUM(AX12:AX86)</f>
        <v>0</v>
      </c>
      <c r="AY87" s="68">
        <f>SUM(AY12:AY86)</f>
        <v>4825</v>
      </c>
      <c r="AZ87" s="68">
        <f>SUM(AZ12:AZ86)</f>
        <v>4461</v>
      </c>
      <c r="BA87" s="68">
        <f>SUM(BA12:BA86)</f>
        <v>0</v>
      </c>
      <c r="BB87" s="68">
        <f>SUM(BB12:BB86)</f>
        <v>0</v>
      </c>
      <c r="BC87" s="68">
        <f>SUM(BC12:BC86)</f>
        <v>5488</v>
      </c>
      <c r="BD87" s="68">
        <f>SUM(BD12:BD86)</f>
        <v>5526</v>
      </c>
      <c r="BE87" s="68">
        <f>SUM(BE12:BE86)</f>
        <v>0</v>
      </c>
      <c r="BF87" s="68">
        <f>SUM(BF12:BF86)</f>
        <v>0</v>
      </c>
      <c r="BG87" s="68">
        <f>SUM(BG3:BG86)</f>
        <v>5748</v>
      </c>
      <c r="BH87" s="68">
        <f>SUM(BH3:BH86)</f>
        <v>5836</v>
      </c>
      <c r="BI87" s="68">
        <f>SUM(BI3:BI86)</f>
        <v>5850</v>
      </c>
      <c r="BJ87" s="68">
        <f>SUM(BJ3:BJ86)</f>
        <v>6207</v>
      </c>
      <c r="BK87" s="68">
        <f>SUM(BK3:BK86)</f>
        <v>5565</v>
      </c>
      <c r="BL87" s="68">
        <f>SUM(BL3:BL86)</f>
        <v>5469</v>
      </c>
      <c r="BM87" s="68">
        <f>SUM(BM3:BM86)</f>
        <v>5025</v>
      </c>
      <c r="BN87" s="68">
        <f>SUM(BN3:BN86)</f>
        <v>5260</v>
      </c>
      <c r="BO87" s="89">
        <f>SUM(BO3:BO86)</f>
        <v>4843</v>
      </c>
      <c r="BP87" s="68">
        <f>SUM(BP3:BP86)</f>
        <v>5051</v>
      </c>
      <c r="BQ87" s="68">
        <f>SUM(BQ3:BQ86)</f>
        <v>6232</v>
      </c>
      <c r="BR87" s="68">
        <f>SUM(BR3:BR86)</f>
        <v>5487</v>
      </c>
      <c r="BS87" s="68">
        <f>SUM(BS3:BS86)</f>
        <v>4985</v>
      </c>
      <c r="BT87" s="68">
        <f>SUM(BT3:BT86)</f>
        <v>5030</v>
      </c>
      <c r="BU87" s="68">
        <f>SUM(BU3:BU86)</f>
        <v>5266</v>
      </c>
      <c r="BV87" s="68">
        <f>SUM(BV3:BV86)</f>
        <v>5768</v>
      </c>
      <c r="BW87" s="89">
        <f>SUM(BW3:BW86)</f>
        <v>5465</v>
      </c>
      <c r="BX87" s="89">
        <f>SUM(BX3:BX86)</f>
        <v>5718</v>
      </c>
      <c r="BY87" s="89">
        <f>SUM(BY3:BY86)</f>
        <v>6128</v>
      </c>
      <c r="BZ87" s="89">
        <f>SUM(BZ3:BZ86)</f>
        <v>6667</v>
      </c>
      <c r="CA87" s="89">
        <f>SUM(CA3:CA86)</f>
        <v>6354</v>
      </c>
      <c r="CB87" s="89">
        <f>SUM(CB3:CB86)</f>
        <v>6275</v>
      </c>
      <c r="CC87" s="89">
        <f>SUM(CC3:CC86)</f>
        <v>6578</v>
      </c>
      <c r="CD87" s="89">
        <f>SUM(CD3:CD86)</f>
        <v>7410</v>
      </c>
      <c r="CE87" s="89">
        <f>SUM(CE3:CE86)</f>
        <v>7320</v>
      </c>
      <c r="CF87" s="89">
        <f>SUM(CF3:CF86)</f>
        <v>8220</v>
      </c>
      <c r="CG87" s="89">
        <f>SUM(CG3:CG86)</f>
        <v>9866</v>
      </c>
      <c r="CH87" s="89">
        <f>SUM(CH3:CH86)</f>
        <v>12011</v>
      </c>
      <c r="CI87" s="89">
        <f>SUM(CI3:CI86)</f>
        <v>11390</v>
      </c>
      <c r="CJ87" s="89">
        <f>SUM(CJ3:CJ86)</f>
        <v>10771</v>
      </c>
      <c r="CK87" s="89">
        <f>SUM(CK3:CK86)</f>
        <v>10982</v>
      </c>
      <c r="CL87" s="89">
        <f>SUM(CL3:CL86)</f>
        <v>11207</v>
      </c>
      <c r="CM87" s="89">
        <f>SUM(CM3:CM86)</f>
        <v>10879</v>
      </c>
      <c r="CN87" s="89">
        <f>SUM(CN3:CN86)</f>
        <v>11417</v>
      </c>
      <c r="CO87" s="89">
        <f>SUM(CO3:CO86)</f>
        <v>11492</v>
      </c>
      <c r="CP87" s="89">
        <f>SUM(CP3:CP86)</f>
        <v>12024</v>
      </c>
      <c r="CQ87" s="89">
        <f>SUM(CQ3:CQ86)</f>
        <v>12680</v>
      </c>
      <c r="CR87" s="89">
        <f>SUM(CR3:CR86)</f>
        <v>12938</v>
      </c>
      <c r="CS87" s="89">
        <f>SUM(CS3:CS86)</f>
        <v>12895.55</v>
      </c>
      <c r="CT87" s="89">
        <f t="shared" ref="CT87:CX87" si="91">SUM(CT3:CT86)</f>
        <v>13259.060000000001</v>
      </c>
      <c r="CU87" s="89">
        <f t="shared" si="91"/>
        <v>14091.63</v>
      </c>
      <c r="CV87" s="89">
        <f t="shared" si="91"/>
        <v>13149.78</v>
      </c>
      <c r="CW87" s="89">
        <f t="shared" si="91"/>
        <v>13226.997000000001</v>
      </c>
      <c r="CX87" s="89">
        <f t="shared" si="91"/>
        <v>13562.829599999999</v>
      </c>
      <c r="CY87" s="89"/>
      <c r="CZ87" s="89"/>
      <c r="DA87" s="68"/>
      <c r="DB87" s="68"/>
      <c r="DC87" s="68"/>
      <c r="DD87" s="47"/>
      <c r="DE87" s="47"/>
      <c r="DF87" s="90">
        <v>17841.3</v>
      </c>
      <c r="DG87" s="90">
        <v>18849.400000000001</v>
      </c>
      <c r="DH87" s="90">
        <v>21426</v>
      </c>
      <c r="DI87" s="90">
        <f>SUM(DI12:DI86)</f>
        <v>22944.25</v>
      </c>
      <c r="DJ87" s="90">
        <f>SUM(DJ12:DJ86)</f>
        <v>25362</v>
      </c>
      <c r="DK87" s="90">
        <f>SUM(DK12:DK86)</f>
        <v>28311</v>
      </c>
      <c r="DL87" s="90">
        <f>SUM(DL12:DL86)</f>
        <v>29874</v>
      </c>
      <c r="DM87" s="90">
        <f>SUM(DM12:DM86)</f>
        <v>30510</v>
      </c>
      <c r="DN87" s="90">
        <f>SUM(DN12:DN86)</f>
        <v>30518</v>
      </c>
      <c r="DO87" s="90">
        <f>SUM(DO12:DO86)</f>
        <v>29897.159999999996</v>
      </c>
      <c r="DP87" s="90">
        <f>SUM(DP12:DP86)</f>
        <v>7026</v>
      </c>
      <c r="DQ87" s="90">
        <f>SUM(DQ3:DQ86)</f>
        <v>0</v>
      </c>
      <c r="DR87" s="90">
        <f>SUM(DR3:DR86)</f>
        <v>0</v>
      </c>
      <c r="DS87" s="90">
        <f>SUM(DS3:DS86)</f>
        <v>0</v>
      </c>
      <c r="DT87" s="90">
        <f>SUM(DT3:DT86)</f>
        <v>17918</v>
      </c>
      <c r="DU87" s="90">
        <f>SUM(DU3:DU86)</f>
        <v>21281</v>
      </c>
      <c r="DV87" s="90">
        <f>SUM(DV3:DV86)</f>
        <v>21049</v>
      </c>
      <c r="DW87" s="90">
        <f>SUM(DW3:DW86)</f>
        <v>23978</v>
      </c>
      <c r="DX87" s="90">
        <f>SUM(DX3:DX86)</f>
        <v>26617</v>
      </c>
      <c r="DY87" s="90">
        <f>SUM(DY3:DY86)</f>
        <v>37417</v>
      </c>
      <c r="DZ87" s="90">
        <f>SUM(DZ3:DZ86)</f>
        <v>44346</v>
      </c>
      <c r="EA87" s="90">
        <f>SUM(EA3:EA86)</f>
        <v>45812</v>
      </c>
      <c r="EB87" s="90">
        <f>SUM(EB3:EB86)</f>
        <v>51772.61</v>
      </c>
      <c r="EC87" s="90">
        <f>SUM(EC3:EC86)</f>
        <v>52212.883999999998</v>
      </c>
      <c r="ED87" s="90">
        <f>SUM(ED3:ED86)</f>
        <v>47055.258569999991</v>
      </c>
      <c r="EE87" s="90">
        <f>SUM(EE3:EE86)</f>
        <v>48442.339410700013</v>
      </c>
      <c r="EF87" s="90">
        <f>SUM(EF3:EF86)</f>
        <v>50378.480476187004</v>
      </c>
      <c r="EG87" s="90">
        <f>SUM(EG3:EG86)</f>
        <v>51294.300672047058</v>
      </c>
      <c r="EH87" s="90">
        <f>SUM(EH3:EH86)</f>
        <v>51502.651017060482</v>
      </c>
      <c r="EI87" s="90">
        <f>SUM(EI3:EI86)</f>
        <v>47774.816139161427</v>
      </c>
      <c r="EJ87" s="90">
        <f>SUM(EJ3:EJ86)</f>
        <v>44612.235691048132</v>
      </c>
      <c r="EK87" s="90">
        <f>SUM(EK3:EK86)</f>
        <v>42434.336196154298</v>
      </c>
      <c r="EL87" s="90">
        <f>SUM(EL3:EL86)</f>
        <v>42196.208334771167</v>
      </c>
      <c r="EM87" s="90">
        <f>SUM(EM3:EM86)</f>
        <v>42443.128236456214</v>
      </c>
    </row>
    <row r="88" spans="1:143">
      <c r="B88" s="31" t="s">
        <v>537</v>
      </c>
      <c r="C88" s="34"/>
      <c r="D88" s="34"/>
      <c r="E88" s="34"/>
      <c r="F88" s="34"/>
      <c r="G88" s="34"/>
      <c r="H88" s="34"/>
      <c r="I88" s="34"/>
      <c r="J88" s="34"/>
      <c r="K88" s="34">
        <v>-1184</v>
      </c>
      <c r="L88" s="34">
        <v>-1073</v>
      </c>
      <c r="M88" s="34">
        <v>-1177</v>
      </c>
      <c r="N88" s="34">
        <v>-1029</v>
      </c>
      <c r="O88" s="34">
        <v>-1158</v>
      </c>
      <c r="P88" s="34">
        <v>-1251</v>
      </c>
      <c r="Q88" s="34">
        <v>-1286</v>
      </c>
      <c r="R88" s="34">
        <v>-1498</v>
      </c>
      <c r="S88" s="34">
        <v>-1410</v>
      </c>
      <c r="T88" s="34">
        <v>-1313</v>
      </c>
      <c r="U88" s="34">
        <v>-1245</v>
      </c>
      <c r="V88" s="34">
        <v>-1388</v>
      </c>
      <c r="W88" s="34">
        <f>1251+54</f>
        <v>1305</v>
      </c>
      <c r="X88" s="34">
        <f>1391+58</f>
        <v>1449</v>
      </c>
      <c r="Y88" s="34">
        <f>1339+53</f>
        <v>1392</v>
      </c>
      <c r="Z88" s="34">
        <f>1578+61</f>
        <v>1639</v>
      </c>
      <c r="AA88" s="34">
        <f>1486+61</f>
        <v>1547</v>
      </c>
      <c r="AB88" s="34">
        <f>1668+61</f>
        <v>1729</v>
      </c>
      <c r="AC88" s="34">
        <f>1444+59</f>
        <v>1503</v>
      </c>
      <c r="AD88" s="34">
        <f>1821+67</f>
        <v>1888</v>
      </c>
      <c r="AE88" s="34">
        <f>1502+66</f>
        <v>1568</v>
      </c>
      <c r="AF88" s="34">
        <f>1455+75</f>
        <v>1530</v>
      </c>
      <c r="AG88" s="34">
        <f>1529+79</f>
        <v>1608</v>
      </c>
      <c r="AH88" s="34">
        <f>2112+71</f>
        <v>2183</v>
      </c>
      <c r="AI88" s="34">
        <f>1383+64</f>
        <v>1447</v>
      </c>
      <c r="AJ88" s="34">
        <f>1464+70</f>
        <v>1534</v>
      </c>
      <c r="AK88" s="34">
        <f>1263+73</f>
        <v>1336</v>
      </c>
      <c r="AL88" s="34">
        <f>1665+91</f>
        <v>1756</v>
      </c>
      <c r="AM88" s="34">
        <f>1654+78</f>
        <v>1732</v>
      </c>
      <c r="AN88" s="34">
        <f>1452+88</f>
        <v>1540</v>
      </c>
      <c r="AO88" s="34">
        <f>1524+82</f>
        <v>1606</v>
      </c>
      <c r="AP88" s="34">
        <v>1759</v>
      </c>
      <c r="AQ88" s="34">
        <f>1339+80</f>
        <v>1419</v>
      </c>
      <c r="AR88" s="34">
        <f>AR87-AR89</f>
        <v>1203.9672</v>
      </c>
      <c r="AS88" s="34">
        <f>1593+93</f>
        <v>1686</v>
      </c>
      <c r="AT88" s="34">
        <f>1612+85</f>
        <v>1697</v>
      </c>
      <c r="AU88" s="34">
        <f>1375+76</f>
        <v>1451</v>
      </c>
      <c r="AV88" s="34">
        <f t="shared" ref="AV88:BB88" si="92">+AV87-AV89</f>
        <v>0</v>
      </c>
      <c r="AW88" s="34">
        <f t="shared" si="92"/>
        <v>0</v>
      </c>
      <c r="AX88" s="34">
        <f t="shared" si="92"/>
        <v>0</v>
      </c>
      <c r="AY88" s="34"/>
      <c r="AZ88" s="34"/>
      <c r="BA88" s="34">
        <f t="shared" si="92"/>
        <v>0</v>
      </c>
      <c r="BB88" s="34">
        <f t="shared" si="92"/>
        <v>0</v>
      </c>
      <c r="BC88" s="34"/>
      <c r="BD88" s="34">
        <f>1307+77</f>
        <v>1384</v>
      </c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76"/>
      <c r="BP88" s="34">
        <f>950+72</f>
        <v>1022</v>
      </c>
      <c r="BQ88" s="34">
        <f>1249+76</f>
        <v>1325</v>
      </c>
      <c r="BR88" s="34"/>
      <c r="BS88" s="34"/>
      <c r="BT88" s="34"/>
      <c r="BU88" s="34"/>
      <c r="BV88" s="34"/>
      <c r="BW88" s="76"/>
      <c r="BX88" s="76"/>
      <c r="BY88" s="76"/>
      <c r="BZ88" s="76">
        <f>1378+92</f>
        <v>1470</v>
      </c>
      <c r="CA88" s="76">
        <f>1420+87</f>
        <v>1507</v>
      </c>
      <c r="CB88" s="76">
        <f>984+104</f>
        <v>1088</v>
      </c>
      <c r="CC88" s="76">
        <f>1370+99</f>
        <v>1469</v>
      </c>
      <c r="CD88" s="76">
        <f>1525+109-9-16-1</f>
        <v>1608</v>
      </c>
      <c r="CE88" s="76">
        <f>1864-99-7-17</f>
        <v>1741</v>
      </c>
      <c r="CF88" s="76">
        <f>2191+103-6-16</f>
        <v>2272</v>
      </c>
      <c r="CG88" s="76">
        <f>3757+120-208-14-1049-2</f>
        <v>2604</v>
      </c>
      <c r="CH88" s="76">
        <f>4625+124-1157-501-16</f>
        <v>3075</v>
      </c>
      <c r="CI88" s="76">
        <f>3511+124-51-8-1181</f>
        <v>2395</v>
      </c>
      <c r="CJ88" s="76">
        <f>2998+129-30-8-1139</f>
        <v>1950</v>
      </c>
      <c r="CK88" s="76"/>
      <c r="CL88" s="76">
        <f>2900+156</f>
        <v>3056</v>
      </c>
      <c r="CM88" s="76">
        <f>1905+134</f>
        <v>2039</v>
      </c>
      <c r="CN88" s="76">
        <f>1960+131</f>
        <v>2091</v>
      </c>
      <c r="CO88" s="76"/>
      <c r="CP88" s="76">
        <f>2308+145</f>
        <v>2453</v>
      </c>
      <c r="CQ88" s="76">
        <f>2218+135</f>
        <v>2353</v>
      </c>
      <c r="CR88" s="76">
        <f>2183+132-25</f>
        <v>2290</v>
      </c>
      <c r="CS88" s="76">
        <f>+CS87*0.17</f>
        <v>2192.2435</v>
      </c>
      <c r="CT88" s="76">
        <f t="shared" ref="CT88:CX88" si="93">+CT87*0.17</f>
        <v>2254.0402000000004</v>
      </c>
      <c r="CU88" s="76">
        <f t="shared" si="93"/>
        <v>2395.5771</v>
      </c>
      <c r="CV88" s="76">
        <f t="shared" si="93"/>
        <v>2235.4626000000003</v>
      </c>
      <c r="CW88" s="76">
        <f t="shared" si="93"/>
        <v>2248.5894900000003</v>
      </c>
      <c r="CX88" s="76">
        <f t="shared" si="93"/>
        <v>2305.681032</v>
      </c>
      <c r="CY88" s="76"/>
      <c r="CZ88" s="76"/>
      <c r="DA88" s="34"/>
      <c r="DB88" s="34"/>
      <c r="DC88" s="34"/>
      <c r="DG88" s="34">
        <v>-4463</v>
      </c>
      <c r="DH88" s="34">
        <v>-5193</v>
      </c>
      <c r="DI88" s="34">
        <v>-5356</v>
      </c>
      <c r="DJ88" s="40">
        <f>SUM(W88:Z88)</f>
        <v>5785</v>
      </c>
      <c r="DK88" s="34">
        <f>DK87-DK89</f>
        <v>6143.487000000001</v>
      </c>
      <c r="DL88" s="34">
        <f t="shared" ref="DL88:DS88" si="94">DL87-DL89</f>
        <v>6452.7839999999997</v>
      </c>
      <c r="DM88" s="34">
        <f>5775+298</f>
        <v>6073</v>
      </c>
      <c r="DN88" s="34">
        <f>DN87-DN89</f>
        <v>6632</v>
      </c>
      <c r="DO88" s="40">
        <f>SUM(AQ88:AT88)</f>
        <v>6005.9672</v>
      </c>
      <c r="DP88" s="34">
        <f t="shared" si="94"/>
        <v>1597.1107765908646</v>
      </c>
      <c r="DQ88" s="34">
        <f t="shared" si="94"/>
        <v>0</v>
      </c>
      <c r="DR88" s="34">
        <f t="shared" si="94"/>
        <v>0</v>
      </c>
      <c r="DS88" s="34">
        <f t="shared" si="94"/>
        <v>0</v>
      </c>
      <c r="DT88" s="34">
        <f t="shared" ref="DT88:EC88" si="95">DT87-DT89</f>
        <v>4431.3789147388434</v>
      </c>
      <c r="DU88" s="34">
        <f t="shared" si="95"/>
        <v>5369.5021472573571</v>
      </c>
      <c r="DV88" s="34">
        <f t="shared" si="95"/>
        <v>5416.2102129890554</v>
      </c>
      <c r="DW88" s="34">
        <f t="shared" si="95"/>
        <v>4795.5999999999985</v>
      </c>
      <c r="DX88" s="34">
        <f t="shared" si="95"/>
        <v>5323.3999999999978</v>
      </c>
      <c r="DY88" s="34">
        <f t="shared" si="95"/>
        <v>7483.3999999999978</v>
      </c>
      <c r="DZ88" s="34">
        <f>12391+536</f>
        <v>12927</v>
      </c>
      <c r="EA88" s="34">
        <f>8268+539</f>
        <v>8807</v>
      </c>
      <c r="EB88" s="69">
        <f>SUM(CQ88:CT88)</f>
        <v>9089.2837</v>
      </c>
      <c r="EC88" s="34">
        <f t="shared" si="95"/>
        <v>10442.576799999995</v>
      </c>
      <c r="ED88" s="34">
        <f t="shared" ref="ED88:EM88" si="96">ED87-ED89</f>
        <v>9411.0517139999938</v>
      </c>
      <c r="EE88" s="34">
        <f t="shared" si="96"/>
        <v>9688.4678821400012</v>
      </c>
      <c r="EF88" s="34">
        <f t="shared" si="96"/>
        <v>10075.696095237399</v>
      </c>
      <c r="EG88" s="34">
        <f t="shared" si="96"/>
        <v>10258.860134409406</v>
      </c>
      <c r="EH88" s="34">
        <f t="shared" si="96"/>
        <v>10300.53020341209</v>
      </c>
      <c r="EI88" s="34">
        <f t="shared" si="96"/>
        <v>9554.9632278322824</v>
      </c>
      <c r="EJ88" s="34">
        <f t="shared" si="96"/>
        <v>8922.4471382096235</v>
      </c>
      <c r="EK88" s="34">
        <f t="shared" si="96"/>
        <v>8486.8672392308581</v>
      </c>
      <c r="EL88" s="34">
        <f t="shared" si="96"/>
        <v>8439.241666954229</v>
      </c>
      <c r="EM88" s="34">
        <f t="shared" si="96"/>
        <v>8488.6256472912428</v>
      </c>
    </row>
    <row r="89" spans="1:143" s="11" customFormat="1">
      <c r="A89" s="31"/>
      <c r="B89" s="31" t="s">
        <v>538</v>
      </c>
      <c r="C89" s="42"/>
      <c r="D89" s="42"/>
      <c r="E89" s="42"/>
      <c r="F89" s="42"/>
      <c r="G89" s="42"/>
      <c r="H89" s="42"/>
      <c r="I89" s="42"/>
      <c r="J89" s="42"/>
      <c r="K89" s="42">
        <v>3551</v>
      </c>
      <c r="L89" s="42">
        <v>3363</v>
      </c>
      <c r="M89" s="42">
        <v>3626</v>
      </c>
      <c r="N89" s="42">
        <v>3846</v>
      </c>
      <c r="O89" s="42">
        <v>3916</v>
      </c>
      <c r="P89" s="42">
        <v>4037</v>
      </c>
      <c r="Q89" s="42">
        <v>3979</v>
      </c>
      <c r="R89" s="42">
        <v>4301</v>
      </c>
      <c r="S89" s="42">
        <v>4333</v>
      </c>
      <c r="T89" s="42">
        <v>4819.25</v>
      </c>
      <c r="U89" s="42">
        <v>4544</v>
      </c>
      <c r="V89" s="42">
        <v>4898</v>
      </c>
      <c r="W89" s="42">
        <f t="shared" ref="W89:AD89" si="97">W87-W88</f>
        <v>4598</v>
      </c>
      <c r="X89" s="42">
        <f t="shared" si="97"/>
        <v>4868</v>
      </c>
      <c r="Y89" s="42">
        <f t="shared" si="97"/>
        <v>4848</v>
      </c>
      <c r="Z89" s="42">
        <f t="shared" si="97"/>
        <v>5263</v>
      </c>
      <c r="AA89" s="42">
        <f t="shared" si="97"/>
        <v>5065</v>
      </c>
      <c r="AB89" s="42">
        <f t="shared" si="97"/>
        <v>5130</v>
      </c>
      <c r="AC89" s="42">
        <f t="shared" si="97"/>
        <v>5276</v>
      </c>
      <c r="AD89" s="42">
        <f t="shared" si="97"/>
        <v>6363</v>
      </c>
      <c r="AE89" s="42">
        <f>AE87-AE88</f>
        <v>6176</v>
      </c>
      <c r="AF89" s="42">
        <f>AF87-AF88</f>
        <v>5908</v>
      </c>
      <c r="AG89" s="42">
        <f>AG87-AG88</f>
        <v>5666</v>
      </c>
      <c r="AH89" s="42">
        <f>AH87-AH88</f>
        <v>5496</v>
      </c>
      <c r="AI89" s="42">
        <f>+AI87-AI88</f>
        <v>5739</v>
      </c>
      <c r="AJ89" s="42">
        <f>+AJ87-AJ88</f>
        <v>5873</v>
      </c>
      <c r="AK89" s="42">
        <f>+AK87-AK88</f>
        <v>6302</v>
      </c>
      <c r="AL89" s="42">
        <f>AL87-AL88</f>
        <v>6523</v>
      </c>
      <c r="AM89" s="42">
        <f>AM87-AM88</f>
        <v>6143</v>
      </c>
      <c r="AN89" s="42">
        <f>+AN87-AN88</f>
        <v>5974</v>
      </c>
      <c r="AO89" s="42">
        <f>+AO87-AO88</f>
        <v>5652</v>
      </c>
      <c r="AP89" s="42">
        <f>+AP87-AP88</f>
        <v>6117</v>
      </c>
      <c r="AQ89" s="42">
        <f>AQ87-AQ88</f>
        <v>6121</v>
      </c>
      <c r="AR89" s="42">
        <f>AR87*0.83</f>
        <v>5878.1927999999998</v>
      </c>
      <c r="AS89" s="42">
        <f>+AS87-AS88</f>
        <v>5772</v>
      </c>
      <c r="AT89" s="42">
        <f>+AT87-AT88</f>
        <v>6120</v>
      </c>
      <c r="AU89" s="42">
        <f>+AU87-AU88</f>
        <v>5175</v>
      </c>
      <c r="AV89" s="42">
        <f>+AV87*0.79</f>
        <v>0</v>
      </c>
      <c r="AW89" s="42">
        <f>+AW87*0.79</f>
        <v>0</v>
      </c>
      <c r="AX89" s="42">
        <f>+AX87*0.79</f>
        <v>0</v>
      </c>
      <c r="AY89" s="42"/>
      <c r="AZ89" s="42"/>
      <c r="BA89" s="42"/>
      <c r="BB89" s="42"/>
      <c r="BC89" s="42"/>
      <c r="BD89" s="42">
        <f>+BD87-BD88</f>
        <v>4142</v>
      </c>
      <c r="BE89" s="42"/>
      <c r="BF89" s="42"/>
      <c r="BG89" s="42"/>
      <c r="BH89" s="42"/>
      <c r="BI89" s="42"/>
      <c r="BJ89" s="42"/>
      <c r="BK89" s="42"/>
      <c r="BL89" s="42"/>
      <c r="BM89" s="42"/>
      <c r="BN89" s="42"/>
      <c r="BO89" s="77"/>
      <c r="BP89" s="42">
        <f>+BP87-BP88</f>
        <v>4029</v>
      </c>
      <c r="BQ89" s="42">
        <f>+BQ87-BQ88</f>
        <v>4907</v>
      </c>
      <c r="BR89" s="42"/>
      <c r="BS89" s="42"/>
      <c r="BT89" s="42"/>
      <c r="BU89" s="42"/>
      <c r="BV89" s="42"/>
      <c r="BW89" s="77"/>
      <c r="BX89" s="77"/>
      <c r="BY89" s="77"/>
      <c r="BZ89" s="77">
        <f t="shared" ref="BZ89:CD89" si="98">BZ87-BZ88</f>
        <v>5197</v>
      </c>
      <c r="CA89" s="77">
        <f t="shared" si="98"/>
        <v>4847</v>
      </c>
      <c r="CB89" s="77">
        <f t="shared" si="98"/>
        <v>5187</v>
      </c>
      <c r="CC89" s="77">
        <f>CC87-CC88</f>
        <v>5109</v>
      </c>
      <c r="CD89" s="77">
        <f t="shared" si="98"/>
        <v>5802</v>
      </c>
      <c r="CE89" s="77">
        <f>CE87-CE88</f>
        <v>5579</v>
      </c>
      <c r="CF89" s="77">
        <f>CF87-CF88</f>
        <v>5948</v>
      </c>
      <c r="CG89" s="77">
        <f>+CG87-CG88</f>
        <v>7262</v>
      </c>
      <c r="CH89" s="77">
        <f>CH87-CH88</f>
        <v>8936</v>
      </c>
      <c r="CI89" s="77">
        <f>CI87-CI88</f>
        <v>8995</v>
      </c>
      <c r="CJ89" s="77">
        <f>CJ87-CJ88</f>
        <v>8821</v>
      </c>
      <c r="CK89" s="77"/>
      <c r="CL89" s="77">
        <f>+CL87-CL88</f>
        <v>8151</v>
      </c>
      <c r="CM89" s="77">
        <f>+CM87-CM88</f>
        <v>8840</v>
      </c>
      <c r="CN89" s="77">
        <f>+CN87-CN88</f>
        <v>9326</v>
      </c>
      <c r="CO89" s="77"/>
      <c r="CP89" s="77">
        <f>+CP87-CP88</f>
        <v>9571</v>
      </c>
      <c r="CQ89" s="77">
        <f>+CQ87-CQ88</f>
        <v>10327</v>
      </c>
      <c r="CR89" s="77">
        <f>+CR87-CR88</f>
        <v>10648</v>
      </c>
      <c r="CS89" s="77">
        <f>+CS87-CS88</f>
        <v>10703.306499999999</v>
      </c>
      <c r="CT89" s="77">
        <f t="shared" ref="CT89:CX89" si="99">+CT87-CT88</f>
        <v>11005.019800000002</v>
      </c>
      <c r="CU89" s="77">
        <f t="shared" si="99"/>
        <v>11696.052899999999</v>
      </c>
      <c r="CV89" s="77">
        <f t="shared" si="99"/>
        <v>10914.3174</v>
      </c>
      <c r="CW89" s="77">
        <f t="shared" si="99"/>
        <v>10978.407510000001</v>
      </c>
      <c r="CX89" s="77">
        <f t="shared" si="99"/>
        <v>11257.148567999999</v>
      </c>
      <c r="CY89" s="77"/>
      <c r="CZ89" s="77"/>
      <c r="DA89" s="42"/>
      <c r="DB89" s="42"/>
      <c r="DC89" s="42"/>
      <c r="DD89" s="39"/>
      <c r="DE89" s="39"/>
      <c r="DF89" s="39"/>
      <c r="DG89" s="42">
        <v>14386</v>
      </c>
      <c r="DH89" s="42">
        <v>16233</v>
      </c>
      <c r="DI89" s="42">
        <v>18594.25</v>
      </c>
      <c r="DJ89" s="42">
        <f>DJ87-DJ88</f>
        <v>19577</v>
      </c>
      <c r="DK89" s="42">
        <f>DK87*DK103</f>
        <v>22167.512999999999</v>
      </c>
      <c r="DL89" s="42">
        <f t="shared" ref="DL89:DS89" si="100">DL87*DL103</f>
        <v>23421.216</v>
      </c>
      <c r="DM89" s="42">
        <f>DM87-DM88</f>
        <v>24437</v>
      </c>
      <c r="DN89" s="42">
        <f>SUM(AM89:AP89)</f>
        <v>23886</v>
      </c>
      <c r="DO89" s="40">
        <f>SUM(AQ89:AT89)</f>
        <v>23891.192800000001</v>
      </c>
      <c r="DP89" s="42">
        <f>DP87*DP103</f>
        <v>5428.8892234091354</v>
      </c>
      <c r="DQ89" s="42">
        <f t="shared" si="100"/>
        <v>0</v>
      </c>
      <c r="DR89" s="42">
        <f t="shared" si="100"/>
        <v>0</v>
      </c>
      <c r="DS89" s="42">
        <f t="shared" si="100"/>
        <v>0</v>
      </c>
      <c r="DT89" s="42">
        <f t="shared" ref="DT89:EC89" si="101">DT87*DT103</f>
        <v>13486.621085261157</v>
      </c>
      <c r="DU89" s="42">
        <f t="shared" si="101"/>
        <v>15911.497852742643</v>
      </c>
      <c r="DV89" s="42">
        <f t="shared" si="101"/>
        <v>15632.789787010945</v>
      </c>
      <c r="DW89" s="42">
        <f t="shared" si="101"/>
        <v>19182.400000000001</v>
      </c>
      <c r="DX89" s="42">
        <f t="shared" si="101"/>
        <v>21293.600000000002</v>
      </c>
      <c r="DY89" s="42">
        <f t="shared" si="101"/>
        <v>29933.600000000002</v>
      </c>
      <c r="DZ89" s="42">
        <f>+DZ87-DZ88</f>
        <v>31419</v>
      </c>
      <c r="EA89" s="42">
        <f>+EA87-EA88</f>
        <v>37005</v>
      </c>
      <c r="EB89" s="42">
        <f>+EB87-EB88</f>
        <v>42683.326300000001</v>
      </c>
      <c r="EC89" s="42">
        <f t="shared" si="101"/>
        <v>41770.307200000003</v>
      </c>
      <c r="ED89" s="42">
        <f t="shared" ref="ED89:EM89" si="102">ED87*ED103</f>
        <v>37644.206855999997</v>
      </c>
      <c r="EE89" s="42">
        <f t="shared" si="102"/>
        <v>38753.871528560012</v>
      </c>
      <c r="EF89" s="42">
        <f t="shared" si="102"/>
        <v>40302.784380949604</v>
      </c>
      <c r="EG89" s="42">
        <f t="shared" si="102"/>
        <v>41035.440537637653</v>
      </c>
      <c r="EH89" s="42">
        <f t="shared" si="102"/>
        <v>41202.120813648391</v>
      </c>
      <c r="EI89" s="42">
        <f t="shared" si="102"/>
        <v>38219.852911329144</v>
      </c>
      <c r="EJ89" s="42">
        <f t="shared" si="102"/>
        <v>35689.788552838509</v>
      </c>
      <c r="EK89" s="42">
        <f t="shared" si="102"/>
        <v>33947.46895692344</v>
      </c>
      <c r="EL89" s="42">
        <f t="shared" si="102"/>
        <v>33756.966667816938</v>
      </c>
      <c r="EM89" s="42">
        <f t="shared" si="102"/>
        <v>33954.502589164971</v>
      </c>
    </row>
    <row r="90" spans="1:143" s="11" customFormat="1">
      <c r="A90" s="31"/>
      <c r="B90" s="31" t="s">
        <v>13</v>
      </c>
      <c r="C90" s="42"/>
      <c r="D90" s="42"/>
      <c r="E90" s="42"/>
      <c r="F90" s="42"/>
      <c r="G90" s="42"/>
      <c r="H90" s="42"/>
      <c r="I90" s="42"/>
      <c r="J90" s="42"/>
      <c r="K90" s="42">
        <v>-708</v>
      </c>
      <c r="L90" s="42">
        <v>-700</v>
      </c>
      <c r="M90" s="42">
        <v>-725</v>
      </c>
      <c r="N90" s="42">
        <v>-879</v>
      </c>
      <c r="O90" s="42">
        <v>-857</v>
      </c>
      <c r="P90" s="42">
        <v>-888</v>
      </c>
      <c r="Q90" s="42">
        <v>-823</v>
      </c>
      <c r="R90" s="42">
        <v>-899</v>
      </c>
      <c r="S90" s="42">
        <v>-865</v>
      </c>
      <c r="T90" s="42">
        <v>-860</v>
      </c>
      <c r="U90" s="42">
        <v>-781</v>
      </c>
      <c r="V90" s="42">
        <v>-873</v>
      </c>
      <c r="W90" s="42">
        <v>861</v>
      </c>
      <c r="X90" s="42">
        <v>955</v>
      </c>
      <c r="Y90" s="42">
        <v>962</v>
      </c>
      <c r="Z90" s="42">
        <v>1124</v>
      </c>
      <c r="AA90" s="42">
        <v>1170</v>
      </c>
      <c r="AB90" s="42">
        <v>1225</v>
      </c>
      <c r="AC90" s="42">
        <v>1335</v>
      </c>
      <c r="AD90" s="42">
        <v>1432</v>
      </c>
      <c r="AE90" s="42">
        <v>1236</v>
      </c>
      <c r="AF90" s="42">
        <v>1297</v>
      </c>
      <c r="AG90" s="42">
        <v>1291</v>
      </c>
      <c r="AH90" s="42">
        <v>1355</v>
      </c>
      <c r="AI90" s="42">
        <v>980</v>
      </c>
      <c r="AJ90" s="42">
        <v>1059</v>
      </c>
      <c r="AK90" s="42">
        <v>1056</v>
      </c>
      <c r="AL90" s="42">
        <v>1314</v>
      </c>
      <c r="AM90" s="42">
        <v>991</v>
      </c>
      <c r="AN90" s="42">
        <v>1320</v>
      </c>
      <c r="AO90" s="42">
        <v>1077</v>
      </c>
      <c r="AP90" s="42">
        <v>1930</v>
      </c>
      <c r="AQ90" s="42">
        <v>1162</v>
      </c>
      <c r="AR90" s="42">
        <f>AQ90</f>
        <v>1162</v>
      </c>
      <c r="AS90" s="42">
        <v>1296</v>
      </c>
      <c r="AT90" s="42">
        <v>1867</v>
      </c>
      <c r="AU90" s="42">
        <v>1530</v>
      </c>
      <c r="AV90" s="42"/>
      <c r="AW90" s="42"/>
      <c r="AX90" s="42"/>
      <c r="AY90" s="42"/>
      <c r="AZ90" s="42"/>
      <c r="BA90" s="42"/>
      <c r="BB90" s="42"/>
      <c r="BC90" s="42"/>
      <c r="BD90" s="42">
        <v>1328</v>
      </c>
      <c r="BE90" s="42"/>
      <c r="BF90" s="42"/>
      <c r="BG90" s="42"/>
      <c r="BH90" s="42"/>
      <c r="BI90" s="42"/>
      <c r="BJ90" s="42"/>
      <c r="BK90" s="42"/>
      <c r="BL90" s="42"/>
      <c r="BM90" s="42"/>
      <c r="BN90" s="42"/>
      <c r="BO90" s="77"/>
      <c r="BP90" s="42">
        <v>1349</v>
      </c>
      <c r="BQ90" s="42">
        <v>1404</v>
      </c>
      <c r="BR90" s="42"/>
      <c r="BS90" s="42"/>
      <c r="BT90" s="42"/>
      <c r="BU90" s="42"/>
      <c r="BV90" s="42"/>
      <c r="BW90" s="77"/>
      <c r="BX90" s="77"/>
      <c r="BY90" s="77"/>
      <c r="BZ90" s="77">
        <v>2091</v>
      </c>
      <c r="CA90" s="77">
        <v>1388</v>
      </c>
      <c r="CB90" s="77">
        <v>1389</v>
      </c>
      <c r="CC90" s="77">
        <v>1495</v>
      </c>
      <c r="CD90" s="77">
        <v>1707</v>
      </c>
      <c r="CE90" s="77">
        <v>1638</v>
      </c>
      <c r="CF90" s="77">
        <v>1801</v>
      </c>
      <c r="CG90" s="77">
        <v>2152</v>
      </c>
      <c r="CH90" s="77">
        <v>2396</v>
      </c>
      <c r="CI90" s="77">
        <v>2186</v>
      </c>
      <c r="CJ90" s="77">
        <v>2431</v>
      </c>
      <c r="CK90" s="77"/>
      <c r="CL90" s="77">
        <v>2625</v>
      </c>
      <c r="CM90" s="77">
        <v>2611</v>
      </c>
      <c r="CN90" s="77">
        <v>2667</v>
      </c>
      <c r="CO90" s="77"/>
      <c r="CP90" s="77">
        <v>3073</v>
      </c>
      <c r="CQ90" s="77">
        <v>2783</v>
      </c>
      <c r="CR90" s="77">
        <v>2872</v>
      </c>
      <c r="CS90" s="77">
        <f>+CR90</f>
        <v>2872</v>
      </c>
      <c r="CT90" s="77">
        <f t="shared" ref="CT90:CX90" si="103">+CS90</f>
        <v>2872</v>
      </c>
      <c r="CU90" s="77">
        <f t="shared" si="103"/>
        <v>2872</v>
      </c>
      <c r="CV90" s="77">
        <f t="shared" si="103"/>
        <v>2872</v>
      </c>
      <c r="CW90" s="77">
        <f t="shared" si="103"/>
        <v>2872</v>
      </c>
      <c r="CX90" s="77">
        <f t="shared" si="103"/>
        <v>2872</v>
      </c>
      <c r="CY90" s="77"/>
      <c r="CZ90" s="77"/>
      <c r="DA90" s="42"/>
      <c r="DB90" s="42"/>
      <c r="DC90" s="42"/>
      <c r="DD90" s="39"/>
      <c r="DE90" s="39"/>
      <c r="DF90" s="39"/>
      <c r="DG90" s="42">
        <v>-3012</v>
      </c>
      <c r="DH90" s="42">
        <v>-3467</v>
      </c>
      <c r="DI90" s="42">
        <v>-3379</v>
      </c>
      <c r="DJ90" s="40">
        <f>SUM(W90:Z90)</f>
        <v>3902</v>
      </c>
      <c r="DK90" s="42">
        <f>DJ90</f>
        <v>3902</v>
      </c>
      <c r="DL90" s="42">
        <f>DK90</f>
        <v>3902</v>
      </c>
      <c r="DM90" s="40">
        <f>SUM(AI90:AL90)</f>
        <v>4409</v>
      </c>
      <c r="DN90" s="42">
        <f>SUM(AM90:AP90)</f>
        <v>5318</v>
      </c>
      <c r="DO90" s="40">
        <f>SUM(AQ90:AT90)</f>
        <v>5487</v>
      </c>
      <c r="DP90" s="42"/>
      <c r="DQ90" s="42"/>
      <c r="DR90" s="42"/>
      <c r="DS90" s="42"/>
      <c r="DT90" s="42"/>
      <c r="DU90" s="42"/>
      <c r="DV90" s="42"/>
      <c r="DW90" s="42"/>
      <c r="DX90" s="42"/>
      <c r="DZ90" s="63">
        <v>9762</v>
      </c>
      <c r="EA90" s="63">
        <v>10935</v>
      </c>
      <c r="EB90" s="69">
        <f>SUM(CQ90:CT90)</f>
        <v>11399</v>
      </c>
    </row>
    <row r="91" spans="1:143" s="11" customFormat="1">
      <c r="A91" s="31"/>
      <c r="B91" s="31" t="s">
        <v>12</v>
      </c>
      <c r="C91" s="42"/>
      <c r="D91" s="42"/>
      <c r="E91" s="42"/>
      <c r="F91" s="42"/>
      <c r="G91" s="42"/>
      <c r="H91" s="42"/>
      <c r="I91" s="42"/>
      <c r="J91" s="42"/>
      <c r="K91" s="42">
        <v>-1677</v>
      </c>
      <c r="L91" s="42">
        <v>-1821</v>
      </c>
      <c r="M91" s="42">
        <v>-1898</v>
      </c>
      <c r="N91" s="42">
        <v>-2159</v>
      </c>
      <c r="O91" s="42">
        <v>-2045</v>
      </c>
      <c r="P91" s="42">
        <v>-2206</v>
      </c>
      <c r="Q91" s="42">
        <v>-2011</v>
      </c>
      <c r="R91" s="42">
        <v>-2183</v>
      </c>
      <c r="S91" s="42">
        <v>-2057</v>
      </c>
      <c r="T91" s="42">
        <v>-2283</v>
      </c>
      <c r="U91" s="42">
        <v>-2107</v>
      </c>
      <c r="V91" s="42">
        <v>-2459</v>
      </c>
      <c r="W91" s="42">
        <v>2115</v>
      </c>
      <c r="X91" s="42">
        <v>2290</v>
      </c>
      <c r="Y91" s="42">
        <v>2180</v>
      </c>
      <c r="Z91" s="42">
        <v>2511</v>
      </c>
      <c r="AA91" s="42">
        <v>2217</v>
      </c>
      <c r="AB91" s="42">
        <v>2605</v>
      </c>
      <c r="AC91" s="42">
        <v>2487</v>
      </c>
      <c r="AD91" s="42">
        <v>3055</v>
      </c>
      <c r="AE91" s="42">
        <v>2737</v>
      </c>
      <c r="AF91" s="42">
        <v>2834</v>
      </c>
      <c r="AG91" s="42">
        <v>2486</v>
      </c>
      <c r="AH91" s="42">
        <v>2856</v>
      </c>
      <c r="AI91" s="42">
        <v>2376</v>
      </c>
      <c r="AJ91" s="42">
        <v>2828</v>
      </c>
      <c r="AK91" s="42">
        <v>2663</v>
      </c>
      <c r="AL91" s="42">
        <v>3465</v>
      </c>
      <c r="AM91" s="42">
        <v>2462</v>
      </c>
      <c r="AN91" s="42">
        <v>2450</v>
      </c>
      <c r="AO91" s="42">
        <v>3011</v>
      </c>
      <c r="AP91" s="42">
        <v>2522</v>
      </c>
      <c r="AQ91" s="42">
        <v>2508</v>
      </c>
      <c r="AR91" s="42">
        <f>AQ91</f>
        <v>2508</v>
      </c>
      <c r="AS91" s="42">
        <v>2644</v>
      </c>
      <c r="AT91" s="42">
        <v>3141</v>
      </c>
      <c r="AU91" s="42">
        <v>2461</v>
      </c>
      <c r="AV91" s="42">
        <f>+AR91-100</f>
        <v>2408</v>
      </c>
      <c r="AW91" s="42">
        <f>+AS91-100</f>
        <v>2544</v>
      </c>
      <c r="AX91" s="42">
        <f>+AT91-100</f>
        <v>3041</v>
      </c>
      <c r="AY91" s="42"/>
      <c r="AZ91" s="42"/>
      <c r="BA91" s="42"/>
      <c r="BB91" s="42"/>
      <c r="BC91" s="42"/>
      <c r="BD91" s="42">
        <v>3058</v>
      </c>
      <c r="BE91" s="42"/>
      <c r="BF91" s="42"/>
      <c r="BG91" s="42"/>
      <c r="BH91" s="42"/>
      <c r="BI91" s="42"/>
      <c r="BJ91" s="42"/>
      <c r="BK91" s="42"/>
      <c r="BL91" s="42"/>
      <c r="BM91" s="42"/>
      <c r="BN91" s="42"/>
      <c r="BO91" s="77"/>
      <c r="BP91" s="42">
        <v>2358</v>
      </c>
      <c r="BQ91" s="42">
        <v>2497</v>
      </c>
      <c r="BR91" s="42"/>
      <c r="BS91" s="42"/>
      <c r="BT91" s="42"/>
      <c r="BU91" s="42"/>
      <c r="BV91" s="42"/>
      <c r="BW91" s="77"/>
      <c r="BX91" s="77"/>
      <c r="BY91" s="77"/>
      <c r="BZ91" s="77">
        <v>3026</v>
      </c>
      <c r="CA91" s="77">
        <v>2719</v>
      </c>
      <c r="CB91" s="77">
        <v>2635</v>
      </c>
      <c r="CC91" s="77">
        <v>2730</v>
      </c>
      <c r="CD91" s="77">
        <v>2838</v>
      </c>
      <c r="CE91" s="77">
        <v>2399</v>
      </c>
      <c r="CF91" s="77">
        <v>2471</v>
      </c>
      <c r="CG91" s="77">
        <v>2866</v>
      </c>
      <c r="CH91" s="77">
        <v>3368</v>
      </c>
      <c r="CI91" s="77">
        <v>2946</v>
      </c>
      <c r="CJ91" s="77">
        <v>3137</v>
      </c>
      <c r="CK91" s="77"/>
      <c r="CL91" s="77">
        <v>4621</v>
      </c>
      <c r="CM91" s="77">
        <v>4059</v>
      </c>
      <c r="CN91" s="77">
        <v>4986</v>
      </c>
      <c r="CO91" s="77"/>
      <c r="CP91" s="77">
        <v>5371</v>
      </c>
      <c r="CQ91" s="77">
        <v>4495</v>
      </c>
      <c r="CR91" s="77">
        <v>3735</v>
      </c>
      <c r="CS91" s="77">
        <f>+CR91</f>
        <v>3735</v>
      </c>
      <c r="CT91" s="77">
        <f t="shared" ref="CT91:CX91" si="104">+CS91</f>
        <v>3735</v>
      </c>
      <c r="CU91" s="77">
        <f t="shared" si="104"/>
        <v>3735</v>
      </c>
      <c r="CV91" s="77">
        <f t="shared" si="104"/>
        <v>3735</v>
      </c>
      <c r="CW91" s="77">
        <f t="shared" si="104"/>
        <v>3735</v>
      </c>
      <c r="CX91" s="77">
        <f t="shared" si="104"/>
        <v>3735</v>
      </c>
      <c r="CY91" s="77"/>
      <c r="CZ91" s="77"/>
      <c r="DA91" s="42"/>
      <c r="DB91" s="42"/>
      <c r="DC91" s="42"/>
      <c r="DD91" s="39"/>
      <c r="DE91" s="39"/>
      <c r="DF91" s="39"/>
      <c r="DG91" s="42">
        <v>-7555</v>
      </c>
      <c r="DH91" s="42">
        <v>-8445</v>
      </c>
      <c r="DI91" s="42">
        <v>-8906</v>
      </c>
      <c r="DJ91" s="40">
        <f>SUM(W91:Z91)</f>
        <v>9096</v>
      </c>
      <c r="DK91" s="42">
        <f>DJ91*1.01</f>
        <v>9186.9600000000009</v>
      </c>
      <c r="DL91" s="42">
        <f>DK91*1.01</f>
        <v>9278.8296000000009</v>
      </c>
      <c r="DM91" s="40">
        <f>SUM(AI91:AL91)</f>
        <v>11332</v>
      </c>
      <c r="DN91" s="42">
        <f>SUM(AM91:AP91)</f>
        <v>10445</v>
      </c>
      <c r="DO91" s="40">
        <f>SUM(AQ91:AT91)</f>
        <v>10801</v>
      </c>
      <c r="DP91" s="42">
        <f>+DP87*DP105</f>
        <v>2178.06</v>
      </c>
      <c r="DQ91" s="42">
        <f t="shared" ref="DQ91:DW91" si="105">+DQ87*DQ105</f>
        <v>0</v>
      </c>
      <c r="DR91" s="42">
        <f t="shared" si="105"/>
        <v>0</v>
      </c>
      <c r="DS91" s="42">
        <f t="shared" si="105"/>
        <v>0</v>
      </c>
      <c r="DT91" s="42">
        <f t="shared" si="105"/>
        <v>5733.76</v>
      </c>
      <c r="DU91" s="42">
        <f t="shared" si="105"/>
        <v>7022.7300000000005</v>
      </c>
      <c r="DV91" s="42">
        <f t="shared" si="105"/>
        <v>7156.6600000000008</v>
      </c>
      <c r="DW91" s="42">
        <f t="shared" si="105"/>
        <v>8392.2999999999993</v>
      </c>
      <c r="DX91" s="42">
        <f t="shared" ref="DX91:EM91" si="106">+DX87*DX105</f>
        <v>9582.119999999999</v>
      </c>
      <c r="DY91" s="42">
        <f t="shared" si="106"/>
        <v>13470.119999999999</v>
      </c>
      <c r="DZ91" s="42">
        <v>18419</v>
      </c>
      <c r="EA91" s="42">
        <v>19216</v>
      </c>
      <c r="EB91" s="69">
        <f>SUM(CQ91:CT91)</f>
        <v>15700</v>
      </c>
      <c r="EC91" s="42">
        <f t="shared" si="106"/>
        <v>18796.63824</v>
      </c>
      <c r="ED91" s="42">
        <f t="shared" si="106"/>
        <v>16939.893085199998</v>
      </c>
      <c r="EE91" s="42">
        <f t="shared" si="106"/>
        <v>17439.242187852004</v>
      </c>
      <c r="EF91" s="42">
        <f t="shared" si="106"/>
        <v>18136.252971427322</v>
      </c>
      <c r="EG91" s="42">
        <f t="shared" si="106"/>
        <v>18465.948241936941</v>
      </c>
      <c r="EH91" s="42">
        <f t="shared" si="106"/>
        <v>18540.954366141774</v>
      </c>
      <c r="EI91" s="42">
        <f t="shared" si="106"/>
        <v>17198.933810098111</v>
      </c>
      <c r="EJ91" s="42">
        <f t="shared" si="106"/>
        <v>16060.404848777327</v>
      </c>
      <c r="EK91" s="42">
        <f t="shared" si="106"/>
        <v>15276.361030615546</v>
      </c>
      <c r="EL91" s="42">
        <f t="shared" si="106"/>
        <v>15190.635000517619</v>
      </c>
      <c r="EM91" s="42">
        <f t="shared" si="106"/>
        <v>15279.526165124236</v>
      </c>
    </row>
    <row r="92" spans="1:143" s="11" customFormat="1">
      <c r="A92" s="31"/>
      <c r="B92" s="31" t="s">
        <v>14</v>
      </c>
      <c r="C92" s="42"/>
      <c r="D92" s="42"/>
      <c r="E92" s="42"/>
      <c r="F92" s="42"/>
      <c r="G92" s="42"/>
      <c r="H92" s="42"/>
      <c r="I92" s="42"/>
      <c r="J92" s="42"/>
      <c r="K92" s="42">
        <v>18</v>
      </c>
      <c r="L92" s="42">
        <v>40</v>
      </c>
      <c r="M92" s="42">
        <v>70</v>
      </c>
      <c r="N92" s="42">
        <v>60</v>
      </c>
      <c r="O92" s="42">
        <v>38</v>
      </c>
      <c r="P92" s="42">
        <v>109</v>
      </c>
      <c r="Q92" s="42">
        <v>27</v>
      </c>
      <c r="R92" s="42">
        <v>52</v>
      </c>
      <c r="S92" s="42">
        <v>42</v>
      </c>
      <c r="T92" s="42">
        <v>42</v>
      </c>
      <c r="U92" s="42">
        <v>39</v>
      </c>
      <c r="V92" s="42">
        <v>70</v>
      </c>
      <c r="W92" s="42">
        <v>77</v>
      </c>
      <c r="X92" s="42">
        <v>200</v>
      </c>
      <c r="Y92" s="42">
        <v>124</v>
      </c>
      <c r="Z92" s="42">
        <v>123</v>
      </c>
      <c r="AA92" s="42">
        <v>138</v>
      </c>
      <c r="AB92" s="42">
        <v>259</v>
      </c>
      <c r="AC92" s="42">
        <v>197</v>
      </c>
      <c r="AD92" s="42">
        <v>134</v>
      </c>
      <c r="AE92" s="42">
        <v>121</v>
      </c>
      <c r="AF92" s="42">
        <v>178</v>
      </c>
      <c r="AG92" s="42">
        <v>132</v>
      </c>
      <c r="AH92" s="42">
        <v>93</v>
      </c>
      <c r="AI92" s="42">
        <v>265</v>
      </c>
      <c r="AJ92" s="42">
        <v>314</v>
      </c>
      <c r="AK92" s="42">
        <v>59</v>
      </c>
      <c r="AL92" s="42">
        <v>-85</v>
      </c>
      <c r="AM92" s="42">
        <v>252</v>
      </c>
      <c r="AN92" s="42">
        <v>166</v>
      </c>
      <c r="AO92" s="42">
        <v>202</v>
      </c>
      <c r="AP92" s="42">
        <v>92</v>
      </c>
      <c r="AQ92" s="42">
        <v>198</v>
      </c>
      <c r="AR92" s="42">
        <f>AQ92</f>
        <v>198</v>
      </c>
      <c r="AS92" s="42"/>
      <c r="AT92" s="42">
        <v>216</v>
      </c>
      <c r="AU92" s="42">
        <v>253</v>
      </c>
      <c r="AV92" s="42"/>
      <c r="AW92" s="42"/>
      <c r="AX92" s="42"/>
      <c r="AY92" s="42"/>
      <c r="AZ92" s="42"/>
      <c r="BA92" s="42"/>
      <c r="BB92" s="42"/>
      <c r="BC92" s="42"/>
      <c r="BD92" s="42">
        <v>425</v>
      </c>
      <c r="BE92" s="42"/>
      <c r="BF92" s="42"/>
      <c r="BG92" s="42"/>
      <c r="BH92" s="42"/>
      <c r="BI92" s="42"/>
      <c r="BJ92" s="42"/>
      <c r="BK92" s="42"/>
      <c r="BL92" s="42"/>
      <c r="BM92" s="42"/>
      <c r="BN92" s="42"/>
      <c r="BO92" s="77"/>
      <c r="BP92" s="42"/>
      <c r="BR92" s="42"/>
      <c r="BS92" s="42"/>
      <c r="BT92" s="42"/>
      <c r="BU92" s="42"/>
      <c r="BV92" s="42"/>
      <c r="BW92" s="77"/>
      <c r="BX92" s="77"/>
      <c r="BY92" s="77"/>
      <c r="BZ92" s="77">
        <v>500</v>
      </c>
      <c r="CA92" s="77">
        <v>480</v>
      </c>
      <c r="CB92" s="77">
        <v>121</v>
      </c>
      <c r="CC92" s="77">
        <v>287</v>
      </c>
      <c r="CD92" s="77">
        <v>642</v>
      </c>
      <c r="CE92" s="77">
        <v>1180</v>
      </c>
      <c r="CF92" s="77">
        <v>129</v>
      </c>
      <c r="CG92" s="77">
        <v>37</v>
      </c>
      <c r="CH92" s="77"/>
      <c r="CI92" s="77">
        <v>98</v>
      </c>
      <c r="CJ92" s="77">
        <v>112</v>
      </c>
      <c r="CK92" s="77"/>
      <c r="CL92" s="77">
        <v>189</v>
      </c>
      <c r="CM92" s="77">
        <v>379</v>
      </c>
      <c r="CN92" s="77">
        <v>784</v>
      </c>
      <c r="CO92" s="77"/>
      <c r="CP92" s="77">
        <v>107</v>
      </c>
      <c r="CQ92" s="77">
        <v>67</v>
      </c>
      <c r="CR92" s="77">
        <v>60</v>
      </c>
      <c r="CS92" s="77">
        <f>+CR92</f>
        <v>60</v>
      </c>
      <c r="CT92" s="77">
        <f t="shared" ref="CT92:CX92" si="107">+CS92</f>
        <v>60</v>
      </c>
      <c r="CU92" s="77">
        <f t="shared" si="107"/>
        <v>60</v>
      </c>
      <c r="CV92" s="77">
        <f t="shared" si="107"/>
        <v>60</v>
      </c>
      <c r="CW92" s="77">
        <f t="shared" si="107"/>
        <v>60</v>
      </c>
      <c r="CX92" s="77">
        <f t="shared" si="107"/>
        <v>60</v>
      </c>
      <c r="CY92" s="77"/>
      <c r="CZ92" s="77"/>
      <c r="DA92" s="42"/>
      <c r="DB92" s="42"/>
      <c r="DC92" s="42"/>
      <c r="DD92" s="39"/>
      <c r="DE92" s="39"/>
      <c r="DF92" s="39"/>
      <c r="DG92" s="42">
        <v>188</v>
      </c>
      <c r="DH92" s="42">
        <v>226</v>
      </c>
      <c r="DI92" s="42">
        <v>193</v>
      </c>
      <c r="DJ92" s="40">
        <f>SUM(W92:Z92)</f>
        <v>524</v>
      </c>
      <c r="DK92" s="42">
        <f>DJ92</f>
        <v>524</v>
      </c>
      <c r="DL92" s="42">
        <f>DK92</f>
        <v>524</v>
      </c>
      <c r="DM92" s="40">
        <f>SUM(AI92:AL92)</f>
        <v>553</v>
      </c>
      <c r="DN92" s="42">
        <f>SUM(AM92:AP92)</f>
        <v>712</v>
      </c>
      <c r="DO92" s="40">
        <f>SUM(AQ92:AT92)</f>
        <v>612</v>
      </c>
      <c r="DP92" s="42"/>
      <c r="DQ92" s="42"/>
      <c r="DR92" s="42"/>
      <c r="DS92" s="42"/>
      <c r="DT92" s="42"/>
      <c r="DU92" s="42"/>
      <c r="DV92" s="42"/>
      <c r="DW92" s="42"/>
      <c r="DX92" s="42"/>
      <c r="DZ92" s="63">
        <v>514</v>
      </c>
      <c r="EA92" s="63">
        <v>1340</v>
      </c>
      <c r="EB92" s="69">
        <f>SUM(CQ92:CT92)</f>
        <v>247</v>
      </c>
    </row>
    <row r="93" spans="1:143" s="11" customFormat="1">
      <c r="A93" s="31"/>
      <c r="B93" s="31" t="s">
        <v>15</v>
      </c>
      <c r="C93" s="42"/>
      <c r="D93" s="42"/>
      <c r="E93" s="42"/>
      <c r="F93" s="42"/>
      <c r="G93" s="42"/>
      <c r="H93" s="42"/>
      <c r="I93" s="42"/>
      <c r="J93" s="42"/>
      <c r="K93" s="42">
        <v>1184</v>
      </c>
      <c r="L93" s="42">
        <v>882</v>
      </c>
      <c r="M93" s="42">
        <v>1073</v>
      </c>
      <c r="N93" s="42">
        <v>868</v>
      </c>
      <c r="O93" s="42">
        <v>1052</v>
      </c>
      <c r="P93" s="42">
        <v>1052</v>
      </c>
      <c r="Q93" s="42">
        <v>1172</v>
      </c>
      <c r="R93" s="42">
        <v>1271</v>
      </c>
      <c r="S93" s="42">
        <v>1453</v>
      </c>
      <c r="T93" s="42">
        <v>1718.25</v>
      </c>
      <c r="U93" s="42">
        <v>1695</v>
      </c>
      <c r="V93" s="42">
        <v>1636</v>
      </c>
      <c r="W93" s="42">
        <f t="shared" ref="W93:AD93" si="108">W89-W90-W91+W92</f>
        <v>1699</v>
      </c>
      <c r="X93" s="42">
        <f t="shared" si="108"/>
        <v>1823</v>
      </c>
      <c r="Y93" s="42">
        <f t="shared" si="108"/>
        <v>1830</v>
      </c>
      <c r="Z93" s="42">
        <f t="shared" si="108"/>
        <v>1751</v>
      </c>
      <c r="AA93" s="42">
        <f t="shared" si="108"/>
        <v>1816</v>
      </c>
      <c r="AB93" s="42">
        <f t="shared" si="108"/>
        <v>1559</v>
      </c>
      <c r="AC93" s="42">
        <f t="shared" si="108"/>
        <v>1651</v>
      </c>
      <c r="AD93" s="42">
        <f t="shared" si="108"/>
        <v>2010</v>
      </c>
      <c r="AE93" s="42">
        <f t="shared" ref="AE93:AL93" si="109">AE89-AE90-AE91+AE92</f>
        <v>2324</v>
      </c>
      <c r="AF93" s="42">
        <f t="shared" si="109"/>
        <v>1955</v>
      </c>
      <c r="AG93" s="42">
        <f t="shared" si="109"/>
        <v>2021</v>
      </c>
      <c r="AH93" s="42">
        <f t="shared" si="109"/>
        <v>1378</v>
      </c>
      <c r="AI93" s="42">
        <f t="shared" si="109"/>
        <v>2648</v>
      </c>
      <c r="AJ93" s="42">
        <f t="shared" si="109"/>
        <v>2300</v>
      </c>
      <c r="AK93" s="42">
        <f t="shared" si="109"/>
        <v>2642</v>
      </c>
      <c r="AL93" s="42">
        <f t="shared" si="109"/>
        <v>1659</v>
      </c>
      <c r="AM93" s="42">
        <f t="shared" ref="AM93:AT93" si="110">AM89-AM90-AM91+AM92</f>
        <v>2942</v>
      </c>
      <c r="AN93" s="42">
        <f t="shared" si="110"/>
        <v>2370</v>
      </c>
      <c r="AO93" s="42">
        <f t="shared" si="110"/>
        <v>1766</v>
      </c>
      <c r="AP93" s="42">
        <f t="shared" si="110"/>
        <v>1757</v>
      </c>
      <c r="AQ93" s="42">
        <f t="shared" si="110"/>
        <v>2649</v>
      </c>
      <c r="AR93" s="42">
        <f t="shared" si="110"/>
        <v>2406.1927999999998</v>
      </c>
      <c r="AS93" s="42">
        <f t="shared" si="110"/>
        <v>1832</v>
      </c>
      <c r="AT93" s="42">
        <f t="shared" si="110"/>
        <v>1328</v>
      </c>
      <c r="AU93" s="42">
        <f>AU89-AU90-AU91+AU92</f>
        <v>1437</v>
      </c>
      <c r="AV93" s="42">
        <f>AV89-AV90-AV91+AV92</f>
        <v>-2408</v>
      </c>
      <c r="AW93" s="42">
        <f>AW89-AW90-AW91+AW92</f>
        <v>-2544</v>
      </c>
      <c r="AX93" s="42">
        <f>AX89-AX90-AX91+AX92</f>
        <v>-3041</v>
      </c>
      <c r="AY93" s="42"/>
      <c r="AZ93" s="42"/>
      <c r="BA93" s="42"/>
      <c r="BB93" s="42"/>
      <c r="BC93" s="42"/>
      <c r="BD93" s="42">
        <f>BD89-BD90-BD91+BD92</f>
        <v>181</v>
      </c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77"/>
      <c r="BP93" s="42">
        <f>+BP89-BP90-BP91</f>
        <v>322</v>
      </c>
      <c r="BQ93" s="42">
        <f>+BQ89-BQ90-BQ91</f>
        <v>1006</v>
      </c>
      <c r="BR93" s="42"/>
      <c r="BS93" s="42"/>
      <c r="BT93" s="42"/>
      <c r="BU93" s="42"/>
      <c r="BV93" s="42"/>
      <c r="BW93" s="77"/>
      <c r="BX93" s="77"/>
      <c r="BY93" s="77"/>
      <c r="BZ93" s="77">
        <f t="shared" ref="BZ93:CJ93" si="111">BZ89-BZ90-BZ91+BZ92</f>
        <v>580</v>
      </c>
      <c r="CA93" s="77">
        <f t="shared" si="111"/>
        <v>1220</v>
      </c>
      <c r="CB93" s="77">
        <f t="shared" ref="CB93" si="112">CB89-CB90-CB91+CB92</f>
        <v>1284</v>
      </c>
      <c r="CC93" s="77">
        <f t="shared" si="111"/>
        <v>1171</v>
      </c>
      <c r="CD93" s="77">
        <f t="shared" si="111"/>
        <v>1899</v>
      </c>
      <c r="CE93" s="77">
        <f t="shared" si="111"/>
        <v>2722</v>
      </c>
      <c r="CF93" s="77">
        <f t="shared" si="111"/>
        <v>1805</v>
      </c>
      <c r="CG93" s="77">
        <f t="shared" si="111"/>
        <v>2281</v>
      </c>
      <c r="CH93" s="77">
        <f t="shared" si="111"/>
        <v>3172</v>
      </c>
      <c r="CI93" s="77">
        <f t="shared" si="111"/>
        <v>3961</v>
      </c>
      <c r="CJ93" s="77">
        <f t="shared" si="111"/>
        <v>3365</v>
      </c>
      <c r="CK93" s="77"/>
      <c r="CL93" s="77">
        <f t="shared" ref="CL93:CM93" si="113">CL89-CL90-CL91+CL92</f>
        <v>1094</v>
      </c>
      <c r="CM93" s="77">
        <f t="shared" si="113"/>
        <v>2549</v>
      </c>
      <c r="CN93" s="77">
        <f t="shared" ref="CN93" si="114">CN89-CN90-CN91+CN92</f>
        <v>2457</v>
      </c>
      <c r="CO93" s="77"/>
      <c r="CP93" s="77">
        <f t="shared" ref="CP93:CS93" si="115">CP89-CP90-CP91+CP92</f>
        <v>1234</v>
      </c>
      <c r="CQ93" s="77">
        <f t="shared" si="115"/>
        <v>3116</v>
      </c>
      <c r="CR93" s="77">
        <f t="shared" si="115"/>
        <v>4101</v>
      </c>
      <c r="CS93" s="77">
        <f t="shared" si="115"/>
        <v>4156.3064999999988</v>
      </c>
      <c r="CT93" s="77">
        <f t="shared" ref="CT93:CX93" si="116">CT89-CT90-CT91+CT92</f>
        <v>4458.0198000000019</v>
      </c>
      <c r="CU93" s="77">
        <f t="shared" si="116"/>
        <v>5149.0528999999988</v>
      </c>
      <c r="CV93" s="77">
        <f t="shared" si="116"/>
        <v>4367.3173999999999</v>
      </c>
      <c r="CW93" s="77">
        <f t="shared" si="116"/>
        <v>4431.4075100000009</v>
      </c>
      <c r="CX93" s="77">
        <f t="shared" si="116"/>
        <v>4710.1485679999987</v>
      </c>
      <c r="CY93" s="77"/>
      <c r="CZ93" s="77"/>
      <c r="DA93" s="42"/>
      <c r="DB93" s="42"/>
      <c r="DC93" s="42"/>
      <c r="DD93" s="39"/>
      <c r="DE93" s="39"/>
      <c r="DF93" s="39"/>
      <c r="DG93" s="42">
        <v>4007</v>
      </c>
      <c r="DH93" s="42">
        <v>4547</v>
      </c>
      <c r="DI93" s="42">
        <v>6502.25</v>
      </c>
      <c r="DJ93" s="42">
        <f>DJ89-DJ90-DJ91+DJ92</f>
        <v>7103</v>
      </c>
      <c r="DK93" s="42">
        <f>DK89-DK90-DK91+DK92</f>
        <v>9602.5529999999981</v>
      </c>
      <c r="DL93" s="42">
        <f t="shared" ref="DL93:DZ93" si="117">DL89-DL90-DL91+DL92</f>
        <v>10764.386399999999</v>
      </c>
      <c r="DM93" s="42">
        <f>DM89-DM90-DM91+DM92</f>
        <v>9249</v>
      </c>
      <c r="DN93" s="42">
        <f>DN89-DN90-DN91+DN92</f>
        <v>8835</v>
      </c>
      <c r="DO93" s="42">
        <f t="shared" si="117"/>
        <v>8215.1928000000007</v>
      </c>
      <c r="DP93" s="42">
        <f t="shared" si="117"/>
        <v>3250.8292234091355</v>
      </c>
      <c r="DQ93" s="42">
        <f t="shared" si="117"/>
        <v>0</v>
      </c>
      <c r="DR93" s="42">
        <f t="shared" si="117"/>
        <v>0</v>
      </c>
      <c r="DS93" s="42">
        <f t="shared" si="117"/>
        <v>0</v>
      </c>
      <c r="DT93" s="42">
        <f t="shared" si="117"/>
        <v>7752.8610852611564</v>
      </c>
      <c r="DU93" s="42">
        <f t="shared" si="117"/>
        <v>8888.7678527426433</v>
      </c>
      <c r="DV93" s="42">
        <f t="shared" si="117"/>
        <v>8476.1297870109447</v>
      </c>
      <c r="DW93" s="42">
        <f t="shared" si="117"/>
        <v>10790.100000000002</v>
      </c>
      <c r="DX93" s="42">
        <f>DX89-DX90-DX91+DX92</f>
        <v>11711.480000000003</v>
      </c>
      <c r="DY93" s="42">
        <f t="shared" si="117"/>
        <v>16463.480000000003</v>
      </c>
      <c r="DZ93" s="42">
        <f t="shared" si="117"/>
        <v>3752</v>
      </c>
      <c r="EA93" s="42">
        <f>EA89-EA90-EA91+EA92</f>
        <v>8194</v>
      </c>
      <c r="EB93" s="42">
        <f>EB89-EB90-EB91+EB92</f>
        <v>15831.326300000001</v>
      </c>
      <c r="EC93" s="42">
        <f>EC89-EC90-EC91+EC92</f>
        <v>22973.668960000003</v>
      </c>
      <c r="ED93" s="42">
        <f t="shared" ref="ED93:EM93" si="118">ED89-ED90-ED91+ED92</f>
        <v>20704.313770799999</v>
      </c>
      <c r="EE93" s="42">
        <f t="shared" si="118"/>
        <v>21314.629340708008</v>
      </c>
      <c r="EF93" s="42">
        <f t="shared" si="118"/>
        <v>22166.531409522282</v>
      </c>
      <c r="EG93" s="42">
        <f t="shared" si="118"/>
        <v>22569.492295700711</v>
      </c>
      <c r="EH93" s="42">
        <f t="shared" si="118"/>
        <v>22661.166447506617</v>
      </c>
      <c r="EI93" s="42">
        <f t="shared" si="118"/>
        <v>21020.919101231033</v>
      </c>
      <c r="EJ93" s="42">
        <f t="shared" si="118"/>
        <v>19629.383704061183</v>
      </c>
      <c r="EK93" s="42">
        <f t="shared" si="118"/>
        <v>18671.107926307894</v>
      </c>
      <c r="EL93" s="42">
        <f t="shared" si="118"/>
        <v>18566.331667299317</v>
      </c>
      <c r="EM93" s="42">
        <f t="shared" si="118"/>
        <v>18674.976424040735</v>
      </c>
    </row>
    <row r="94" spans="1:143" s="11" customFormat="1">
      <c r="A94" s="31"/>
      <c r="B94" s="31" t="s">
        <v>22</v>
      </c>
      <c r="C94" s="42"/>
      <c r="D94" s="42"/>
      <c r="E94" s="42"/>
      <c r="F94" s="42"/>
      <c r="G94" s="42"/>
      <c r="H94" s="42"/>
      <c r="I94" s="42"/>
      <c r="J94" s="42"/>
      <c r="K94" s="42">
        <v>11</v>
      </c>
      <c r="L94" s="42">
        <v>31</v>
      </c>
      <c r="M94" s="42">
        <v>4</v>
      </c>
      <c r="N94" s="42">
        <v>10</v>
      </c>
      <c r="O94" s="42">
        <v>30</v>
      </c>
      <c r="P94" s="42">
        <v>-13</v>
      </c>
      <c r="Q94" s="42">
        <v>13</v>
      </c>
      <c r="R94" s="42">
        <v>48</v>
      </c>
      <c r="S94" s="42">
        <v>33</v>
      </c>
      <c r="T94" s="42">
        <v>31</v>
      </c>
      <c r="U94" s="42">
        <v>48</v>
      </c>
      <c r="V94" s="42">
        <v>53</v>
      </c>
      <c r="W94" s="42">
        <f>200-132</f>
        <v>68</v>
      </c>
      <c r="X94" s="42">
        <f>199-121</f>
        <v>78</v>
      </c>
      <c r="Y94" s="42">
        <f>221-140</f>
        <v>81</v>
      </c>
      <c r="Z94" s="42">
        <f>267-167</f>
        <v>100</v>
      </c>
      <c r="AA94" s="42">
        <f>247-150</f>
        <v>97</v>
      </c>
      <c r="AB94" s="42">
        <f>239-221</f>
        <v>18</v>
      </c>
      <c r="AC94" s="42">
        <f>217-351</f>
        <v>-134</v>
      </c>
      <c r="AD94" s="42">
        <f>256-348</f>
        <v>-92</v>
      </c>
      <c r="AE94" s="42">
        <v>-114</v>
      </c>
      <c r="AF94" s="42">
        <f>144-338</f>
        <v>-194</v>
      </c>
      <c r="AG94" s="42">
        <f>235-314</f>
        <v>-79</v>
      </c>
      <c r="AH94" s="42">
        <f>217-293</f>
        <v>-76</v>
      </c>
      <c r="AI94" s="42">
        <f>113-273</f>
        <v>-160</v>
      </c>
      <c r="AJ94" s="42">
        <f>94-337</f>
        <v>-243</v>
      </c>
      <c r="AK94" s="42">
        <f>125-297</f>
        <v>-172</v>
      </c>
      <c r="AL94" s="42">
        <f>130-291</f>
        <v>-161</v>
      </c>
      <c r="AM94" s="42">
        <f>133-257</f>
        <v>-124</v>
      </c>
      <c r="AN94" s="42">
        <f>126-243</f>
        <v>-117</v>
      </c>
      <c r="AO94" s="42">
        <f>123-271</f>
        <v>-148</v>
      </c>
      <c r="AP94" s="42">
        <f>140-268</f>
        <v>-128</v>
      </c>
      <c r="AQ94" s="42">
        <f>137-250</f>
        <v>-113</v>
      </c>
      <c r="AR94" s="42">
        <f>137-250</f>
        <v>-113</v>
      </c>
      <c r="AS94" s="42">
        <f>153-246</f>
        <v>-93</v>
      </c>
      <c r="AT94" s="42">
        <f>126-241</f>
        <v>-115</v>
      </c>
      <c r="AU94" s="42">
        <f>132-239</f>
        <v>-107</v>
      </c>
      <c r="AV94" s="42"/>
      <c r="AW94" s="42"/>
      <c r="AX94" s="42"/>
      <c r="AY94" s="42"/>
      <c r="AZ94" s="42"/>
      <c r="BA94" s="42"/>
      <c r="BB94" s="42"/>
      <c r="BC94" s="42"/>
      <c r="BD94" s="42">
        <f>10-253</f>
        <v>-243</v>
      </c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77"/>
      <c r="BP94" s="42">
        <f>603-420-13</f>
        <v>170</v>
      </c>
      <c r="BQ94" s="42">
        <f>-386-17+143</f>
        <v>-260</v>
      </c>
      <c r="BR94" s="42"/>
      <c r="BS94" s="42"/>
      <c r="BT94" s="42"/>
      <c r="BU94" s="42"/>
      <c r="BV94" s="42"/>
      <c r="BW94" s="77"/>
      <c r="BX94" s="77"/>
      <c r="BY94" s="77"/>
      <c r="BZ94" s="77">
        <f>312+25</f>
        <v>337</v>
      </c>
      <c r="CA94" s="77">
        <f>281+4</f>
        <v>285</v>
      </c>
      <c r="CB94" s="77">
        <f>307+16</f>
        <v>323</v>
      </c>
      <c r="CC94" s="77">
        <f>324+1-7</f>
        <v>318</v>
      </c>
      <c r="CD94" s="77">
        <f>314+6-54-55</f>
        <v>211</v>
      </c>
      <c r="CE94" s="77">
        <f>-20+303+4-49-47</f>
        <v>191</v>
      </c>
      <c r="CF94" s="77">
        <f>319+44-50-47</f>
        <v>266</v>
      </c>
      <c r="CG94" s="77">
        <f>335+7-15-101</f>
        <v>226</v>
      </c>
      <c r="CH94" s="77">
        <f>-146+233</f>
        <v>87</v>
      </c>
      <c r="CI94" s="77">
        <v>252</v>
      </c>
      <c r="CJ94" s="77">
        <f>223-1</f>
        <v>222</v>
      </c>
      <c r="CK94" s="77"/>
      <c r="CL94" s="77">
        <v>316</v>
      </c>
      <c r="CM94" s="77">
        <f>365-78</f>
        <v>287</v>
      </c>
      <c r="CN94" s="77">
        <f>367+1</f>
        <v>368</v>
      </c>
      <c r="CO94" s="77"/>
      <c r="CP94" s="77">
        <v>337</v>
      </c>
      <c r="CQ94" s="77">
        <f>413+13-111</f>
        <v>315</v>
      </c>
      <c r="CR94" s="77">
        <f>285+6</f>
        <v>291</v>
      </c>
      <c r="CS94" s="77">
        <f>+CR94</f>
        <v>291</v>
      </c>
      <c r="CT94" s="77">
        <f t="shared" ref="CT94:CX94" si="119">+CS94</f>
        <v>291</v>
      </c>
      <c r="CU94" s="77">
        <f t="shared" si="119"/>
        <v>291</v>
      </c>
      <c r="CV94" s="77">
        <f t="shared" si="119"/>
        <v>291</v>
      </c>
      <c r="CW94" s="77">
        <f t="shared" si="119"/>
        <v>291</v>
      </c>
      <c r="CX94" s="77">
        <f t="shared" si="119"/>
        <v>291</v>
      </c>
      <c r="CY94" s="77"/>
      <c r="CZ94" s="77"/>
      <c r="DA94" s="42"/>
      <c r="DB94" s="42"/>
      <c r="DC94" s="42"/>
      <c r="DD94" s="39"/>
      <c r="DE94" s="39"/>
      <c r="DF94" s="39"/>
      <c r="DG94" s="42">
        <v>56</v>
      </c>
      <c r="DH94" s="42">
        <v>78</v>
      </c>
      <c r="DI94" s="42">
        <v>165</v>
      </c>
      <c r="DJ94" s="40">
        <f>SUM(W94:Z94)</f>
        <v>327</v>
      </c>
      <c r="DK94" s="39"/>
      <c r="DL94" s="42" t="e">
        <f>#REF!*0.07</f>
        <v>#REF!</v>
      </c>
      <c r="DM94" s="40">
        <f>SUM(AI94:AL94)</f>
        <v>-736</v>
      </c>
      <c r="DN94" s="42">
        <f>SUM(AM94:AP94)</f>
        <v>-517</v>
      </c>
      <c r="DO94" s="40">
        <f>SUM(AQ94:AT94)</f>
        <v>-434</v>
      </c>
      <c r="DP94" s="42"/>
      <c r="DQ94" s="42"/>
      <c r="DR94" s="42"/>
      <c r="DS94" s="42"/>
      <c r="DT94" s="42"/>
      <c r="DU94" s="42"/>
      <c r="DV94" s="42"/>
      <c r="DW94" s="42"/>
      <c r="DX94" s="42"/>
      <c r="DY94" s="42"/>
      <c r="DZ94" s="42">
        <v>-1251</v>
      </c>
      <c r="EA94" s="42">
        <v>-1282</v>
      </c>
      <c r="EB94" s="69">
        <f>SUM(CQ94:CT94)</f>
        <v>1188</v>
      </c>
      <c r="EC94" s="42"/>
    </row>
    <row r="95" spans="1:143" s="11" customFormat="1">
      <c r="A95" s="31"/>
      <c r="B95" s="31" t="s">
        <v>23</v>
      </c>
      <c r="C95" s="42"/>
      <c r="D95" s="42"/>
      <c r="E95" s="42"/>
      <c r="F95" s="42"/>
      <c r="G95" s="42"/>
      <c r="H95" s="42"/>
      <c r="I95" s="42"/>
      <c r="J95" s="42"/>
      <c r="K95" s="42">
        <v>1195</v>
      </c>
      <c r="L95" s="42">
        <v>914</v>
      </c>
      <c r="M95" s="42">
        <v>1077</v>
      </c>
      <c r="N95" s="42">
        <v>879</v>
      </c>
      <c r="O95" s="42">
        <v>1082</v>
      </c>
      <c r="P95" s="42">
        <v>1039</v>
      </c>
      <c r="Q95" s="42">
        <v>1185</v>
      </c>
      <c r="R95" s="42">
        <v>1319</v>
      </c>
      <c r="S95" s="42">
        <v>1486</v>
      </c>
      <c r="T95" s="42">
        <v>1749.25</v>
      </c>
      <c r="U95" s="42">
        <v>1743</v>
      </c>
      <c r="V95" s="42">
        <v>1689</v>
      </c>
      <c r="W95" s="42">
        <f t="shared" ref="W95:AB95" si="120">W93+W94</f>
        <v>1767</v>
      </c>
      <c r="X95" s="42">
        <f t="shared" si="120"/>
        <v>1901</v>
      </c>
      <c r="Y95" s="42">
        <f t="shared" si="120"/>
        <v>1911</v>
      </c>
      <c r="Z95" s="42">
        <f t="shared" si="120"/>
        <v>1851</v>
      </c>
      <c r="AA95" s="42">
        <f t="shared" si="120"/>
        <v>1913</v>
      </c>
      <c r="AB95" s="42">
        <f t="shared" si="120"/>
        <v>1577</v>
      </c>
      <c r="AC95" s="42">
        <f t="shared" ref="AC95:AH95" si="121">AC93+AC94</f>
        <v>1517</v>
      </c>
      <c r="AD95" s="42">
        <f t="shared" si="121"/>
        <v>1918</v>
      </c>
      <c r="AE95" s="42">
        <f t="shared" si="121"/>
        <v>2210</v>
      </c>
      <c r="AF95" s="42">
        <f t="shared" si="121"/>
        <v>1761</v>
      </c>
      <c r="AG95" s="42">
        <f t="shared" si="121"/>
        <v>1942</v>
      </c>
      <c r="AH95" s="42">
        <f t="shared" si="121"/>
        <v>1302</v>
      </c>
      <c r="AI95" s="42">
        <f t="shared" ref="AI95:AQ95" si="122">AI93+AI94</f>
        <v>2488</v>
      </c>
      <c r="AJ95" s="42">
        <f t="shared" si="122"/>
        <v>2057</v>
      </c>
      <c r="AK95" s="42">
        <f t="shared" si="122"/>
        <v>2470</v>
      </c>
      <c r="AL95" s="42">
        <f t="shared" si="122"/>
        <v>1498</v>
      </c>
      <c r="AM95" s="42">
        <f t="shared" si="122"/>
        <v>2818</v>
      </c>
      <c r="AN95" s="42">
        <f t="shared" si="122"/>
        <v>2253</v>
      </c>
      <c r="AO95" s="42">
        <f t="shared" si="122"/>
        <v>1618</v>
      </c>
      <c r="AP95" s="42">
        <f t="shared" si="122"/>
        <v>1629</v>
      </c>
      <c r="AQ95" s="42">
        <f t="shared" si="122"/>
        <v>2536</v>
      </c>
      <c r="AR95" s="42">
        <f t="shared" ref="AR95:AX95" si="123">AR93+AR94</f>
        <v>2293.1927999999998</v>
      </c>
      <c r="AS95" s="42">
        <f t="shared" si="123"/>
        <v>1739</v>
      </c>
      <c r="AT95" s="42">
        <f t="shared" si="123"/>
        <v>1213</v>
      </c>
      <c r="AU95" s="42">
        <f t="shared" si="123"/>
        <v>1330</v>
      </c>
      <c r="AV95" s="42">
        <f t="shared" si="123"/>
        <v>-2408</v>
      </c>
      <c r="AW95" s="42">
        <f t="shared" si="123"/>
        <v>-2544</v>
      </c>
      <c r="AX95" s="42">
        <f t="shared" si="123"/>
        <v>-3041</v>
      </c>
      <c r="AY95" s="42"/>
      <c r="AZ95" s="42"/>
      <c r="BA95" s="42"/>
      <c r="BB95" s="42"/>
      <c r="BC95" s="42"/>
      <c r="BD95" s="42">
        <f>+BD94+BD93</f>
        <v>-62</v>
      </c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77"/>
      <c r="BP95" s="42">
        <f>+BP93+BP94</f>
        <v>492</v>
      </c>
      <c r="BQ95" s="42">
        <f>+BQ93+BQ94</f>
        <v>746</v>
      </c>
      <c r="BR95" s="42"/>
      <c r="BS95" s="42"/>
      <c r="BT95" s="42"/>
      <c r="BU95" s="42"/>
      <c r="BV95" s="42"/>
      <c r="BW95" s="77"/>
      <c r="BX95" s="77"/>
      <c r="BY95" s="77"/>
      <c r="BZ95" s="77">
        <f t="shared" ref="BZ95:CB95" si="124">BZ93-BZ94</f>
        <v>243</v>
      </c>
      <c r="CA95" s="77">
        <f t="shared" si="124"/>
        <v>935</v>
      </c>
      <c r="CB95" s="77">
        <f t="shared" si="124"/>
        <v>961</v>
      </c>
      <c r="CC95" s="77">
        <f t="shared" ref="CC95:CJ95" si="125">CC93-CC94</f>
        <v>853</v>
      </c>
      <c r="CD95" s="77">
        <f t="shared" si="125"/>
        <v>1688</v>
      </c>
      <c r="CE95" s="77">
        <f t="shared" si="125"/>
        <v>2531</v>
      </c>
      <c r="CF95" s="77">
        <f t="shared" si="125"/>
        <v>1539</v>
      </c>
      <c r="CG95" s="77">
        <f t="shared" si="125"/>
        <v>2055</v>
      </c>
      <c r="CH95" s="77">
        <f t="shared" si="125"/>
        <v>3085</v>
      </c>
      <c r="CI95" s="77">
        <f t="shared" si="125"/>
        <v>3709</v>
      </c>
      <c r="CJ95" s="77">
        <f t="shared" si="125"/>
        <v>3143</v>
      </c>
      <c r="CK95" s="77"/>
      <c r="CL95" s="77">
        <f t="shared" ref="CL95:CM95" si="126">CL93-CL94</f>
        <v>778</v>
      </c>
      <c r="CM95" s="77">
        <f t="shared" si="126"/>
        <v>2262</v>
      </c>
      <c r="CN95" s="77">
        <f t="shared" ref="CN95" si="127">CN93-CN94</f>
        <v>2089</v>
      </c>
      <c r="CO95" s="77"/>
      <c r="CP95" s="77">
        <f t="shared" ref="CP95:CS95" si="128">CP93-CP94</f>
        <v>897</v>
      </c>
      <c r="CQ95" s="77">
        <f t="shared" si="128"/>
        <v>2801</v>
      </c>
      <c r="CR95" s="77">
        <f t="shared" si="128"/>
        <v>3810</v>
      </c>
      <c r="CS95" s="77">
        <f t="shared" si="128"/>
        <v>3865.3064999999988</v>
      </c>
      <c r="CT95" s="77">
        <f t="shared" ref="CT95:CX95" si="129">CT93-CT94</f>
        <v>4167.0198000000019</v>
      </c>
      <c r="CU95" s="77">
        <f t="shared" si="129"/>
        <v>4858.0528999999988</v>
      </c>
      <c r="CV95" s="77">
        <f t="shared" si="129"/>
        <v>4076.3173999999999</v>
      </c>
      <c r="CW95" s="77">
        <f t="shared" si="129"/>
        <v>4140.4075100000009</v>
      </c>
      <c r="CX95" s="77">
        <f t="shared" si="129"/>
        <v>4419.1485679999987</v>
      </c>
      <c r="CY95" s="77"/>
      <c r="CZ95" s="77"/>
      <c r="DA95" s="42"/>
      <c r="DB95" s="42"/>
      <c r="DC95" s="42"/>
      <c r="DD95" s="39"/>
      <c r="DE95" s="39"/>
      <c r="DF95" s="39"/>
      <c r="DG95" s="42">
        <v>4065</v>
      </c>
      <c r="DH95" s="42">
        <v>4625</v>
      </c>
      <c r="DI95" s="42">
        <v>6667.25</v>
      </c>
      <c r="DJ95" s="42">
        <f>DJ93+DJ94</f>
        <v>7430</v>
      </c>
      <c r="DK95" s="42">
        <f t="shared" ref="DK95:EB95" si="130">DK93+DK94</f>
        <v>9602.5529999999981</v>
      </c>
      <c r="DL95" s="42" t="e">
        <f t="shared" si="130"/>
        <v>#REF!</v>
      </c>
      <c r="DM95" s="42">
        <f>DM93+DM94</f>
        <v>8513</v>
      </c>
      <c r="DN95" s="42">
        <f>DN93+DN94</f>
        <v>8318</v>
      </c>
      <c r="DO95" s="42">
        <f t="shared" si="130"/>
        <v>7781.1928000000007</v>
      </c>
      <c r="DP95" s="42">
        <f t="shared" si="130"/>
        <v>3250.8292234091355</v>
      </c>
      <c r="DQ95" s="42">
        <f t="shared" si="130"/>
        <v>0</v>
      </c>
      <c r="DR95" s="42">
        <f t="shared" si="130"/>
        <v>0</v>
      </c>
      <c r="DS95" s="42">
        <f t="shared" si="130"/>
        <v>0</v>
      </c>
      <c r="DT95" s="42">
        <f t="shared" si="130"/>
        <v>7752.8610852611564</v>
      </c>
      <c r="DU95" s="42">
        <f t="shared" si="130"/>
        <v>8888.7678527426433</v>
      </c>
      <c r="DV95" s="42">
        <f t="shared" si="130"/>
        <v>8476.1297870109447</v>
      </c>
      <c r="DW95" s="42">
        <f t="shared" si="130"/>
        <v>10790.100000000002</v>
      </c>
      <c r="DX95" s="42">
        <f t="shared" si="130"/>
        <v>11711.480000000003</v>
      </c>
      <c r="DY95" s="42">
        <f t="shared" si="130"/>
        <v>16463.480000000003</v>
      </c>
      <c r="DZ95" s="42">
        <f t="shared" si="130"/>
        <v>2501</v>
      </c>
      <c r="EA95" s="42">
        <f t="shared" si="130"/>
        <v>6912</v>
      </c>
      <c r="EB95" s="42">
        <f t="shared" si="130"/>
        <v>17019.326300000001</v>
      </c>
      <c r="EC95" s="42">
        <f>EC93+EC94</f>
        <v>22973.668960000003</v>
      </c>
      <c r="ED95" s="42">
        <f t="shared" ref="ED95:EM95" si="131">ED93+ED94</f>
        <v>20704.313770799999</v>
      </c>
      <c r="EE95" s="42">
        <f t="shared" si="131"/>
        <v>21314.629340708008</v>
      </c>
      <c r="EF95" s="42">
        <f t="shared" si="131"/>
        <v>22166.531409522282</v>
      </c>
      <c r="EG95" s="42">
        <f t="shared" si="131"/>
        <v>22569.492295700711</v>
      </c>
      <c r="EH95" s="42">
        <f t="shared" si="131"/>
        <v>22661.166447506617</v>
      </c>
      <c r="EI95" s="42">
        <f t="shared" si="131"/>
        <v>21020.919101231033</v>
      </c>
      <c r="EJ95" s="42">
        <f t="shared" si="131"/>
        <v>19629.383704061183</v>
      </c>
      <c r="EK95" s="42">
        <f t="shared" si="131"/>
        <v>18671.107926307894</v>
      </c>
      <c r="EL95" s="42">
        <f t="shared" si="131"/>
        <v>18566.331667299317</v>
      </c>
      <c r="EM95" s="42">
        <f t="shared" si="131"/>
        <v>18674.976424040735</v>
      </c>
    </row>
    <row r="96" spans="1:143" s="11" customFormat="1">
      <c r="A96" s="31"/>
      <c r="B96" s="31" t="s">
        <v>16</v>
      </c>
      <c r="C96" s="42"/>
      <c r="D96" s="42"/>
      <c r="E96" s="42"/>
      <c r="F96" s="42"/>
      <c r="G96" s="42"/>
      <c r="H96" s="42"/>
      <c r="I96" s="42"/>
      <c r="J96" s="42"/>
      <c r="K96" s="42">
        <v>-247</v>
      </c>
      <c r="L96" s="42">
        <v>-253</v>
      </c>
      <c r="M96" s="42">
        <v>-311</v>
      </c>
      <c r="N96" s="42">
        <v>-218</v>
      </c>
      <c r="O96" s="42">
        <v>-285</v>
      </c>
      <c r="P96" s="42">
        <v>-230</v>
      </c>
      <c r="Q96" s="42">
        <v>-341</v>
      </c>
      <c r="R96" s="42">
        <v>-366</v>
      </c>
      <c r="S96" s="42">
        <v>-443</v>
      </c>
      <c r="T96" s="42">
        <v>-525</v>
      </c>
      <c r="U96" s="42">
        <v>-513</v>
      </c>
      <c r="V96" s="42">
        <v>-462</v>
      </c>
      <c r="W96" s="42">
        <v>620</v>
      </c>
      <c r="X96" s="42">
        <v>607</v>
      </c>
      <c r="Y96" s="42">
        <v>595</v>
      </c>
      <c r="Z96" s="42">
        <v>658</v>
      </c>
      <c r="AA96" s="42">
        <v>703</v>
      </c>
      <c r="AB96" s="42">
        <v>554</v>
      </c>
      <c r="AC96" s="42">
        <v>537</v>
      </c>
      <c r="AD96" s="42">
        <v>562</v>
      </c>
      <c r="AE96" s="42">
        <v>638</v>
      </c>
      <c r="AF96" s="42">
        <v>651</v>
      </c>
      <c r="AG96" s="42">
        <v>705</v>
      </c>
      <c r="AH96" s="42">
        <v>557</v>
      </c>
      <c r="AI96" s="42">
        <v>859</v>
      </c>
      <c r="AJ96" s="42">
        <v>891</v>
      </c>
      <c r="AK96" s="42">
        <v>911</v>
      </c>
      <c r="AL96" s="42">
        <v>602</v>
      </c>
      <c r="AM96" s="42">
        <v>740</v>
      </c>
      <c r="AN96" s="42">
        <v>801</v>
      </c>
      <c r="AO96" s="42">
        <v>704</v>
      </c>
      <c r="AP96" s="42">
        <v>651</v>
      </c>
      <c r="AQ96" s="42">
        <v>373</v>
      </c>
      <c r="AR96" s="42">
        <f>AR95*0.2</f>
        <v>458.63855999999998</v>
      </c>
      <c r="AS96" s="42">
        <v>684</v>
      </c>
      <c r="AT96" s="42">
        <v>559</v>
      </c>
      <c r="AU96" s="42">
        <v>411</v>
      </c>
      <c r="AV96" s="42">
        <f>+AV95*0.2</f>
        <v>-481.6</v>
      </c>
      <c r="AW96" s="42">
        <f>+AW95*0.2</f>
        <v>-508.8</v>
      </c>
      <c r="AX96" s="42">
        <f>+AX95*0.2</f>
        <v>-608.20000000000005</v>
      </c>
      <c r="AY96" s="42"/>
      <c r="AZ96" s="42"/>
      <c r="BA96" s="42"/>
      <c r="BB96" s="42"/>
      <c r="BC96" s="42"/>
      <c r="BD96" s="42">
        <v>69</v>
      </c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77"/>
      <c r="BP96" s="42">
        <v>46</v>
      </c>
      <c r="BQ96" s="42">
        <v>97</v>
      </c>
      <c r="BR96" s="42"/>
      <c r="BS96" s="42"/>
      <c r="BT96" s="42"/>
      <c r="BU96" s="42"/>
      <c r="BV96" s="42"/>
      <c r="BW96" s="77"/>
      <c r="BX96" s="77"/>
      <c r="BY96" s="77"/>
      <c r="BZ96" s="77">
        <v>-37</v>
      </c>
      <c r="CA96" s="77">
        <v>185</v>
      </c>
      <c r="CB96" s="77">
        <v>202</v>
      </c>
      <c r="CC96" s="77">
        <v>202</v>
      </c>
      <c r="CD96" s="77">
        <v>297</v>
      </c>
      <c r="CE96" s="77">
        <v>190</v>
      </c>
      <c r="CF96" s="77">
        <v>364</v>
      </c>
      <c r="CG96" s="77">
        <v>443</v>
      </c>
      <c r="CH96" s="77">
        <v>497</v>
      </c>
      <c r="CI96" s="77">
        <v>772</v>
      </c>
      <c r="CJ96" s="77">
        <v>481</v>
      </c>
      <c r="CK96" s="77"/>
      <c r="CL96" s="77">
        <v>-124</v>
      </c>
      <c r="CM96" s="77">
        <v>458</v>
      </c>
      <c r="CN96" s="77">
        <v>268</v>
      </c>
      <c r="CO96" s="77"/>
      <c r="CP96" s="77">
        <v>-62</v>
      </c>
      <c r="CQ96" s="77">
        <v>620</v>
      </c>
      <c r="CR96" s="77">
        <v>741</v>
      </c>
      <c r="CS96" s="77">
        <f>+CS95*0.2</f>
        <v>773.06129999999985</v>
      </c>
      <c r="CT96" s="77">
        <f t="shared" ref="CT96:CX96" si="132">+CT95*0.2</f>
        <v>833.40396000000044</v>
      </c>
      <c r="CU96" s="77">
        <f t="shared" si="132"/>
        <v>971.6105799999998</v>
      </c>
      <c r="CV96" s="77">
        <f t="shared" si="132"/>
        <v>815.26348000000007</v>
      </c>
      <c r="CW96" s="77">
        <f t="shared" si="132"/>
        <v>828.08150200000023</v>
      </c>
      <c r="CX96" s="77">
        <f t="shared" si="132"/>
        <v>883.82971359999976</v>
      </c>
      <c r="CY96" s="77"/>
      <c r="CZ96" s="77"/>
      <c r="DA96" s="42"/>
      <c r="DB96" s="42"/>
      <c r="DC96" s="42"/>
      <c r="DD96" s="39"/>
      <c r="DE96" s="39"/>
      <c r="DF96" s="39"/>
      <c r="DG96" s="42">
        <v>-1029</v>
      </c>
      <c r="DH96" s="42">
        <v>-1222</v>
      </c>
      <c r="DI96" s="42">
        <v>-1943</v>
      </c>
      <c r="DJ96" s="40">
        <f>SUM(W96:Z96)</f>
        <v>2480</v>
      </c>
      <c r="DK96" s="42">
        <f>DK95*0.25</f>
        <v>2400.6382499999995</v>
      </c>
      <c r="DL96" s="42" t="e">
        <f t="shared" ref="DL96:EB96" si="133">DL95*0.25</f>
        <v>#REF!</v>
      </c>
      <c r="DM96" s="40">
        <f>SUM(AI96:AL96)</f>
        <v>3263</v>
      </c>
      <c r="DN96" s="42">
        <f>SUM(AM96:AP96)</f>
        <v>2896</v>
      </c>
      <c r="DO96" s="40">
        <f>SUM(AQ96:AT96)</f>
        <v>2074.6385599999999</v>
      </c>
      <c r="DP96" s="42">
        <f t="shared" si="133"/>
        <v>812.70730585228387</v>
      </c>
      <c r="DQ96" s="42">
        <f t="shared" si="133"/>
        <v>0</v>
      </c>
      <c r="DR96" s="42">
        <f t="shared" si="133"/>
        <v>0</v>
      </c>
      <c r="DS96" s="42">
        <f t="shared" si="133"/>
        <v>0</v>
      </c>
      <c r="DT96" s="42">
        <f t="shared" si="133"/>
        <v>1938.2152713152891</v>
      </c>
      <c r="DU96" s="42">
        <f t="shared" si="133"/>
        <v>2222.1919631856608</v>
      </c>
      <c r="DV96" s="42">
        <f t="shared" si="133"/>
        <v>2119.0324467527362</v>
      </c>
      <c r="DW96" s="42">
        <f t="shared" si="133"/>
        <v>2697.5250000000005</v>
      </c>
      <c r="DX96" s="42">
        <f t="shared" si="133"/>
        <v>2927.8700000000008</v>
      </c>
      <c r="DY96" s="42">
        <f t="shared" si="133"/>
        <v>4115.8700000000008</v>
      </c>
      <c r="DZ96" s="42">
        <v>-792</v>
      </c>
      <c r="EA96" s="42">
        <v>938</v>
      </c>
      <c r="EB96" s="69">
        <f>SUM(CQ96:CT96)</f>
        <v>2967.4652600000004</v>
      </c>
      <c r="EC96" s="42">
        <f>+EC95*0.2</f>
        <v>4594.7337920000009</v>
      </c>
      <c r="ED96" s="42">
        <f t="shared" ref="ED96:EM96" si="134">+ED95*0.2</f>
        <v>4140.8627541599999</v>
      </c>
      <c r="EE96" s="42">
        <f t="shared" si="134"/>
        <v>4262.9258681416022</v>
      </c>
      <c r="EF96" s="42">
        <f t="shared" si="134"/>
        <v>4433.3062819044562</v>
      </c>
      <c r="EG96" s="42">
        <f t="shared" si="134"/>
        <v>4513.8984591401422</v>
      </c>
      <c r="EH96" s="42">
        <f t="shared" si="134"/>
        <v>4532.2332895013233</v>
      </c>
      <c r="EI96" s="42">
        <f t="shared" si="134"/>
        <v>4204.1838202462068</v>
      </c>
      <c r="EJ96" s="42">
        <f t="shared" si="134"/>
        <v>3925.8767408122367</v>
      </c>
      <c r="EK96" s="42">
        <f t="shared" si="134"/>
        <v>3734.2215852615791</v>
      </c>
      <c r="EL96" s="42">
        <f t="shared" si="134"/>
        <v>3713.2663334598637</v>
      </c>
      <c r="EM96" s="42">
        <f t="shared" si="134"/>
        <v>3734.9952848081471</v>
      </c>
    </row>
    <row r="97" spans="1:200" s="11" customFormat="1">
      <c r="A97" s="31"/>
      <c r="B97" s="31" t="s">
        <v>24</v>
      </c>
      <c r="C97" s="42"/>
      <c r="D97" s="42"/>
      <c r="E97" s="42"/>
      <c r="F97" s="42"/>
      <c r="G97" s="42"/>
      <c r="H97" s="42"/>
      <c r="I97" s="42"/>
      <c r="J97" s="42"/>
      <c r="K97" s="42">
        <v>-5</v>
      </c>
      <c r="L97" s="42">
        <v>-2</v>
      </c>
      <c r="M97" s="42">
        <v>-7</v>
      </c>
      <c r="N97" s="42">
        <v>-8</v>
      </c>
      <c r="O97" s="42">
        <v>-2</v>
      </c>
      <c r="P97" s="42">
        <v>-5</v>
      </c>
      <c r="Q97" s="42">
        <v>-6</v>
      </c>
      <c r="R97" s="42">
        <v>-6</v>
      </c>
      <c r="S97" s="42">
        <v>-3</v>
      </c>
      <c r="T97" s="42">
        <v>-5</v>
      </c>
      <c r="U97" s="42">
        <v>-7</v>
      </c>
      <c r="V97" s="42">
        <v>-3</v>
      </c>
      <c r="W97" s="42">
        <v>-1</v>
      </c>
      <c r="X97" s="42">
        <v>3</v>
      </c>
      <c r="Y97" s="42">
        <v>5</v>
      </c>
      <c r="Z97" s="42">
        <v>13</v>
      </c>
      <c r="AA97" s="42">
        <v>4</v>
      </c>
      <c r="AB97" s="42">
        <v>0</v>
      </c>
      <c r="AC97" s="42">
        <v>8</v>
      </c>
      <c r="AD97" s="42">
        <v>9</v>
      </c>
      <c r="AE97" s="42">
        <v>2</v>
      </c>
      <c r="AF97" s="42">
        <v>8</v>
      </c>
      <c r="AG97" s="42">
        <v>8</v>
      </c>
      <c r="AH97" s="42">
        <v>11</v>
      </c>
      <c r="AI97" s="42">
        <v>2</v>
      </c>
      <c r="AJ97" s="42">
        <v>10</v>
      </c>
      <c r="AK97" s="42">
        <v>6</v>
      </c>
      <c r="AL97" s="42">
        <v>9</v>
      </c>
      <c r="AM97" s="42">
        <v>2</v>
      </c>
      <c r="AN97" s="42">
        <v>0</v>
      </c>
      <c r="AO97" s="42">
        <v>0</v>
      </c>
      <c r="AP97" s="42">
        <v>11</v>
      </c>
      <c r="AQ97" s="42">
        <v>8</v>
      </c>
      <c r="AR97" s="42"/>
      <c r="AS97" s="42">
        <v>358</v>
      </c>
      <c r="AT97" s="42">
        <v>490</v>
      </c>
      <c r="AU97" s="42">
        <f>-117</f>
        <v>-117</v>
      </c>
      <c r="AV97" s="42"/>
      <c r="AW97" s="42"/>
      <c r="AX97" s="42"/>
      <c r="AY97" s="42"/>
      <c r="AZ97" s="42"/>
      <c r="BA97" s="42"/>
      <c r="BB97" s="42"/>
      <c r="BC97" s="42"/>
      <c r="BD97" s="42">
        <v>1</v>
      </c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77"/>
      <c r="BP97" s="42"/>
      <c r="BQ97" s="42"/>
      <c r="BR97" s="42"/>
      <c r="BS97" s="42"/>
      <c r="BT97" s="42"/>
      <c r="BU97" s="42"/>
      <c r="BV97" s="42"/>
      <c r="BW97" s="77"/>
      <c r="BX97" s="77"/>
      <c r="BY97" s="77"/>
      <c r="BZ97" s="77">
        <v>0</v>
      </c>
      <c r="CA97" s="77">
        <v>0</v>
      </c>
      <c r="CB97" s="77">
        <v>0</v>
      </c>
      <c r="CC97" s="77">
        <v>0</v>
      </c>
      <c r="CD97" s="77">
        <v>0</v>
      </c>
      <c r="CE97" s="77">
        <v>0</v>
      </c>
      <c r="CF97" s="77">
        <v>0</v>
      </c>
      <c r="CG97" s="77">
        <v>0</v>
      </c>
      <c r="CH97" s="77">
        <v>0</v>
      </c>
      <c r="CI97" s="77">
        <v>0</v>
      </c>
      <c r="CJ97" s="77">
        <v>0</v>
      </c>
      <c r="CK97" s="77"/>
      <c r="CL97" s="77"/>
      <c r="CM97" s="77"/>
      <c r="CN97" s="77">
        <v>0</v>
      </c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42"/>
      <c r="DB97" s="42"/>
      <c r="DC97" s="42"/>
      <c r="DD97" s="39"/>
      <c r="DE97" s="39"/>
      <c r="DF97" s="39"/>
      <c r="DG97" s="42">
        <v>0</v>
      </c>
      <c r="DH97" s="42">
        <v>3670</v>
      </c>
      <c r="DI97" s="42">
        <v>4706.25</v>
      </c>
      <c r="DJ97" s="39"/>
      <c r="DK97" s="39"/>
      <c r="DL97" s="39"/>
      <c r="DM97" s="40">
        <f>SUM(AI97:AL97)</f>
        <v>27</v>
      </c>
      <c r="DN97" s="42">
        <f>SUM(AM97:AP97)</f>
        <v>13</v>
      </c>
      <c r="DO97" s="40">
        <f>SUM(AQ97:AT97)</f>
        <v>856</v>
      </c>
      <c r="DP97" s="39"/>
      <c r="DQ97" s="39"/>
      <c r="DR97" s="39"/>
      <c r="DS97" s="39"/>
      <c r="DT97" s="39"/>
      <c r="DU97" s="39"/>
      <c r="DV97" s="39"/>
      <c r="DW97" s="39"/>
      <c r="DX97" s="39"/>
    </row>
    <row r="98" spans="1:200" s="11" customFormat="1">
      <c r="A98" s="31"/>
      <c r="B98" s="31" t="s">
        <v>420</v>
      </c>
      <c r="C98" s="42"/>
      <c r="D98" s="42"/>
      <c r="E98" s="42"/>
      <c r="F98" s="42"/>
      <c r="G98" s="42"/>
      <c r="H98" s="42"/>
      <c r="I98" s="42"/>
      <c r="J98" s="42"/>
      <c r="K98" s="42">
        <v>943</v>
      </c>
      <c r="L98" s="42">
        <v>659</v>
      </c>
      <c r="M98" s="42">
        <v>759</v>
      </c>
      <c r="N98" s="42">
        <v>653</v>
      </c>
      <c r="O98" s="42">
        <v>795</v>
      </c>
      <c r="P98" s="42">
        <v>804</v>
      </c>
      <c r="Q98" s="42">
        <v>838</v>
      </c>
      <c r="R98" s="42">
        <v>947</v>
      </c>
      <c r="S98" s="42">
        <v>1040</v>
      </c>
      <c r="T98" s="42">
        <v>1219.25</v>
      </c>
      <c r="U98" s="42">
        <v>1223</v>
      </c>
      <c r="V98" s="42">
        <v>1224</v>
      </c>
      <c r="W98" s="42">
        <f t="shared" ref="W98:AE98" si="135">W95-W96-W97</f>
        <v>1148</v>
      </c>
      <c r="X98" s="42">
        <f t="shared" si="135"/>
        <v>1291</v>
      </c>
      <c r="Y98" s="42">
        <f t="shared" si="135"/>
        <v>1311</v>
      </c>
      <c r="Z98" s="42">
        <f t="shared" si="135"/>
        <v>1180</v>
      </c>
      <c r="AA98" s="42">
        <f t="shared" si="135"/>
        <v>1206</v>
      </c>
      <c r="AB98" s="42">
        <f t="shared" si="135"/>
        <v>1023</v>
      </c>
      <c r="AC98" s="42">
        <f t="shared" si="135"/>
        <v>972</v>
      </c>
      <c r="AD98" s="42">
        <f t="shared" si="135"/>
        <v>1347</v>
      </c>
      <c r="AE98" s="42">
        <f t="shared" si="135"/>
        <v>1570</v>
      </c>
      <c r="AF98" s="42">
        <f t="shared" ref="AF98:AL98" si="136">AF95-AF96-AF97</f>
        <v>1102</v>
      </c>
      <c r="AG98" s="42">
        <f t="shared" si="136"/>
        <v>1229</v>
      </c>
      <c r="AH98" s="42">
        <f>AH95-AH96-AH97</f>
        <v>734</v>
      </c>
      <c r="AI98" s="42">
        <f t="shared" si="136"/>
        <v>1627</v>
      </c>
      <c r="AJ98" s="42">
        <f t="shared" si="136"/>
        <v>1156</v>
      </c>
      <c r="AK98" s="42">
        <f t="shared" si="136"/>
        <v>1553</v>
      </c>
      <c r="AL98" s="42">
        <f t="shared" si="136"/>
        <v>887</v>
      </c>
      <c r="AM98" s="42">
        <f t="shared" ref="AM98:AT98" si="137">AM95-AM96-AM97</f>
        <v>2076</v>
      </c>
      <c r="AN98" s="42">
        <f t="shared" si="137"/>
        <v>1452</v>
      </c>
      <c r="AO98" s="42">
        <f t="shared" si="137"/>
        <v>914</v>
      </c>
      <c r="AP98" s="42">
        <f t="shared" si="137"/>
        <v>967</v>
      </c>
      <c r="AQ98" s="42">
        <f t="shared" si="137"/>
        <v>2155</v>
      </c>
      <c r="AR98" s="42">
        <f t="shared" si="137"/>
        <v>1834.5542399999999</v>
      </c>
      <c r="AS98" s="42">
        <f>AS95-AS96-AS97</f>
        <v>697</v>
      </c>
      <c r="AT98" s="42">
        <f t="shared" si="137"/>
        <v>164</v>
      </c>
      <c r="AU98" s="42">
        <f>AU95-AU96-AU97</f>
        <v>1036</v>
      </c>
      <c r="AV98" s="42">
        <f>AV95-AV96-AV97</f>
        <v>-1926.4</v>
      </c>
      <c r="AW98" s="42">
        <f>AW95-AW96-AW97</f>
        <v>-2035.2</v>
      </c>
      <c r="AX98" s="42">
        <f>AX95-AX96-AX97</f>
        <v>-2432.8000000000002</v>
      </c>
      <c r="AY98" s="42"/>
      <c r="AZ98" s="42"/>
      <c r="BA98" s="42"/>
      <c r="BB98" s="42"/>
      <c r="BC98" s="42"/>
      <c r="BD98" s="42">
        <f>BD95-BD96-BD97</f>
        <v>-132</v>
      </c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77"/>
      <c r="BP98" s="42">
        <f>+BP95-BP96</f>
        <v>446</v>
      </c>
      <c r="BQ98" s="42">
        <f>+BQ95-BQ96</f>
        <v>649</v>
      </c>
      <c r="BR98" s="42"/>
      <c r="BS98" s="42"/>
      <c r="BT98" s="42"/>
      <c r="BU98" s="42"/>
      <c r="BV98" s="42"/>
      <c r="BW98" s="77"/>
      <c r="BX98" s="77"/>
      <c r="BY98" s="77"/>
      <c r="BZ98" s="77">
        <f t="shared" ref="BZ98:CX98" si="138">BZ95-BZ96-BZ97</f>
        <v>280</v>
      </c>
      <c r="CA98" s="77">
        <f t="shared" si="138"/>
        <v>750</v>
      </c>
      <c r="CB98" s="77">
        <f t="shared" ref="CB98" si="139">CB95-CB96-CB97</f>
        <v>759</v>
      </c>
      <c r="CC98" s="77">
        <f t="shared" si="138"/>
        <v>651</v>
      </c>
      <c r="CD98" s="77">
        <f t="shared" si="138"/>
        <v>1391</v>
      </c>
      <c r="CE98" s="77">
        <f t="shared" si="138"/>
        <v>2341</v>
      </c>
      <c r="CF98" s="77">
        <f t="shared" si="138"/>
        <v>1175</v>
      </c>
      <c r="CG98" s="77">
        <f t="shared" si="138"/>
        <v>1612</v>
      </c>
      <c r="CH98" s="77">
        <f t="shared" si="138"/>
        <v>2588</v>
      </c>
      <c r="CI98" s="77">
        <f t="shared" si="138"/>
        <v>2937</v>
      </c>
      <c r="CJ98" s="77">
        <f t="shared" si="138"/>
        <v>2662</v>
      </c>
      <c r="CK98" s="77">
        <f t="shared" si="138"/>
        <v>0</v>
      </c>
      <c r="CL98" s="77">
        <f t="shared" si="138"/>
        <v>902</v>
      </c>
      <c r="CM98" s="77">
        <f t="shared" si="138"/>
        <v>1804</v>
      </c>
      <c r="CN98" s="77">
        <f t="shared" si="138"/>
        <v>1821</v>
      </c>
      <c r="CO98" s="77">
        <f t="shared" si="138"/>
        <v>0</v>
      </c>
      <c r="CP98" s="77">
        <f t="shared" si="138"/>
        <v>959</v>
      </c>
      <c r="CQ98" s="77">
        <f t="shared" si="138"/>
        <v>2181</v>
      </c>
      <c r="CR98" s="77">
        <f t="shared" si="138"/>
        <v>3069</v>
      </c>
      <c r="CS98" s="77">
        <f t="shared" si="138"/>
        <v>3092.2451999999989</v>
      </c>
      <c r="CT98" s="77">
        <f t="shared" si="138"/>
        <v>3333.6158400000013</v>
      </c>
      <c r="CU98" s="77">
        <f t="shared" si="138"/>
        <v>3886.4423199999992</v>
      </c>
      <c r="CV98" s="77">
        <f t="shared" si="138"/>
        <v>3261.0539199999998</v>
      </c>
      <c r="CW98" s="77">
        <f t="shared" si="138"/>
        <v>3312.3260080000009</v>
      </c>
      <c r="CX98" s="77">
        <f t="shared" si="138"/>
        <v>3535.3188543999991</v>
      </c>
      <c r="CY98" s="77"/>
      <c r="CZ98" s="77"/>
      <c r="DA98" s="42"/>
      <c r="DB98" s="42"/>
      <c r="DC98" s="42"/>
      <c r="DD98" s="39"/>
      <c r="DE98" s="39"/>
      <c r="DF98" s="39"/>
      <c r="DG98" s="43"/>
      <c r="DH98" s="43"/>
      <c r="DI98" s="43"/>
      <c r="DJ98" s="42">
        <f t="shared" ref="DJ98:DO98" si="140">DJ95-DJ96</f>
        <v>4950</v>
      </c>
      <c r="DK98" s="42">
        <f t="shared" si="140"/>
        <v>7201.9147499999981</v>
      </c>
      <c r="DL98" s="42" t="e">
        <f t="shared" si="140"/>
        <v>#REF!</v>
      </c>
      <c r="DM98" s="42">
        <f>DM95-DM96-DM97</f>
        <v>5223</v>
      </c>
      <c r="DN98" s="42">
        <f>DN95-DN96</f>
        <v>5422</v>
      </c>
      <c r="DO98" s="42">
        <f t="shared" si="140"/>
        <v>5706.5542400000013</v>
      </c>
      <c r="DP98" s="42">
        <f t="shared" ref="DP98:DU98" si="141">DP95-DP96</f>
        <v>2438.1219175568517</v>
      </c>
      <c r="DQ98" s="42">
        <f t="shared" si="141"/>
        <v>0</v>
      </c>
      <c r="DR98" s="42">
        <f t="shared" si="141"/>
        <v>0</v>
      </c>
      <c r="DS98" s="42">
        <f t="shared" si="141"/>
        <v>0</v>
      </c>
      <c r="DT98" s="42">
        <f t="shared" si="141"/>
        <v>5814.6458139458673</v>
      </c>
      <c r="DU98" s="42">
        <f t="shared" si="141"/>
        <v>6666.5758895569825</v>
      </c>
      <c r="DV98" s="42">
        <f>DV95-DV96</f>
        <v>6357.0973402582085</v>
      </c>
      <c r="DW98" s="42">
        <f t="shared" ref="DW98:EB98" si="142">DW95-DW96</f>
        <v>8092.5750000000016</v>
      </c>
      <c r="DX98" s="42">
        <f t="shared" si="142"/>
        <v>8783.6100000000024</v>
      </c>
      <c r="DY98" s="42">
        <f t="shared" si="142"/>
        <v>12347.610000000002</v>
      </c>
      <c r="DZ98" s="42">
        <f t="shared" si="142"/>
        <v>3293</v>
      </c>
      <c r="EA98" s="42">
        <f t="shared" si="142"/>
        <v>5974</v>
      </c>
      <c r="EB98" s="42">
        <f t="shared" si="142"/>
        <v>14051.86104</v>
      </c>
      <c r="EC98" s="42">
        <f>EC95-EC96</f>
        <v>18378.935168000004</v>
      </c>
      <c r="ED98" s="42">
        <f t="shared" ref="ED98:EM98" si="143">ED95-ED96</f>
        <v>16563.45101664</v>
      </c>
      <c r="EE98" s="42">
        <f t="shared" si="143"/>
        <v>17051.703472566405</v>
      </c>
      <c r="EF98" s="42">
        <f t="shared" si="143"/>
        <v>17733.225127617825</v>
      </c>
      <c r="EG98" s="42">
        <f t="shared" si="143"/>
        <v>18055.593836560569</v>
      </c>
      <c r="EH98" s="42">
        <f t="shared" si="143"/>
        <v>18128.933158005293</v>
      </c>
      <c r="EI98" s="42">
        <f t="shared" si="143"/>
        <v>16816.735280984827</v>
      </c>
      <c r="EJ98" s="42">
        <f t="shared" si="143"/>
        <v>15703.506963248947</v>
      </c>
      <c r="EK98" s="42">
        <f t="shared" si="143"/>
        <v>14936.886341046315</v>
      </c>
      <c r="EL98" s="42">
        <f t="shared" si="143"/>
        <v>14853.065333839453</v>
      </c>
      <c r="EM98" s="42">
        <f t="shared" si="143"/>
        <v>14939.981139232588</v>
      </c>
      <c r="EN98" s="29">
        <f t="shared" ref="EN98:FS98" si="144">EM98*(1+$EP$103)</f>
        <v>14192.982082270959</v>
      </c>
      <c r="EO98" s="29">
        <f t="shared" si="144"/>
        <v>13483.33297815741</v>
      </c>
      <c r="EP98" s="29">
        <f t="shared" si="144"/>
        <v>12809.16632924954</v>
      </c>
      <c r="EQ98" s="29">
        <f t="shared" si="144"/>
        <v>12168.708012787061</v>
      </c>
      <c r="ER98" s="29">
        <f t="shared" si="144"/>
        <v>11560.272612147708</v>
      </c>
      <c r="ES98" s="29">
        <f t="shared" si="144"/>
        <v>10982.258981540323</v>
      </c>
      <c r="ET98" s="29">
        <f t="shared" si="144"/>
        <v>10433.146032463306</v>
      </c>
      <c r="EU98" s="29">
        <f t="shared" si="144"/>
        <v>9911.4887308401412</v>
      </c>
      <c r="EV98" s="29">
        <f t="shared" si="144"/>
        <v>9415.9142942981343</v>
      </c>
      <c r="EW98" s="29">
        <f t="shared" si="144"/>
        <v>8945.118579583228</v>
      </c>
      <c r="EX98" s="29">
        <f t="shared" si="144"/>
        <v>8497.8626506040655</v>
      </c>
      <c r="EY98" s="29">
        <f t="shared" si="144"/>
        <v>8072.9695180738618</v>
      </c>
      <c r="EZ98" s="29">
        <f t="shared" si="144"/>
        <v>7669.3210421701688</v>
      </c>
      <c r="FA98" s="29">
        <f t="shared" si="144"/>
        <v>7285.8549900616599</v>
      </c>
      <c r="FB98" s="29">
        <f t="shared" si="144"/>
        <v>6921.5622405585764</v>
      </c>
      <c r="FC98" s="29">
        <f t="shared" si="144"/>
        <v>6575.4841285306475</v>
      </c>
      <c r="FD98" s="29">
        <f t="shared" si="144"/>
        <v>6246.7099221041144</v>
      </c>
      <c r="FE98" s="29">
        <f t="shared" si="144"/>
        <v>5934.374425998908</v>
      </c>
      <c r="FF98" s="29">
        <f t="shared" si="144"/>
        <v>5637.6557046989619</v>
      </c>
      <c r="FG98" s="29">
        <f t="shared" si="144"/>
        <v>5355.7729194640133</v>
      </c>
      <c r="FH98" s="29">
        <f t="shared" si="144"/>
        <v>5087.9842734908125</v>
      </c>
      <c r="FI98" s="29">
        <f t="shared" si="144"/>
        <v>4833.5850598162715</v>
      </c>
      <c r="FJ98" s="29">
        <f t="shared" si="144"/>
        <v>4591.9058068254581</v>
      </c>
      <c r="FK98" s="29">
        <f t="shared" si="144"/>
        <v>4362.3105164841845</v>
      </c>
      <c r="FL98" s="29">
        <f t="shared" si="144"/>
        <v>4144.1949906599748</v>
      </c>
      <c r="FM98" s="29">
        <f t="shared" si="144"/>
        <v>3936.9852411269758</v>
      </c>
      <c r="FN98" s="29">
        <f t="shared" si="144"/>
        <v>3740.1359790706269</v>
      </c>
      <c r="FO98" s="29">
        <f t="shared" si="144"/>
        <v>3553.1291801170955</v>
      </c>
      <c r="FP98" s="29">
        <f t="shared" si="144"/>
        <v>3375.4727211112404</v>
      </c>
      <c r="FQ98" s="29">
        <f t="shared" si="144"/>
        <v>3206.6990850556781</v>
      </c>
      <c r="FR98" s="29">
        <f t="shared" si="144"/>
        <v>3046.3641308028941</v>
      </c>
      <c r="FS98" s="29">
        <f t="shared" si="144"/>
        <v>2894.0459242627494</v>
      </c>
      <c r="FT98" s="29">
        <f t="shared" ref="FT98:GR98" si="145">FS98*(1+$EP$103)</f>
        <v>2749.3436280496117</v>
      </c>
      <c r="FU98" s="29">
        <f t="shared" si="145"/>
        <v>2611.8764466471312</v>
      </c>
      <c r="FV98" s="29">
        <f t="shared" si="145"/>
        <v>2481.2826243147747</v>
      </c>
      <c r="FW98" s="29">
        <f t="shared" si="145"/>
        <v>2357.2184930990356</v>
      </c>
      <c r="FX98" s="29">
        <f t="shared" si="145"/>
        <v>2239.3575684440839</v>
      </c>
      <c r="FY98" s="29">
        <f t="shared" si="145"/>
        <v>2127.3896900218797</v>
      </c>
      <c r="FZ98" s="29">
        <f t="shared" si="145"/>
        <v>2021.0202055207856</v>
      </c>
      <c r="GA98" s="29">
        <f t="shared" si="145"/>
        <v>1919.9691952447463</v>
      </c>
      <c r="GB98" s="29">
        <f t="shared" si="145"/>
        <v>1823.9707354825089</v>
      </c>
      <c r="GC98" s="29">
        <f t="shared" si="145"/>
        <v>1732.7721987083833</v>
      </c>
      <c r="GD98" s="29">
        <f t="shared" si="145"/>
        <v>1646.133588772964</v>
      </c>
      <c r="GE98" s="29">
        <f t="shared" si="145"/>
        <v>1563.8269093343158</v>
      </c>
      <c r="GF98" s="29">
        <f t="shared" si="145"/>
        <v>1485.6355638676</v>
      </c>
      <c r="GG98" s="29">
        <f t="shared" si="145"/>
        <v>1411.35378567422</v>
      </c>
      <c r="GH98" s="29">
        <f t="shared" si="145"/>
        <v>1340.7860963905089</v>
      </c>
      <c r="GI98" s="29">
        <f t="shared" si="145"/>
        <v>1273.7467915709833</v>
      </c>
      <c r="GJ98" s="29">
        <f t="shared" si="145"/>
        <v>1210.0594519924341</v>
      </c>
      <c r="GK98" s="29">
        <f t="shared" si="145"/>
        <v>1149.5564793928124</v>
      </c>
      <c r="GL98" s="29">
        <f t="shared" si="145"/>
        <v>1092.0786554231718</v>
      </c>
      <c r="GM98" s="29">
        <f t="shared" si="145"/>
        <v>1037.474722652013</v>
      </c>
      <c r="GN98" s="29">
        <f t="shared" si="145"/>
        <v>985.60098651941234</v>
      </c>
      <c r="GO98" s="29">
        <f t="shared" si="145"/>
        <v>936.32093719344164</v>
      </c>
      <c r="GP98" s="29">
        <f t="shared" si="145"/>
        <v>889.50489033376948</v>
      </c>
      <c r="GQ98" s="29">
        <f t="shared" si="145"/>
        <v>845.02964581708102</v>
      </c>
      <c r="GR98" s="29">
        <f t="shared" si="145"/>
        <v>802.77816352622688</v>
      </c>
    </row>
    <row r="99" spans="1:200">
      <c r="B99" s="95" t="s">
        <v>421</v>
      </c>
      <c r="C99" s="45"/>
      <c r="D99" s="45"/>
      <c r="E99" s="45"/>
      <c r="F99" s="45"/>
      <c r="G99" s="45"/>
      <c r="H99" s="45"/>
      <c r="I99" s="45"/>
      <c r="J99" s="45"/>
      <c r="K99" s="45">
        <v>0.54921374490390218</v>
      </c>
      <c r="L99" s="45">
        <v>0.38492990654205606</v>
      </c>
      <c r="M99" s="45">
        <v>0.44385964912280701</v>
      </c>
      <c r="N99" s="45">
        <v>0.38547815820543091</v>
      </c>
      <c r="O99" s="45">
        <v>0.47041420118343197</v>
      </c>
      <c r="P99" s="45">
        <v>0.47885646217986899</v>
      </c>
      <c r="Q99" s="45">
        <v>0.50149611011370432</v>
      </c>
      <c r="R99" s="45">
        <v>0.57255139056831927</v>
      </c>
      <c r="S99" s="45">
        <v>0.63414634146341464</v>
      </c>
      <c r="T99" s="45">
        <v>0.74892506142506143</v>
      </c>
      <c r="U99" s="45">
        <v>0.75821450712957228</v>
      </c>
      <c r="V99" s="45">
        <v>0.76739811912225708</v>
      </c>
      <c r="W99" s="45">
        <f t="shared" ref="W99:AE99" si="146">W98/W100</f>
        <v>0.72566371681415931</v>
      </c>
      <c r="X99" s="45">
        <f t="shared" si="146"/>
        <v>0.81708860759493673</v>
      </c>
      <c r="Y99" s="45">
        <f t="shared" si="146"/>
        <v>0.83556405353728491</v>
      </c>
      <c r="Z99" s="45">
        <f t="shared" si="146"/>
        <v>0.7637540453074434</v>
      </c>
      <c r="AA99" s="45">
        <f t="shared" si="146"/>
        <v>0.78772044415414766</v>
      </c>
      <c r="AB99" s="45">
        <f t="shared" si="146"/>
        <v>0.67928286852589637</v>
      </c>
      <c r="AC99" s="45">
        <f t="shared" si="146"/>
        <v>0.65278710543989249</v>
      </c>
      <c r="AD99" s="45">
        <f t="shared" si="146"/>
        <v>0.90463398253861649</v>
      </c>
      <c r="AE99" s="45">
        <f t="shared" si="146"/>
        <v>1.0775566231983529</v>
      </c>
      <c r="AF99" s="45">
        <f t="shared" ref="AF99:AM99" si="147">AF98/AF100</f>
        <v>0.75634866163349346</v>
      </c>
      <c r="AG99" s="45">
        <f t="shared" si="147"/>
        <v>0.84467353951890034</v>
      </c>
      <c r="AH99" s="45">
        <f>AH98/AH100</f>
        <v>0.50725639253628196</v>
      </c>
      <c r="AI99" s="45">
        <f t="shared" si="147"/>
        <v>1.1236187845303867</v>
      </c>
      <c r="AJ99" s="45">
        <f t="shared" si="147"/>
        <v>0.7983425414364641</v>
      </c>
      <c r="AK99" s="45">
        <f t="shared" si="147"/>
        <v>1.0688231245698554</v>
      </c>
      <c r="AL99" s="45">
        <f t="shared" si="147"/>
        <v>0.60962199312714782</v>
      </c>
      <c r="AM99" s="45">
        <f t="shared" si="147"/>
        <v>1.4238683127572016</v>
      </c>
      <c r="AN99" s="45">
        <f t="shared" ref="AN99:AX99" si="148">AN98/AN100</f>
        <v>1.0013793103448276</v>
      </c>
      <c r="AO99" s="45">
        <f t="shared" si="148"/>
        <v>0.63208852005532501</v>
      </c>
      <c r="AP99" s="45">
        <f t="shared" si="148"/>
        <v>0.67812061711079941</v>
      </c>
      <c r="AQ99" s="45">
        <f t="shared" si="148"/>
        <v>1.5349002849002849</v>
      </c>
      <c r="AR99" s="45">
        <f t="shared" si="148"/>
        <v>1.306662564102564</v>
      </c>
      <c r="AS99" s="45">
        <f t="shared" si="148"/>
        <v>0.51287711552612214</v>
      </c>
      <c r="AT99" s="45">
        <f t="shared" si="148"/>
        <v>0.12452543659832954</v>
      </c>
      <c r="AU99" s="45">
        <f t="shared" si="148"/>
        <v>0.80622568093385216</v>
      </c>
      <c r="AV99" s="45">
        <f t="shared" si="148"/>
        <v>-1.4991439688715955</v>
      </c>
      <c r="AW99" s="45">
        <f t="shared" si="148"/>
        <v>-1.5838132295719844</v>
      </c>
      <c r="AX99" s="45">
        <f t="shared" si="148"/>
        <v>-1.8932295719844359</v>
      </c>
      <c r="AY99" s="45"/>
      <c r="AZ99" s="45"/>
      <c r="BA99" s="45"/>
      <c r="BB99" s="45"/>
      <c r="BC99" s="45"/>
      <c r="BD99" s="45">
        <f>BD98/BD100</f>
        <v>-0.10443037974683544</v>
      </c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78"/>
      <c r="BP99" s="45"/>
      <c r="BQ99" s="45"/>
      <c r="BR99" s="45"/>
      <c r="BS99" s="45"/>
      <c r="BT99" s="45"/>
      <c r="BU99" s="45"/>
      <c r="BV99" s="45"/>
      <c r="BW99" s="78"/>
      <c r="BX99" s="78"/>
      <c r="BY99" s="78"/>
      <c r="BZ99" s="78">
        <f t="shared" ref="BZ99:CD99" si="149">BZ98/BZ100</f>
        <v>0.21341463414634146</v>
      </c>
      <c r="CA99" s="78">
        <f t="shared" si="149"/>
        <v>0.57121096725057119</v>
      </c>
      <c r="CB99" s="78">
        <f t="shared" si="149"/>
        <v>0.57806549885757808</v>
      </c>
      <c r="CC99" s="78">
        <f t="shared" si="149"/>
        <v>0.49581111957349583</v>
      </c>
      <c r="CD99" s="78">
        <f t="shared" si="149"/>
        <v>1.0545868081880212</v>
      </c>
      <c r="CE99" s="78">
        <f t="shared" ref="CE99:CI99" si="150">CE98/CE100</f>
        <v>1.7748294162244125</v>
      </c>
      <c r="CF99" s="78">
        <f t="shared" si="150"/>
        <v>0.89150227617602429</v>
      </c>
      <c r="CG99" s="78">
        <f t="shared" si="150"/>
        <v>1.0775401069518717</v>
      </c>
      <c r="CH99" s="78">
        <f>CH98/CH100</f>
        <v>1.6729153199741436</v>
      </c>
      <c r="CI99" s="78">
        <f t="shared" si="150"/>
        <v>1.8814862267777066</v>
      </c>
      <c r="CJ99" s="78">
        <f>CJ98/CJ100</f>
        <v>1.7053171044202435</v>
      </c>
      <c r="CK99" s="78" t="e">
        <f>CK98/CK100</f>
        <v>#DIV/0!</v>
      </c>
      <c r="CL99" s="78">
        <f>+CL98/CL100</f>
        <v>0.5785760102629891</v>
      </c>
      <c r="CM99" s="78">
        <f>+CM98/CM100</f>
        <v>1.1564102564102565</v>
      </c>
      <c r="CN99" s="78">
        <f>+CN98/CN100</f>
        <v>1.1673076923076924</v>
      </c>
      <c r="CO99" s="78"/>
      <c r="CP99" s="78">
        <f>+CP98/CP100</f>
        <v>0.61434977578475336</v>
      </c>
      <c r="CQ99" s="78">
        <f>+CQ98/CQ100</f>
        <v>1.398076923076923</v>
      </c>
      <c r="CR99" s="78">
        <f>+CR98/CR100</f>
        <v>1.9673076923076922</v>
      </c>
      <c r="CS99" s="78">
        <f>+CS98/CS100</f>
        <v>1.9822084615384608</v>
      </c>
      <c r="CT99" s="78">
        <f>+CT98/CT100</f>
        <v>2.1369332307692317</v>
      </c>
      <c r="CU99" s="78">
        <f>+CU98/CU100</f>
        <v>2.4913091794871791</v>
      </c>
      <c r="CV99" s="78">
        <f>+CV98/CV100</f>
        <v>2.0904191794871796</v>
      </c>
      <c r="CW99" s="78">
        <f>+CW98/CW100</f>
        <v>2.1232859025641031</v>
      </c>
      <c r="CX99" s="78">
        <f>+CX98/CX100</f>
        <v>2.2662300348717941</v>
      </c>
      <c r="CY99" s="78"/>
      <c r="CZ99" s="78"/>
      <c r="DA99" s="45"/>
      <c r="DB99" s="45"/>
      <c r="DC99" s="45"/>
      <c r="DG99" s="44">
        <v>1.7636044470450556</v>
      </c>
      <c r="DH99" s="44">
        <v>2.0227136879856547</v>
      </c>
      <c r="DI99" s="44">
        <v>2.9086840291403053</v>
      </c>
      <c r="DJ99" s="44"/>
      <c r="DL99" s="45" t="e">
        <f>DL98/DL100</f>
        <v>#REF!</v>
      </c>
      <c r="DM99" s="45">
        <f>DM98/DM100</f>
        <v>3.5995864920744314</v>
      </c>
      <c r="DN99" s="45">
        <f>DN98/DN100</f>
        <v>3.7522491349480971</v>
      </c>
      <c r="DO99" s="45">
        <f t="shared" ref="DO99:DX99" si="151">DO98/DO100</f>
        <v>4.1623298614150261</v>
      </c>
      <c r="DP99" s="45">
        <f t="shared" si="151"/>
        <v>1.8973711420675889</v>
      </c>
      <c r="DQ99" s="45">
        <f t="shared" si="151"/>
        <v>0</v>
      </c>
      <c r="DR99" s="45">
        <f t="shared" si="151"/>
        <v>0</v>
      </c>
      <c r="DS99" s="45">
        <f t="shared" si="151"/>
        <v>0</v>
      </c>
      <c r="DT99" s="45">
        <f t="shared" si="151"/>
        <v>4.525016197623243</v>
      </c>
      <c r="DU99" s="45">
        <f t="shared" si="151"/>
        <v>5.1879968012116597</v>
      </c>
      <c r="DV99" s="45">
        <f t="shared" si="151"/>
        <v>4.9471574632359596</v>
      </c>
      <c r="DW99" s="45">
        <f t="shared" si="151"/>
        <v>6.297723735408562</v>
      </c>
      <c r="DX99" s="45">
        <f t="shared" si="151"/>
        <v>6.8354941634241264</v>
      </c>
      <c r="DY99" s="45">
        <f>DY98/DY100</f>
        <v>9.6090350194552556</v>
      </c>
      <c r="DZ99" s="45">
        <f>DZ98/DZ100</f>
        <v>2.1108974358974359</v>
      </c>
      <c r="EA99" s="45">
        <f>EA98/EA100</f>
        <v>3.8245838668373882</v>
      </c>
      <c r="EB99" s="45">
        <f>EB98/EB100</f>
        <v>9.0076032307692309</v>
      </c>
      <c r="EC99" s="45">
        <f>EC98/EC100</f>
        <v>11.7813686974359</v>
      </c>
      <c r="ED99" s="45">
        <f t="shared" ref="ED99:EM99" si="152">ED98/ED100</f>
        <v>10.617596805538462</v>
      </c>
      <c r="EE99" s="45">
        <f t="shared" si="152"/>
        <v>10.930579149081028</v>
      </c>
      <c r="EF99" s="45">
        <f t="shared" si="152"/>
        <v>11.367452004883221</v>
      </c>
      <c r="EG99" s="45">
        <f t="shared" si="152"/>
        <v>11.574098613179851</v>
      </c>
      <c r="EH99" s="45">
        <f t="shared" si="152"/>
        <v>11.621110998721342</v>
      </c>
      <c r="EI99" s="45">
        <f t="shared" si="152"/>
        <v>10.779958513451811</v>
      </c>
      <c r="EJ99" s="45">
        <f t="shared" si="152"/>
        <v>10.066350617467274</v>
      </c>
      <c r="EK99" s="45">
        <f t="shared" si="152"/>
        <v>9.5749271416963548</v>
      </c>
      <c r="EL99" s="45">
        <f t="shared" si="152"/>
        <v>9.5211957268201619</v>
      </c>
      <c r="EM99" s="45">
        <f t="shared" si="152"/>
        <v>9.5769109866875564</v>
      </c>
    </row>
    <row r="100" spans="1:200">
      <c r="B100" s="100" t="s">
        <v>180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>
        <v>1582</v>
      </c>
      <c r="X100" s="34">
        <v>1580</v>
      </c>
      <c r="Y100" s="34">
        <v>1569</v>
      </c>
      <c r="Z100" s="34">
        <v>1545</v>
      </c>
      <c r="AA100" s="34">
        <v>1531</v>
      </c>
      <c r="AB100" s="34">
        <v>1506</v>
      </c>
      <c r="AC100" s="34">
        <v>1489</v>
      </c>
      <c r="AD100" s="34">
        <f>AC100</f>
        <v>1489</v>
      </c>
      <c r="AE100" s="34">
        <v>1457</v>
      </c>
      <c r="AF100" s="34">
        <v>1457</v>
      </c>
      <c r="AG100" s="34">
        <v>1455</v>
      </c>
      <c r="AH100" s="34">
        <v>1447</v>
      </c>
      <c r="AI100" s="34">
        <v>1448</v>
      </c>
      <c r="AJ100" s="34">
        <v>1448</v>
      </c>
      <c r="AK100" s="34">
        <v>1453</v>
      </c>
      <c r="AL100" s="34">
        <v>1455</v>
      </c>
      <c r="AM100" s="34">
        <v>1458</v>
      </c>
      <c r="AN100" s="34">
        <v>1450</v>
      </c>
      <c r="AO100" s="34">
        <v>1446</v>
      </c>
      <c r="AP100" s="34">
        <v>1426</v>
      </c>
      <c r="AQ100" s="34">
        <v>1404</v>
      </c>
      <c r="AR100" s="34">
        <f>AQ100</f>
        <v>1404</v>
      </c>
      <c r="AS100" s="34">
        <v>1359</v>
      </c>
      <c r="AT100" s="34">
        <v>1317</v>
      </c>
      <c r="AU100" s="34">
        <v>1285</v>
      </c>
      <c r="AV100" s="34">
        <f>+AU100</f>
        <v>1285</v>
      </c>
      <c r="AW100" s="34">
        <f>+AV100</f>
        <v>1285</v>
      </c>
      <c r="AX100" s="34">
        <f>+AW100</f>
        <v>1285</v>
      </c>
      <c r="AY100" s="34"/>
      <c r="AZ100" s="34"/>
      <c r="BA100" s="34"/>
      <c r="BB100" s="34"/>
      <c r="BC100" s="34"/>
      <c r="BD100" s="34">
        <v>1264</v>
      </c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76"/>
      <c r="BP100" s="34"/>
      <c r="BQ100" s="34"/>
      <c r="BR100" s="34"/>
      <c r="BS100" s="34"/>
      <c r="BT100" s="34"/>
      <c r="BU100" s="34"/>
      <c r="BV100" s="34"/>
      <c r="BW100" s="76"/>
      <c r="BX100" s="76"/>
      <c r="BY100" s="76"/>
      <c r="BZ100" s="76">
        <v>1312</v>
      </c>
      <c r="CA100" s="76">
        <v>1313</v>
      </c>
      <c r="CB100" s="76">
        <v>1313</v>
      </c>
      <c r="CC100" s="76">
        <v>1313</v>
      </c>
      <c r="CD100" s="76">
        <v>1319</v>
      </c>
      <c r="CE100" s="76">
        <v>1319</v>
      </c>
      <c r="CF100" s="76">
        <v>1318</v>
      </c>
      <c r="CG100" s="76">
        <v>1496</v>
      </c>
      <c r="CH100" s="76">
        <v>1547</v>
      </c>
      <c r="CI100" s="76">
        <v>1561</v>
      </c>
      <c r="CJ100" s="76">
        <v>1561</v>
      </c>
      <c r="CK100" s="76"/>
      <c r="CL100" s="76">
        <v>1559</v>
      </c>
      <c r="CM100" s="76">
        <v>1560</v>
      </c>
      <c r="CN100" s="76">
        <v>1560</v>
      </c>
      <c r="CO100" s="76"/>
      <c r="CP100" s="76">
        <v>1561</v>
      </c>
      <c r="CQ100" s="76">
        <v>1560</v>
      </c>
      <c r="CR100" s="76">
        <v>1560</v>
      </c>
      <c r="CS100" s="76">
        <f>+CR100</f>
        <v>1560</v>
      </c>
      <c r="CT100" s="76">
        <f t="shared" ref="CT100:CX100" si="153">+CS100</f>
        <v>1560</v>
      </c>
      <c r="CU100" s="76">
        <f t="shared" si="153"/>
        <v>1560</v>
      </c>
      <c r="CV100" s="76">
        <f t="shared" si="153"/>
        <v>1560</v>
      </c>
      <c r="CW100" s="76">
        <f t="shared" si="153"/>
        <v>1560</v>
      </c>
      <c r="CX100" s="76">
        <f t="shared" si="153"/>
        <v>1560</v>
      </c>
      <c r="CY100" s="76"/>
      <c r="CZ100" s="76"/>
      <c r="DA100" s="34"/>
      <c r="DB100" s="34"/>
      <c r="DC100" s="34"/>
      <c r="DG100" s="46"/>
      <c r="DH100" s="46"/>
      <c r="DL100" s="34">
        <f>AVERAGE(AE100:AH100)</f>
        <v>1454</v>
      </c>
      <c r="DM100" s="34">
        <f>AVERAGE(AI100:AL100)</f>
        <v>1451</v>
      </c>
      <c r="DN100" s="34">
        <f>AVERAGE(AM100:AP100)</f>
        <v>1445</v>
      </c>
      <c r="DO100" s="34">
        <f>AVERAGE(AQ100:AT100)</f>
        <v>1371</v>
      </c>
      <c r="DP100" s="34">
        <f>AVERAGE(AU100:AX100)</f>
        <v>1285</v>
      </c>
      <c r="DQ100" s="34">
        <f>DP100</f>
        <v>1285</v>
      </c>
      <c r="DR100" s="34">
        <f>DQ100</f>
        <v>1285</v>
      </c>
      <c r="DS100" s="34">
        <f>DR100</f>
        <v>1285</v>
      </c>
      <c r="DT100" s="34">
        <f t="shared" ref="DT100:EC100" si="154">+DS100</f>
        <v>1285</v>
      </c>
      <c r="DU100" s="34">
        <f t="shared" si="154"/>
        <v>1285</v>
      </c>
      <c r="DV100" s="34">
        <f t="shared" si="154"/>
        <v>1285</v>
      </c>
      <c r="DW100" s="34">
        <f t="shared" si="154"/>
        <v>1285</v>
      </c>
      <c r="DX100" s="34">
        <f t="shared" si="154"/>
        <v>1285</v>
      </c>
      <c r="DY100" s="34">
        <f t="shared" si="154"/>
        <v>1285</v>
      </c>
      <c r="DZ100" s="34">
        <v>1560</v>
      </c>
      <c r="EA100" s="34">
        <v>1562</v>
      </c>
      <c r="EB100" s="34">
        <f>AVERAGE(CQ100:CT100)</f>
        <v>1560</v>
      </c>
      <c r="EC100" s="34">
        <f t="shared" si="154"/>
        <v>1560</v>
      </c>
      <c r="ED100" s="34">
        <f t="shared" ref="ED100" si="155">+EC100</f>
        <v>1560</v>
      </c>
      <c r="EE100" s="34">
        <f t="shared" ref="EE100" si="156">+ED100</f>
        <v>1560</v>
      </c>
      <c r="EF100" s="34">
        <f t="shared" ref="EF100" si="157">+EE100</f>
        <v>1560</v>
      </c>
      <c r="EG100" s="34">
        <f t="shared" ref="EG100" si="158">+EF100</f>
        <v>1560</v>
      </c>
      <c r="EH100" s="34">
        <f t="shared" ref="EH100" si="159">+EG100</f>
        <v>1560</v>
      </c>
      <c r="EI100" s="34">
        <f t="shared" ref="EI100" si="160">+EH100</f>
        <v>1560</v>
      </c>
      <c r="EJ100" s="34">
        <f t="shared" ref="EJ100" si="161">+EI100</f>
        <v>1560</v>
      </c>
      <c r="EK100" s="34">
        <f t="shared" ref="EK100" si="162">+EJ100</f>
        <v>1560</v>
      </c>
      <c r="EL100" s="34">
        <f t="shared" ref="EL100" si="163">+EK100</f>
        <v>1560</v>
      </c>
      <c r="EM100" s="34">
        <f t="shared" ref="EM100" si="164">+EL100</f>
        <v>1560</v>
      </c>
    </row>
    <row r="101" spans="1:200" s="85" customFormat="1">
      <c r="A101" s="100"/>
      <c r="B101" s="3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81"/>
      <c r="AX101" s="81"/>
      <c r="AY101" s="81"/>
      <c r="AZ101" s="81"/>
      <c r="BA101" s="81"/>
      <c r="BB101" s="81"/>
      <c r="BC101" s="81"/>
      <c r="BD101" s="81"/>
      <c r="BE101" s="81"/>
      <c r="BF101" s="81"/>
      <c r="BG101" s="81"/>
      <c r="BH101" s="81"/>
      <c r="BI101" s="81"/>
      <c r="BJ101" s="81"/>
      <c r="BK101" s="81"/>
      <c r="BL101" s="81"/>
      <c r="BM101" s="81"/>
      <c r="BN101" s="81"/>
      <c r="BO101" s="76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1"/>
      <c r="CI101" s="81"/>
      <c r="CJ101" s="81"/>
      <c r="CK101" s="81"/>
      <c r="CL101" s="81"/>
      <c r="CM101" s="81"/>
      <c r="CN101" s="81"/>
      <c r="CO101" s="81"/>
      <c r="CP101" s="81"/>
      <c r="CQ101" s="81"/>
      <c r="CR101" s="81"/>
      <c r="CS101" s="81"/>
      <c r="CT101" s="81"/>
      <c r="CU101" s="81"/>
      <c r="CV101" s="81"/>
      <c r="CW101" s="81"/>
      <c r="CX101" s="81"/>
      <c r="CY101" s="81"/>
      <c r="CZ101" s="81"/>
      <c r="DA101" s="81"/>
      <c r="DB101" s="81"/>
      <c r="DC101" s="81"/>
      <c r="DD101" s="82"/>
      <c r="DE101" s="82"/>
      <c r="DF101" s="82"/>
      <c r="DG101" s="83"/>
      <c r="DH101" s="83"/>
      <c r="DI101" s="82"/>
      <c r="DJ101" s="82"/>
      <c r="DK101" s="82"/>
      <c r="DL101" s="81"/>
      <c r="DM101" s="81"/>
      <c r="DN101" s="84">
        <v>6.35</v>
      </c>
      <c r="DO101" s="84">
        <v>6.16</v>
      </c>
      <c r="DP101" s="84">
        <v>4.95</v>
      </c>
      <c r="DQ101" s="84">
        <v>4.5599999999999996</v>
      </c>
      <c r="DR101" s="84">
        <v>4.28</v>
      </c>
      <c r="DS101" s="84">
        <v>3.96</v>
      </c>
      <c r="DT101" s="84">
        <v>3.61</v>
      </c>
      <c r="DU101" s="81"/>
      <c r="DV101" s="81"/>
      <c r="DW101" s="81"/>
      <c r="DX101" s="81"/>
    </row>
    <row r="102" spans="1:200" s="85" customFormat="1">
      <c r="A102" s="100"/>
      <c r="B102" s="9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86"/>
      <c r="BF102" s="86"/>
      <c r="BG102" s="86"/>
      <c r="BH102" s="86"/>
      <c r="BI102" s="86"/>
      <c r="BJ102" s="86"/>
      <c r="BK102" s="86"/>
      <c r="BL102" s="86"/>
      <c r="BM102" s="86"/>
      <c r="BN102" s="86"/>
      <c r="BO102" s="137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6"/>
      <c r="CR102" s="86"/>
      <c r="CS102" s="86"/>
      <c r="CT102" s="86"/>
      <c r="CU102" s="86"/>
      <c r="CV102" s="86"/>
      <c r="CW102" s="86"/>
      <c r="CX102" s="86"/>
      <c r="CY102" s="86"/>
      <c r="CZ102" s="86"/>
      <c r="DA102" s="86"/>
      <c r="DB102" s="86"/>
      <c r="DC102" s="86"/>
      <c r="DD102" s="82"/>
      <c r="DE102" s="82"/>
      <c r="DF102" s="82"/>
      <c r="DG102" s="86"/>
      <c r="DH102" s="86"/>
      <c r="DI102" s="83"/>
      <c r="DJ102" s="86"/>
      <c r="DK102" s="87"/>
      <c r="DL102" s="82"/>
      <c r="DM102" s="86"/>
      <c r="DN102" s="86"/>
      <c r="DO102" s="86"/>
      <c r="DP102" s="86"/>
      <c r="DQ102" s="82"/>
      <c r="DR102" s="82"/>
      <c r="DS102" s="82"/>
      <c r="DT102" s="82"/>
      <c r="DU102" s="82"/>
      <c r="DV102" s="82"/>
      <c r="DW102" s="82"/>
      <c r="DX102" s="82"/>
    </row>
    <row r="103" spans="1:200">
      <c r="B103" s="31" t="s">
        <v>532</v>
      </c>
      <c r="C103" s="48"/>
      <c r="D103" s="48"/>
      <c r="E103" s="48"/>
      <c r="F103" s="48"/>
      <c r="G103" s="48"/>
      <c r="H103" s="48"/>
      <c r="I103" s="48"/>
      <c r="J103" s="48"/>
      <c r="K103" s="48">
        <v>0.74994720168954598</v>
      </c>
      <c r="L103" s="48">
        <v>0.75811541929666371</v>
      </c>
      <c r="M103" s="48">
        <v>0.75494482615032277</v>
      </c>
      <c r="N103" s="48">
        <v>0.78892307692307695</v>
      </c>
      <c r="O103" s="48">
        <v>0.77177769018525821</v>
      </c>
      <c r="P103" s="48">
        <v>0.76342662632375191</v>
      </c>
      <c r="Q103" s="48">
        <v>0.75574548907882244</v>
      </c>
      <c r="R103" s="48">
        <f t="shared" ref="R103:AD103" si="165">R89/R87</f>
        <v>0.74167959993102262</v>
      </c>
      <c r="S103" s="48">
        <f t="shared" si="165"/>
        <v>0.75448371931046487</v>
      </c>
      <c r="T103" s="48">
        <f t="shared" si="165"/>
        <v>0.78588609401117049</v>
      </c>
      <c r="U103" s="48">
        <f t="shared" si="165"/>
        <v>0.78493694938676806</v>
      </c>
      <c r="V103" s="48">
        <f t="shared" si="165"/>
        <v>0.81335104616406506</v>
      </c>
      <c r="W103" s="48">
        <f t="shared" si="165"/>
        <v>0.77892596984584106</v>
      </c>
      <c r="X103" s="48">
        <f t="shared" si="165"/>
        <v>0.77061896469843283</v>
      </c>
      <c r="Y103" s="48">
        <f t="shared" si="165"/>
        <v>0.77692307692307694</v>
      </c>
      <c r="Z103" s="48">
        <f t="shared" si="165"/>
        <v>0.76253259924659522</v>
      </c>
      <c r="AA103" s="48">
        <f t="shared" si="165"/>
        <v>0.76603145795523286</v>
      </c>
      <c r="AB103" s="48">
        <f t="shared" si="165"/>
        <v>0.74792243767313016</v>
      </c>
      <c r="AC103" s="48">
        <f t="shared" si="165"/>
        <v>0.77828588287358014</v>
      </c>
      <c r="AD103" s="48">
        <f t="shared" si="165"/>
        <v>0.77117925099987883</v>
      </c>
      <c r="AE103" s="48">
        <f t="shared" ref="AE103:AN103" si="166">AE89/AE87</f>
        <v>0.7975206611570248</v>
      </c>
      <c r="AF103" s="48">
        <f t="shared" si="166"/>
        <v>0.79429954288787308</v>
      </c>
      <c r="AG103" s="48">
        <f t="shared" si="166"/>
        <v>0.77893868572999725</v>
      </c>
      <c r="AH103" s="48">
        <f t="shared" si="166"/>
        <v>0.7157181924729783</v>
      </c>
      <c r="AI103" s="48">
        <f t="shared" si="166"/>
        <v>0.79863623712774845</v>
      </c>
      <c r="AJ103" s="48">
        <f t="shared" si="166"/>
        <v>0.79289860942351831</v>
      </c>
      <c r="AK103" s="48">
        <f t="shared" si="166"/>
        <v>0.82508510081173081</v>
      </c>
      <c r="AL103" s="48">
        <f t="shared" si="166"/>
        <v>0.78789708902041311</v>
      </c>
      <c r="AM103" s="48">
        <f t="shared" si="166"/>
        <v>0.78006349206349201</v>
      </c>
      <c r="AN103" s="48">
        <f t="shared" si="166"/>
        <v>0.7950492414160234</v>
      </c>
      <c r="AO103" s="48">
        <f t="shared" ref="AO103:AX103" si="167">AO89/AO87</f>
        <v>0.7787269220170846</v>
      </c>
      <c r="AP103" s="48">
        <f t="shared" si="167"/>
        <v>0.776663280853225</v>
      </c>
      <c r="AQ103" s="48">
        <f t="shared" si="167"/>
        <v>0.81180371352785141</v>
      </c>
      <c r="AR103" s="48">
        <f t="shared" si="167"/>
        <v>0.83</v>
      </c>
      <c r="AS103" s="48">
        <f t="shared" si="167"/>
        <v>0.77393403057119869</v>
      </c>
      <c r="AT103" s="48">
        <f t="shared" si="167"/>
        <v>0.78290904439043107</v>
      </c>
      <c r="AU103" s="48">
        <f t="shared" si="167"/>
        <v>0.78101418653788113</v>
      </c>
      <c r="AV103" s="48" t="e">
        <f t="shared" si="167"/>
        <v>#DIV/0!</v>
      </c>
      <c r="AW103" s="48" t="e">
        <f t="shared" si="167"/>
        <v>#DIV/0!</v>
      </c>
      <c r="AX103" s="48" t="e">
        <f t="shared" si="167"/>
        <v>#DIV/0!</v>
      </c>
      <c r="AY103" s="48"/>
      <c r="AZ103" s="48"/>
      <c r="BA103" s="48"/>
      <c r="BB103" s="48"/>
      <c r="BC103" s="48"/>
      <c r="BD103" s="48">
        <f>BD89/BD87</f>
        <v>0.74954759319580166</v>
      </c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73"/>
      <c r="BP103" s="48"/>
      <c r="BQ103" s="48"/>
      <c r="BR103" s="48"/>
      <c r="BS103" s="48"/>
      <c r="BT103" s="48"/>
      <c r="BU103" s="48"/>
      <c r="BV103" s="48"/>
      <c r="BW103" s="73"/>
      <c r="BX103" s="73"/>
      <c r="BY103" s="73"/>
      <c r="BZ103" s="73">
        <f t="shared" ref="BZ103:CA103" si="168">+BZ89/BZ87</f>
        <v>0.77951102444877751</v>
      </c>
      <c r="CA103" s="73">
        <f t="shared" si="168"/>
        <v>0.76282656594271325</v>
      </c>
      <c r="CB103" s="73">
        <f t="shared" ref="CB103" si="169">+CB89/CB87</f>
        <v>0.82661354581673308</v>
      </c>
      <c r="CC103" s="73">
        <f t="shared" ref="CC103:CE103" si="170">+CC89/CC87</f>
        <v>0.77667984189723316</v>
      </c>
      <c r="CD103" s="73">
        <f t="shared" ref="CD103" si="171">+CD89/CD87</f>
        <v>0.78299595141700407</v>
      </c>
      <c r="CE103" s="73">
        <f t="shared" si="170"/>
        <v>0.76215846994535519</v>
      </c>
      <c r="CF103" s="73">
        <f>+CF89/CF87</f>
        <v>0.72360097323600969</v>
      </c>
      <c r="CG103" s="73">
        <f t="shared" ref="CG103:CP103" si="172">+CG89/CG87</f>
        <v>0.73606324751672414</v>
      </c>
      <c r="CH103" s="73">
        <f t="shared" si="172"/>
        <v>0.74398468070934975</v>
      </c>
      <c r="CI103" s="73">
        <f t="shared" si="172"/>
        <v>0.78972783143107994</v>
      </c>
      <c r="CJ103" s="73">
        <f t="shared" si="172"/>
        <v>0.81895831399127283</v>
      </c>
      <c r="CK103" s="73">
        <f t="shared" si="172"/>
        <v>0</v>
      </c>
      <c r="CL103" s="73">
        <f t="shared" si="172"/>
        <v>0.72731328633889536</v>
      </c>
      <c r="CM103" s="73">
        <f t="shared" si="172"/>
        <v>0.81257468517326958</v>
      </c>
      <c r="CN103" s="73">
        <f t="shared" si="172"/>
        <v>0.81685206271349742</v>
      </c>
      <c r="CO103" s="73">
        <f t="shared" si="172"/>
        <v>0</v>
      </c>
      <c r="CP103" s="73">
        <f t="shared" si="172"/>
        <v>0.79599135063206916</v>
      </c>
      <c r="CQ103" s="73">
        <f t="shared" ref="CQ103:CR103" si="173">+CQ89/CQ87</f>
        <v>0.81443217665615142</v>
      </c>
      <c r="CR103" s="73">
        <f>+CR89/CR87</f>
        <v>0.82300200958417069</v>
      </c>
      <c r="CS103" s="73">
        <f>+CS89/CS87</f>
        <v>0.83</v>
      </c>
      <c r="CT103" s="73">
        <f t="shared" ref="CT103:CX103" si="174">+CT89/CT87</f>
        <v>0.83000000000000007</v>
      </c>
      <c r="CU103" s="73">
        <f t="shared" si="174"/>
        <v>0.83</v>
      </c>
      <c r="CV103" s="73">
        <f t="shared" si="174"/>
        <v>0.83</v>
      </c>
      <c r="CW103" s="73">
        <f t="shared" si="174"/>
        <v>0.83</v>
      </c>
      <c r="CX103" s="73">
        <f t="shared" si="174"/>
        <v>0.83</v>
      </c>
      <c r="CY103" s="73"/>
      <c r="CZ103" s="73"/>
      <c r="DA103" s="48"/>
      <c r="DB103" s="48"/>
      <c r="DC103" s="48"/>
      <c r="DG103" s="48">
        <v>0.76322351318372328</v>
      </c>
      <c r="DH103" s="48">
        <v>0.75763091570988517</v>
      </c>
      <c r="DI103" s="48">
        <v>0.77636976649513056</v>
      </c>
      <c r="DJ103" s="48">
        <f>DJ89/DJ87</f>
        <v>0.77190284677864518</v>
      </c>
      <c r="DK103" s="48">
        <v>0.78300000000000003</v>
      </c>
      <c r="DL103" s="48">
        <f>+DK103+0.1%</f>
        <v>0.78400000000000003</v>
      </c>
      <c r="DM103" s="48">
        <f>DM89/DM87</f>
        <v>0.800950508030154</v>
      </c>
      <c r="DN103" s="48">
        <f>DN89/DN87</f>
        <v>0.78268562815387643</v>
      </c>
      <c r="DO103" s="48">
        <f>+DN103-0.5%</f>
        <v>0.77768562815387643</v>
      </c>
      <c r="DP103" s="48">
        <f t="shared" ref="DP103:DV103" si="175">+DO103-0.5%</f>
        <v>0.77268562815387642</v>
      </c>
      <c r="DQ103" s="48">
        <f t="shared" si="175"/>
        <v>0.76768562815387642</v>
      </c>
      <c r="DR103" s="48">
        <f t="shared" si="175"/>
        <v>0.76268562815387642</v>
      </c>
      <c r="DS103" s="48">
        <f t="shared" si="175"/>
        <v>0.75768562815387641</v>
      </c>
      <c r="DT103" s="48">
        <f t="shared" si="175"/>
        <v>0.75268562815387641</v>
      </c>
      <c r="DU103" s="48">
        <f t="shared" si="175"/>
        <v>0.7476856281538764</v>
      </c>
      <c r="DV103" s="48">
        <f t="shared" si="175"/>
        <v>0.7426856281538764</v>
      </c>
      <c r="DW103" s="48">
        <v>0.8</v>
      </c>
      <c r="DX103" s="48">
        <v>0.8</v>
      </c>
      <c r="DY103" s="48">
        <v>0.8</v>
      </c>
      <c r="DZ103" s="48">
        <v>0.8</v>
      </c>
      <c r="EA103" s="48">
        <v>0.8</v>
      </c>
      <c r="EB103" s="48">
        <v>0.8</v>
      </c>
      <c r="EC103" s="48">
        <v>0.8</v>
      </c>
      <c r="ED103" s="48">
        <v>0.8</v>
      </c>
      <c r="EE103" s="48">
        <v>0.8</v>
      </c>
      <c r="EF103" s="48">
        <v>0.8</v>
      </c>
      <c r="EG103" s="48">
        <v>0.8</v>
      </c>
      <c r="EH103" s="48">
        <v>0.8</v>
      </c>
      <c r="EI103" s="48">
        <v>0.8</v>
      </c>
      <c r="EJ103" s="48">
        <v>0.8</v>
      </c>
      <c r="EK103" s="48">
        <v>0.8</v>
      </c>
      <c r="EL103" s="48">
        <v>0.8</v>
      </c>
      <c r="EM103" s="48">
        <v>0.8</v>
      </c>
      <c r="EO103" s="45" t="s">
        <v>257</v>
      </c>
      <c r="EP103" s="32">
        <v>-0.05</v>
      </c>
    </row>
    <row r="104" spans="1:200">
      <c r="B104" s="31" t="s">
        <v>533</v>
      </c>
      <c r="C104" s="48"/>
      <c r="D104" s="48"/>
      <c r="E104" s="48"/>
      <c r="F104" s="48"/>
      <c r="G104" s="48"/>
      <c r="H104" s="48"/>
      <c r="I104" s="48"/>
      <c r="J104" s="48"/>
      <c r="K104" s="48">
        <v>0.1495248152059134</v>
      </c>
      <c r="L104" s="48">
        <v>0.15779981965734896</v>
      </c>
      <c r="M104" s="48">
        <v>0.15094732458879867</v>
      </c>
      <c r="N104" s="48">
        <v>0.18030769230769231</v>
      </c>
      <c r="O104" s="48">
        <v>0.16890027591643675</v>
      </c>
      <c r="P104" s="48">
        <v>0.16792738275340394</v>
      </c>
      <c r="Q104" s="48">
        <v>0.15631528964862298</v>
      </c>
      <c r="R104" s="48">
        <v>0.15502672874633558</v>
      </c>
      <c r="S104" s="48"/>
      <c r="T104" s="48"/>
      <c r="U104" s="48"/>
      <c r="V104" s="48"/>
      <c r="W104" s="48">
        <f t="shared" ref="W104:AD104" si="176">W90/W87</f>
        <v>0.14585803828561747</v>
      </c>
      <c r="X104" s="48">
        <f t="shared" si="176"/>
        <v>0.15117935728985277</v>
      </c>
      <c r="Y104" s="48">
        <f t="shared" si="176"/>
        <v>0.15416666666666667</v>
      </c>
      <c r="Z104" s="48">
        <f t="shared" si="176"/>
        <v>0.16285134743552593</v>
      </c>
      <c r="AA104" s="48">
        <f t="shared" si="176"/>
        <v>0.17695099818511797</v>
      </c>
      <c r="AB104" s="48">
        <f t="shared" si="176"/>
        <v>0.1785974631870535</v>
      </c>
      <c r="AC104" s="48">
        <f t="shared" si="176"/>
        <v>0.19693170084083197</v>
      </c>
      <c r="AD104" s="48">
        <f t="shared" si="176"/>
        <v>0.17355472063992244</v>
      </c>
      <c r="AE104" s="48">
        <f t="shared" ref="AE104:AM104" si="177">AE90/AE87</f>
        <v>0.15960743801652894</v>
      </c>
      <c r="AF104" s="48">
        <f t="shared" si="177"/>
        <v>0.174374831944071</v>
      </c>
      <c r="AG104" s="48">
        <f t="shared" si="177"/>
        <v>0.17748144074786912</v>
      </c>
      <c r="AH104" s="48">
        <f t="shared" si="177"/>
        <v>0.17645526761297045</v>
      </c>
      <c r="AI104" s="48">
        <f t="shared" si="177"/>
        <v>0.13637628722516004</v>
      </c>
      <c r="AJ104" s="48">
        <f t="shared" si="177"/>
        <v>0.14297286350749291</v>
      </c>
      <c r="AK104" s="48">
        <f t="shared" si="177"/>
        <v>0.13825608798114689</v>
      </c>
      <c r="AL104" s="48">
        <f t="shared" si="177"/>
        <v>0.15871482063051093</v>
      </c>
      <c r="AM104" s="48">
        <f t="shared" si="177"/>
        <v>0.12584126984126984</v>
      </c>
      <c r="AN104" s="48">
        <f t="shared" ref="AN104:AS104" si="178">AN90/AN87</f>
        <v>0.17567207878626565</v>
      </c>
      <c r="AO104" s="48">
        <f t="shared" si="178"/>
        <v>0.14838798567098374</v>
      </c>
      <c r="AP104" s="48">
        <f t="shared" si="178"/>
        <v>0.24504824784154394</v>
      </c>
      <c r="AQ104" s="48">
        <f t="shared" si="178"/>
        <v>0.15411140583554378</v>
      </c>
      <c r="AR104" s="48">
        <f t="shared" si="178"/>
        <v>0.16407423723835665</v>
      </c>
      <c r="AS104" s="48">
        <f t="shared" si="178"/>
        <v>0.17377312952534191</v>
      </c>
      <c r="AT104" s="48">
        <f>AT90/AT87</f>
        <v>0.23883842906485864</v>
      </c>
      <c r="AU104" s="48">
        <f>AU90/AU87</f>
        <v>0.2309085421068518</v>
      </c>
      <c r="AV104" s="48" t="e">
        <f>AV90/AV87</f>
        <v>#DIV/0!</v>
      </c>
      <c r="AW104" s="48" t="e">
        <f>AW90/AW87</f>
        <v>#DIV/0!</v>
      </c>
      <c r="AX104" s="48" t="e">
        <f>AX90/AX87</f>
        <v>#DIV/0!</v>
      </c>
      <c r="AY104" s="48"/>
      <c r="AZ104" s="48"/>
      <c r="BA104" s="48"/>
      <c r="BB104" s="48"/>
      <c r="BC104" s="48"/>
      <c r="BD104" s="48">
        <f>BD90/BD87</f>
        <v>0.24031849439015562</v>
      </c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73"/>
      <c r="BP104" s="48"/>
      <c r="BQ104" s="48"/>
      <c r="BR104" s="48"/>
      <c r="BS104" s="48"/>
      <c r="BT104" s="48"/>
      <c r="BU104" s="48"/>
      <c r="BV104" s="48"/>
      <c r="BW104" s="73"/>
      <c r="BX104" s="73"/>
      <c r="BY104" s="73"/>
      <c r="BZ104" s="73">
        <f t="shared" ref="BZ104:CA104" si="179">+BZ90/BZ87</f>
        <v>0.31363431828408578</v>
      </c>
      <c r="CA104" s="73">
        <f t="shared" si="179"/>
        <v>0.2184450739691533</v>
      </c>
      <c r="CB104" s="73">
        <f t="shared" ref="CB104" si="180">+CB90/CB87</f>
        <v>0.22135458167330677</v>
      </c>
      <c r="CC104" s="73">
        <f t="shared" ref="CC104:CE104" si="181">+CC90/CC87</f>
        <v>0.22727272727272727</v>
      </c>
      <c r="CD104" s="73">
        <f t="shared" ref="CD104" si="182">+CD90/CD87</f>
        <v>0.23036437246963562</v>
      </c>
      <c r="CE104" s="73">
        <f t="shared" si="181"/>
        <v>0.22377049180327868</v>
      </c>
      <c r="CF104" s="73">
        <f>+CF90/CF87</f>
        <v>0.21909975669099757</v>
      </c>
      <c r="CG104" s="73">
        <f t="shared" ref="CG104:CJ104" si="183">+CG90/CG87</f>
        <v>0.21812284613825259</v>
      </c>
      <c r="CH104" s="73">
        <f t="shared" si="183"/>
        <v>0.19948380651069852</v>
      </c>
      <c r="CI104" s="73">
        <f t="shared" si="183"/>
        <v>0.19192273924495171</v>
      </c>
      <c r="CJ104" s="73">
        <f t="shared" si="183"/>
        <v>0.22569863522421316</v>
      </c>
      <c r="CK104" s="73">
        <f t="shared" ref="CK104:CP104" si="184">+CK90/CK87</f>
        <v>0</v>
      </c>
      <c r="CL104" s="73">
        <f t="shared" si="184"/>
        <v>0.23422860712054966</v>
      </c>
      <c r="CM104" s="73">
        <f t="shared" si="184"/>
        <v>0.24000367680853019</v>
      </c>
      <c r="CN104" s="73">
        <f t="shared" si="184"/>
        <v>0.23359901900674432</v>
      </c>
      <c r="CO104" s="73">
        <f t="shared" si="184"/>
        <v>0</v>
      </c>
      <c r="CP104" s="73">
        <f t="shared" si="184"/>
        <v>0.2555721889554225</v>
      </c>
      <c r="CQ104" s="73">
        <f t="shared" ref="CQ104:CS104" si="185">+CQ90/CQ87</f>
        <v>0.21947949526813881</v>
      </c>
      <c r="CR104" s="73">
        <f t="shared" si="185"/>
        <v>0.22198175915906632</v>
      </c>
      <c r="CS104" s="73">
        <f t="shared" ref="CS104:CX104" si="186">+CS90/CS87</f>
        <v>0.22271248609016289</v>
      </c>
      <c r="CT104" s="73">
        <f t="shared" si="186"/>
        <v>0.2166066071048777</v>
      </c>
      <c r="CU104" s="73">
        <f t="shared" si="186"/>
        <v>0.20380892771098874</v>
      </c>
      <c r="CV104" s="73">
        <f t="shared" si="186"/>
        <v>0.21840669577741983</v>
      </c>
      <c r="CW104" s="73">
        <f t="shared" si="186"/>
        <v>0.21713167395441307</v>
      </c>
      <c r="CX104" s="73">
        <f t="shared" si="186"/>
        <v>0.21175522252377191</v>
      </c>
      <c r="CY104" s="73"/>
      <c r="CZ104" s="73"/>
      <c r="DA104" s="48"/>
      <c r="DB104" s="48"/>
      <c r="DC104" s="48"/>
      <c r="DG104" s="48">
        <v>0.15979627566449148</v>
      </c>
      <c r="DH104" s="48">
        <v>0.16181275086343694</v>
      </c>
      <c r="DI104" s="48">
        <v>0.14108412229517436</v>
      </c>
      <c r="DJ104" s="48">
        <f>DJ90/DJ87</f>
        <v>0.15385221985647821</v>
      </c>
      <c r="DM104" s="48"/>
      <c r="DN104" s="48">
        <f>DN90/DN87</f>
        <v>0.1742578150599646</v>
      </c>
      <c r="DO104" s="48">
        <f t="shared" ref="DO104:DX104" si="187">DO90/DO87</f>
        <v>0.18352913788466868</v>
      </c>
      <c r="DP104" s="48">
        <f t="shared" si="187"/>
        <v>0</v>
      </c>
      <c r="DQ104" s="48" t="e">
        <f t="shared" si="187"/>
        <v>#DIV/0!</v>
      </c>
      <c r="DR104" s="48" t="e">
        <f t="shared" si="187"/>
        <v>#DIV/0!</v>
      </c>
      <c r="DS104" s="48" t="e">
        <f t="shared" si="187"/>
        <v>#DIV/0!</v>
      </c>
      <c r="DT104" s="48">
        <f t="shared" si="187"/>
        <v>0</v>
      </c>
      <c r="DU104" s="48">
        <f t="shared" si="187"/>
        <v>0</v>
      </c>
      <c r="DV104" s="48">
        <f t="shared" si="187"/>
        <v>0</v>
      </c>
      <c r="DW104" s="48">
        <f t="shared" si="187"/>
        <v>0</v>
      </c>
      <c r="DX104" s="48">
        <f t="shared" si="187"/>
        <v>0</v>
      </c>
      <c r="DY104" s="48">
        <f>DY90/DY87</f>
        <v>0</v>
      </c>
      <c r="DZ104" s="48">
        <f>DZ90/DZ87</f>
        <v>0.22013259369503449</v>
      </c>
      <c r="EA104" s="48">
        <f>EA90/EA87</f>
        <v>0.23869291888588143</v>
      </c>
      <c r="EB104" s="48">
        <f>EB90/EB87</f>
        <v>0.2201743354256237</v>
      </c>
      <c r="EC104" s="48">
        <f>EC90/EC87</f>
        <v>0</v>
      </c>
      <c r="ED104" s="48">
        <f t="shared" ref="ED104:EM104" si="188">ED90/ED87</f>
        <v>0</v>
      </c>
      <c r="EE104" s="48">
        <f t="shared" si="188"/>
        <v>0</v>
      </c>
      <c r="EF104" s="48">
        <f t="shared" si="188"/>
        <v>0</v>
      </c>
      <c r="EG104" s="48">
        <f t="shared" si="188"/>
        <v>0</v>
      </c>
      <c r="EH104" s="48">
        <f t="shared" si="188"/>
        <v>0</v>
      </c>
      <c r="EI104" s="48">
        <f t="shared" si="188"/>
        <v>0</v>
      </c>
      <c r="EJ104" s="48">
        <f t="shared" si="188"/>
        <v>0</v>
      </c>
      <c r="EK104" s="48">
        <f t="shared" si="188"/>
        <v>0</v>
      </c>
      <c r="EL104" s="48">
        <f t="shared" si="188"/>
        <v>0</v>
      </c>
      <c r="EM104" s="48">
        <f t="shared" si="188"/>
        <v>0</v>
      </c>
      <c r="EO104" s="41" t="s">
        <v>256</v>
      </c>
      <c r="EP104" s="33">
        <v>0.09</v>
      </c>
    </row>
    <row r="105" spans="1:200">
      <c r="B105" s="31" t="s">
        <v>534</v>
      </c>
      <c r="C105" s="48"/>
      <c r="D105" s="48"/>
      <c r="E105" s="48"/>
      <c r="F105" s="48"/>
      <c r="G105" s="48"/>
      <c r="H105" s="48"/>
      <c r="I105" s="48"/>
      <c r="J105" s="48"/>
      <c r="K105" s="48">
        <v>0.35417106652587116</v>
      </c>
      <c r="L105" s="48">
        <v>0.41050495942290349</v>
      </c>
      <c r="M105" s="48">
        <v>0.39516968561315846</v>
      </c>
      <c r="N105" s="48">
        <v>0.4428717948717949</v>
      </c>
      <c r="O105" s="48">
        <v>0.40303508080409933</v>
      </c>
      <c r="P105" s="48">
        <v>0.4171709531013616</v>
      </c>
      <c r="Q105" s="48">
        <v>0.38195631528964863</v>
      </c>
      <c r="R105" s="48">
        <v>0.3764442145197448</v>
      </c>
      <c r="S105" s="48"/>
      <c r="T105" s="48"/>
      <c r="U105" s="48"/>
      <c r="V105" s="48"/>
      <c r="W105" s="48">
        <f t="shared" ref="W105:AD105" si="189">W91/W87</f>
        <v>0.3582923936981196</v>
      </c>
      <c r="X105" s="48">
        <f t="shared" si="189"/>
        <v>0.36251385151179355</v>
      </c>
      <c r="Y105" s="48">
        <f t="shared" si="189"/>
        <v>0.34935897435897434</v>
      </c>
      <c r="Z105" s="48">
        <f t="shared" si="189"/>
        <v>0.36380759200231816</v>
      </c>
      <c r="AA105" s="48">
        <f t="shared" si="189"/>
        <v>0.3352994555353902</v>
      </c>
      <c r="AB105" s="48">
        <f t="shared" si="189"/>
        <v>0.37979297273655049</v>
      </c>
      <c r="AC105" s="48">
        <f t="shared" si="189"/>
        <v>0.36686826965629149</v>
      </c>
      <c r="AD105" s="48">
        <f t="shared" si="189"/>
        <v>0.37025815052720884</v>
      </c>
      <c r="AE105" s="48">
        <f t="shared" ref="AE105:AM105" si="190">AE91/AE87</f>
        <v>0.35343491735537191</v>
      </c>
      <c r="AF105" s="48">
        <f t="shared" si="190"/>
        <v>0.38101640225867167</v>
      </c>
      <c r="AG105" s="48">
        <f t="shared" si="190"/>
        <v>0.34176519109155895</v>
      </c>
      <c r="AH105" s="48">
        <f t="shared" si="190"/>
        <v>0.37192342752962626</v>
      </c>
      <c r="AI105" s="48">
        <f t="shared" si="190"/>
        <v>0.33064291678263291</v>
      </c>
      <c r="AJ105" s="48">
        <f t="shared" si="190"/>
        <v>0.38180099905494802</v>
      </c>
      <c r="AK105" s="48">
        <f t="shared" si="190"/>
        <v>0.34865147944488084</v>
      </c>
      <c r="AL105" s="48">
        <f t="shared" si="190"/>
        <v>0.41852880782703222</v>
      </c>
      <c r="AM105" s="48">
        <f t="shared" si="190"/>
        <v>0.31263492063492065</v>
      </c>
      <c r="AN105" s="48">
        <f t="shared" ref="AN105:AS105" si="191">AN91/AN87</f>
        <v>0.32605802501996273</v>
      </c>
      <c r="AO105" s="48">
        <f t="shared" si="191"/>
        <v>0.41485257646734636</v>
      </c>
      <c r="AP105" s="48">
        <f t="shared" si="191"/>
        <v>0.32021330624682581</v>
      </c>
      <c r="AQ105" s="48">
        <f t="shared" si="191"/>
        <v>0.33262599469496024</v>
      </c>
      <c r="AR105" s="48">
        <f t="shared" si="191"/>
        <v>0.35412924870378532</v>
      </c>
      <c r="AS105" s="48">
        <f t="shared" si="191"/>
        <v>0.35451863770447839</v>
      </c>
      <c r="AT105" s="48">
        <f>AT91/AT87</f>
        <v>0.40181655366508889</v>
      </c>
      <c r="AU105" s="48">
        <f>AU91/AU87</f>
        <v>0.37141563537579231</v>
      </c>
      <c r="AV105" s="48" t="e">
        <f>AV91/AV87</f>
        <v>#DIV/0!</v>
      </c>
      <c r="AW105" s="48" t="e">
        <f>AW91/AW87</f>
        <v>#DIV/0!</v>
      </c>
      <c r="AX105" s="48" t="e">
        <f>AX91/AX87</f>
        <v>#DIV/0!</v>
      </c>
      <c r="AY105" s="48"/>
      <c r="AZ105" s="48"/>
      <c r="BA105" s="48"/>
      <c r="BB105" s="48"/>
      <c r="BC105" s="48"/>
      <c r="BD105" s="48">
        <f>BD91/BD87</f>
        <v>0.55338400289540357</v>
      </c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73"/>
      <c r="BP105" s="48"/>
      <c r="BQ105" s="48"/>
      <c r="BR105" s="48"/>
      <c r="BS105" s="48"/>
      <c r="BT105" s="48"/>
      <c r="BU105" s="48"/>
      <c r="BV105" s="48"/>
      <c r="BW105" s="73"/>
      <c r="BX105" s="73"/>
      <c r="BY105" s="73"/>
      <c r="BZ105" s="73">
        <f t="shared" ref="BZ105:CA105" si="192">+BZ91/BZ87</f>
        <v>0.45387730613469329</v>
      </c>
      <c r="CA105" s="73">
        <f t="shared" si="192"/>
        <v>0.42791942083726786</v>
      </c>
      <c r="CB105" s="73">
        <f t="shared" ref="CB105" si="193">+CB91/CB87</f>
        <v>0.41992031872509961</v>
      </c>
      <c r="CC105" s="73">
        <f t="shared" ref="CC105:CE105" si="194">+CC91/CC87</f>
        <v>0.41501976284584979</v>
      </c>
      <c r="CD105" s="73">
        <f t="shared" ref="CD105" si="195">+CD91/CD87</f>
        <v>0.38299595141700404</v>
      </c>
      <c r="CE105" s="73">
        <f t="shared" si="194"/>
        <v>0.32773224043715848</v>
      </c>
      <c r="CF105" s="73">
        <f>+CF91/CF87</f>
        <v>0.30060827250608274</v>
      </c>
      <c r="CG105" s="73">
        <f t="shared" ref="CG105:CJ105" si="196">+CG91/CG87</f>
        <v>0.29049260085140888</v>
      </c>
      <c r="CH105" s="73">
        <f t="shared" si="196"/>
        <v>0.28040962451086504</v>
      </c>
      <c r="CI105" s="73">
        <f t="shared" si="196"/>
        <v>0.25864793678665499</v>
      </c>
      <c r="CJ105" s="73">
        <f t="shared" si="196"/>
        <v>0.29124500974839845</v>
      </c>
      <c r="CK105" s="73">
        <f t="shared" ref="CK105:CP105" si="197">+CK91/CK87</f>
        <v>0</v>
      </c>
      <c r="CL105" s="73">
        <f t="shared" si="197"/>
        <v>0.4123315784777371</v>
      </c>
      <c r="CM105" s="73">
        <f t="shared" si="197"/>
        <v>0.37310414560161781</v>
      </c>
      <c r="CN105" s="73">
        <f t="shared" si="197"/>
        <v>0.4367171761408426</v>
      </c>
      <c r="CO105" s="73">
        <f t="shared" si="197"/>
        <v>0</v>
      </c>
      <c r="CP105" s="73">
        <f t="shared" si="197"/>
        <v>0.44668995342648038</v>
      </c>
      <c r="CQ105" s="73">
        <f t="shared" ref="CQ105:CR105" si="198">+CQ91/CQ87</f>
        <v>0.35449526813880128</v>
      </c>
      <c r="CR105" s="73">
        <f t="shared" si="198"/>
        <v>0.28868449528520634</v>
      </c>
      <c r="CS105" s="73">
        <f t="shared" ref="CS105:CX105" si="199">+CS91/CS87</f>
        <v>0.28963479649956769</v>
      </c>
      <c r="CT105" s="73">
        <f t="shared" si="199"/>
        <v>0.28169417741529185</v>
      </c>
      <c r="CU105" s="73">
        <f t="shared" si="199"/>
        <v>0.26505095578013332</v>
      </c>
      <c r="CV105" s="73">
        <f t="shared" si="199"/>
        <v>0.28403517017014734</v>
      </c>
      <c r="CW105" s="73">
        <f t="shared" si="199"/>
        <v>0.28237702027149469</v>
      </c>
      <c r="CX105" s="73">
        <f t="shared" si="199"/>
        <v>0.27538501257879111</v>
      </c>
      <c r="CY105" s="73"/>
      <c r="CZ105" s="73"/>
      <c r="DA105" s="48"/>
      <c r="DB105" s="48"/>
      <c r="DC105" s="48"/>
      <c r="DG105" s="48">
        <v>0.40081701947052895</v>
      </c>
      <c r="DH105" s="48">
        <v>0.3941472976757211</v>
      </c>
      <c r="DI105" s="48">
        <v>0.37185415601089761</v>
      </c>
      <c r="DJ105" s="48">
        <f>DJ91/DJ87</f>
        <v>0.35864679441684411</v>
      </c>
      <c r="DK105" s="48">
        <f>DK91/DK87</f>
        <v>0.32450143053936636</v>
      </c>
      <c r="DL105" s="48">
        <f>DL91/DL87</f>
        <v>0.31059883510745134</v>
      </c>
      <c r="DM105" s="48">
        <f>DM91/DM87</f>
        <v>0.3714192068174369</v>
      </c>
      <c r="DN105" s="48">
        <f>DN91/DN87</f>
        <v>0.34225702863883611</v>
      </c>
      <c r="DO105" s="48">
        <v>0.31</v>
      </c>
      <c r="DP105" s="48">
        <v>0.31</v>
      </c>
      <c r="DQ105" s="48">
        <v>0.31</v>
      </c>
      <c r="DR105" s="48">
        <v>0.31</v>
      </c>
      <c r="DS105" s="48">
        <v>0.32</v>
      </c>
      <c r="DT105" s="48">
        <v>0.32</v>
      </c>
      <c r="DU105" s="48">
        <v>0.33</v>
      </c>
      <c r="DV105" s="48">
        <v>0.34</v>
      </c>
      <c r="DW105" s="48">
        <v>0.35</v>
      </c>
      <c r="DX105" s="48">
        <v>0.36</v>
      </c>
      <c r="DY105" s="48">
        <v>0.36</v>
      </c>
      <c r="DZ105" s="48">
        <v>0.36</v>
      </c>
      <c r="EA105" s="48">
        <v>0.36</v>
      </c>
      <c r="EB105" s="48">
        <v>0.36</v>
      </c>
      <c r="EC105" s="48">
        <v>0.36</v>
      </c>
      <c r="ED105" s="48">
        <v>0.36</v>
      </c>
      <c r="EE105" s="48">
        <v>0.36</v>
      </c>
      <c r="EF105" s="48">
        <v>0.36</v>
      </c>
      <c r="EG105" s="48">
        <v>0.36</v>
      </c>
      <c r="EH105" s="48">
        <v>0.36</v>
      </c>
      <c r="EI105" s="48">
        <v>0.36</v>
      </c>
      <c r="EJ105" s="48">
        <v>0.36</v>
      </c>
      <c r="EK105" s="48">
        <v>0.36</v>
      </c>
      <c r="EL105" s="48">
        <v>0.36</v>
      </c>
      <c r="EM105" s="48">
        <v>0.36</v>
      </c>
      <c r="EO105" s="39" t="s">
        <v>258</v>
      </c>
      <c r="EP105" s="34">
        <f>NPV($EP$104,DP98:GU98)+Main!K5-Main!K6+DO98</f>
        <v>64508.30771707822</v>
      </c>
    </row>
    <row r="106" spans="1:200">
      <c r="B106" s="31" t="s">
        <v>535</v>
      </c>
      <c r="C106" s="48"/>
      <c r="D106" s="48"/>
      <c r="E106" s="48"/>
      <c r="F106" s="48"/>
      <c r="G106" s="48"/>
      <c r="H106" s="48"/>
      <c r="I106" s="48"/>
      <c r="J106" s="48"/>
      <c r="K106" s="48">
        <v>0.25005279831045407</v>
      </c>
      <c r="L106" s="48">
        <v>0.19882777276825969</v>
      </c>
      <c r="M106" s="48">
        <v>0.22340204039142203</v>
      </c>
      <c r="N106" s="48">
        <v>0.17805128205128204</v>
      </c>
      <c r="O106" s="48">
        <v>0.20733149389042177</v>
      </c>
      <c r="P106" s="48">
        <v>0.1989409984871407</v>
      </c>
      <c r="Q106" s="48">
        <v>0.22260208926875594</v>
      </c>
      <c r="R106" s="48">
        <v>0.21917571995171581</v>
      </c>
      <c r="S106" s="48">
        <f t="shared" ref="S106:AD106" si="200">S93/S87</f>
        <v>0.2530036566254571</v>
      </c>
      <c r="T106" s="48">
        <f t="shared" si="200"/>
        <v>0.28019894818378244</v>
      </c>
      <c r="U106" s="48">
        <f t="shared" si="200"/>
        <v>0.29279668336500259</v>
      </c>
      <c r="V106" s="48">
        <f t="shared" si="200"/>
        <v>0.27167054134838925</v>
      </c>
      <c r="W106" s="48">
        <f t="shared" si="200"/>
        <v>0.28781975266813487</v>
      </c>
      <c r="X106" s="48">
        <f t="shared" si="200"/>
        <v>0.28858635428209595</v>
      </c>
      <c r="Y106" s="48">
        <f t="shared" si="200"/>
        <v>0.29326923076923078</v>
      </c>
      <c r="Z106" s="48">
        <f t="shared" si="200"/>
        <v>0.2536945812807882</v>
      </c>
      <c r="AA106" s="48">
        <f t="shared" si="200"/>
        <v>0.27465214761040535</v>
      </c>
      <c r="AB106" s="48">
        <f t="shared" si="200"/>
        <v>0.22729260825193176</v>
      </c>
      <c r="AC106" s="48">
        <f t="shared" si="200"/>
        <v>0.2435462457589615</v>
      </c>
      <c r="AD106" s="48">
        <f t="shared" si="200"/>
        <v>0.24360683553508666</v>
      </c>
      <c r="AE106" s="48">
        <f t="shared" ref="AE106:AM106" si="201">AE93/AE87</f>
        <v>0.30010330578512395</v>
      </c>
      <c r="AF106" s="48">
        <f t="shared" si="201"/>
        <v>0.26283947297660659</v>
      </c>
      <c r="AG106" s="48">
        <f t="shared" si="201"/>
        <v>0.27783887819631564</v>
      </c>
      <c r="AH106" s="48">
        <f t="shared" si="201"/>
        <v>0.17945044927724965</v>
      </c>
      <c r="AI106" s="48">
        <f t="shared" si="201"/>
        <v>0.36849429446145282</v>
      </c>
      <c r="AJ106" s="48">
        <f t="shared" si="201"/>
        <v>0.31051707843931414</v>
      </c>
      <c r="AK106" s="48">
        <f t="shared" si="201"/>
        <v>0.34590206860434669</v>
      </c>
      <c r="AL106" s="48">
        <f t="shared" si="201"/>
        <v>0.20038652011112454</v>
      </c>
      <c r="AM106" s="48">
        <f t="shared" si="201"/>
        <v>0.37358730158730158</v>
      </c>
      <c r="AN106" s="48">
        <f t="shared" ref="AN106:AS106" si="202">AN93/AN87</f>
        <v>0.31541123236624968</v>
      </c>
      <c r="AO106" s="48">
        <f t="shared" si="202"/>
        <v>0.24331771837971894</v>
      </c>
      <c r="AP106" s="48">
        <f t="shared" si="202"/>
        <v>0.22308278313864907</v>
      </c>
      <c r="AQ106" s="48">
        <f t="shared" si="202"/>
        <v>0.3513262599469496</v>
      </c>
      <c r="AR106" s="48">
        <f t="shared" si="202"/>
        <v>0.33975408632394632</v>
      </c>
      <c r="AS106" s="48">
        <f t="shared" si="202"/>
        <v>0.2456422633413784</v>
      </c>
      <c r="AT106" s="48">
        <f>AT93/AT87</f>
        <v>0.16988614558014584</v>
      </c>
      <c r="AU106" s="48">
        <f>AU93/AU87</f>
        <v>0.21687292484153337</v>
      </c>
      <c r="AV106" s="48" t="e">
        <f>AV93/AV87</f>
        <v>#DIV/0!</v>
      </c>
      <c r="AW106" s="48" t="e">
        <f>AW93/AW87</f>
        <v>#DIV/0!</v>
      </c>
      <c r="AX106" s="48" t="e">
        <f>AX93/AX87</f>
        <v>#DIV/0!</v>
      </c>
      <c r="AY106" s="48"/>
      <c r="AZ106" s="48"/>
      <c r="BA106" s="48"/>
      <c r="BB106" s="48"/>
      <c r="BC106" s="48"/>
      <c r="BD106" s="48">
        <f>BD93/BD87</f>
        <v>3.2754252623959465E-2</v>
      </c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73"/>
      <c r="BP106" s="48"/>
      <c r="BQ106" s="48"/>
      <c r="BR106" s="48"/>
      <c r="BS106" s="48"/>
      <c r="BT106" s="48"/>
      <c r="BU106" s="48"/>
      <c r="BV106" s="48"/>
      <c r="BW106" s="73"/>
      <c r="BX106" s="73"/>
      <c r="BY106" s="73"/>
      <c r="BZ106" s="73">
        <f t="shared" ref="BZ106:CA106" si="203">+BZ93/BZ87</f>
        <v>8.6995650217489132E-2</v>
      </c>
      <c r="CA106" s="73">
        <f t="shared" si="203"/>
        <v>0.19200503619767076</v>
      </c>
      <c r="CB106" s="73">
        <f t="shared" ref="CB106" si="204">+CB93/CB87</f>
        <v>0.20462151394422312</v>
      </c>
      <c r="CC106" s="73">
        <f t="shared" ref="CC106:CE106" si="205">+CC93/CC87</f>
        <v>0.17801763453937366</v>
      </c>
      <c r="CD106" s="73">
        <f t="shared" ref="CD106" si="206">+CD93/CD87</f>
        <v>0.25627530364372469</v>
      </c>
      <c r="CE106" s="73">
        <f t="shared" si="205"/>
        <v>0.37185792349726776</v>
      </c>
      <c r="CF106" s="73">
        <f>+CF93/CF87</f>
        <v>0.21958637469586376</v>
      </c>
      <c r="CG106" s="73">
        <f t="shared" ref="CG106:CJ106" si="207">+CG93/CG87</f>
        <v>0.23119805392256235</v>
      </c>
      <c r="CH106" s="73">
        <f t="shared" si="207"/>
        <v>0.26409124968778619</v>
      </c>
      <c r="CI106" s="73">
        <f t="shared" si="207"/>
        <v>0.34776119402985073</v>
      </c>
      <c r="CJ106" s="73">
        <f t="shared" si="207"/>
        <v>0.31241296072788044</v>
      </c>
      <c r="CK106" s="73">
        <f t="shared" ref="CK106:CP106" si="208">+CK93/CK87</f>
        <v>0</v>
      </c>
      <c r="CL106" s="73">
        <f t="shared" si="208"/>
        <v>9.7617560453288121E-2</v>
      </c>
      <c r="CM106" s="73">
        <f t="shared" si="208"/>
        <v>0.23430462358672671</v>
      </c>
      <c r="CN106" s="73">
        <f t="shared" si="208"/>
        <v>0.21520539546290618</v>
      </c>
      <c r="CO106" s="73">
        <f t="shared" si="208"/>
        <v>0</v>
      </c>
      <c r="CP106" s="73">
        <f t="shared" si="208"/>
        <v>0.10262807717897539</v>
      </c>
      <c r="CQ106" s="73">
        <f t="shared" ref="CQ106:CR106" si="209">+CQ93/CQ87</f>
        <v>0.24574132492113565</v>
      </c>
      <c r="CR106" s="73">
        <f t="shared" si="209"/>
        <v>0.31697325707219043</v>
      </c>
      <c r="CS106" s="73">
        <f t="shared" ref="CS106:CX106" si="210">+CS93/CS87</f>
        <v>0.32230548522552344</v>
      </c>
      <c r="CT106" s="73">
        <f t="shared" si="210"/>
        <v>0.33622442314915246</v>
      </c>
      <c r="CU106" s="73">
        <f t="shared" si="210"/>
        <v>0.36539796318807682</v>
      </c>
      <c r="CV106" s="73">
        <f t="shared" si="210"/>
        <v>0.33212094803106967</v>
      </c>
      <c r="CW106" s="73">
        <f t="shared" si="210"/>
        <v>0.33502748280656602</v>
      </c>
      <c r="CX106" s="73">
        <f t="shared" si="210"/>
        <v>0.34728362052119266</v>
      </c>
      <c r="CY106" s="73"/>
      <c r="CZ106" s="73"/>
      <c r="DA106" s="48"/>
      <c r="DB106" s="48"/>
      <c r="DC106" s="48"/>
      <c r="DG106" s="48">
        <v>0.21258422197464055</v>
      </c>
      <c r="DH106" s="48">
        <v>0.21221879958928405</v>
      </c>
      <c r="DI106" s="48">
        <v>0.27148985918727364</v>
      </c>
      <c r="DJ106" s="48">
        <f>DJ93/DJ87</f>
        <v>0.28006466367005756</v>
      </c>
      <c r="DM106" s="48"/>
      <c r="DN106" s="48">
        <f>DN93/DN87</f>
        <v>0.28950127793433383</v>
      </c>
      <c r="DO106" s="48">
        <f t="shared" ref="DO106:DX106" si="211">DO93/DO87</f>
        <v>0.27478171170773419</v>
      </c>
      <c r="DP106" s="48">
        <f t="shared" si="211"/>
        <v>0.46268562815387637</v>
      </c>
      <c r="DQ106" s="48" t="e">
        <f t="shared" si="211"/>
        <v>#DIV/0!</v>
      </c>
      <c r="DR106" s="48" t="e">
        <f t="shared" si="211"/>
        <v>#DIV/0!</v>
      </c>
      <c r="DS106" s="48" t="e">
        <f t="shared" si="211"/>
        <v>#DIV/0!</v>
      </c>
      <c r="DT106" s="48">
        <f t="shared" si="211"/>
        <v>0.43268562815387634</v>
      </c>
      <c r="DU106" s="48">
        <f t="shared" si="211"/>
        <v>0.41768562815387639</v>
      </c>
      <c r="DV106" s="48">
        <f t="shared" si="211"/>
        <v>0.40268562815387643</v>
      </c>
      <c r="DW106" s="48">
        <f t="shared" si="211"/>
        <v>0.45000000000000007</v>
      </c>
      <c r="DX106" s="48">
        <f t="shared" si="211"/>
        <v>0.44000000000000011</v>
      </c>
      <c r="DY106" s="48">
        <f>DY93/DY87</f>
        <v>0.44000000000000011</v>
      </c>
      <c r="DZ106" s="48">
        <f>DZ93/DZ87</f>
        <v>8.4607405402967573E-2</v>
      </c>
      <c r="EA106" s="48">
        <f>EA93/EA87</f>
        <v>0.17886143368549726</v>
      </c>
      <c r="EB106" s="48">
        <f>EB93/EB87</f>
        <v>0.30578574848747242</v>
      </c>
      <c r="EC106" s="48">
        <f>EC93/EC87</f>
        <v>0.44000000000000006</v>
      </c>
      <c r="ED106" s="48">
        <f t="shared" ref="ED106:EM106" si="212">ED93/ED87</f>
        <v>0.44000000000000006</v>
      </c>
      <c r="EE106" s="48">
        <f t="shared" si="212"/>
        <v>0.44000000000000006</v>
      </c>
      <c r="EF106" s="48">
        <f t="shared" si="212"/>
        <v>0.44</v>
      </c>
      <c r="EG106" s="48">
        <f t="shared" si="212"/>
        <v>0.44000000000000011</v>
      </c>
      <c r="EH106" s="48">
        <f t="shared" si="212"/>
        <v>0.44000000000000011</v>
      </c>
      <c r="EI106" s="48">
        <f t="shared" si="212"/>
        <v>0.44000000000000011</v>
      </c>
      <c r="EJ106" s="48">
        <f t="shared" si="212"/>
        <v>0.44000000000000011</v>
      </c>
      <c r="EK106" s="48">
        <f t="shared" si="212"/>
        <v>0.44000000000000006</v>
      </c>
      <c r="EL106" s="48">
        <f t="shared" si="212"/>
        <v>0.44000000000000006</v>
      </c>
      <c r="EM106" s="48">
        <f t="shared" si="212"/>
        <v>0.44</v>
      </c>
      <c r="EO106" s="39" t="s">
        <v>349</v>
      </c>
      <c r="EP106" s="50">
        <f>EP105/Main!K3</f>
        <v>20.675739652909687</v>
      </c>
    </row>
    <row r="107" spans="1:200">
      <c r="B107" s="100" t="s">
        <v>17</v>
      </c>
      <c r="C107" s="48"/>
      <c r="D107" s="48"/>
      <c r="E107" s="48"/>
      <c r="F107" s="48"/>
      <c r="G107" s="48"/>
      <c r="H107" s="48"/>
      <c r="I107" s="48"/>
      <c r="J107" s="48"/>
      <c r="K107" s="48">
        <v>0.20669456066945607</v>
      </c>
      <c r="L107" s="48">
        <v>0.27680525164113784</v>
      </c>
      <c r="M107" s="48">
        <v>0.28876508820798513</v>
      </c>
      <c r="N107" s="48">
        <v>0.24800910125142206</v>
      </c>
      <c r="O107" s="48">
        <v>0.2634011090573013</v>
      </c>
      <c r="P107" s="48">
        <v>0.22136669874879691</v>
      </c>
      <c r="Q107" s="48">
        <v>0.28776371308016879</v>
      </c>
      <c r="R107" s="48">
        <v>0.27748294162244125</v>
      </c>
      <c r="S107" s="48"/>
      <c r="T107" s="48"/>
      <c r="U107" s="48"/>
      <c r="V107" s="48"/>
      <c r="W107" s="48">
        <f t="shared" ref="W107:AD107" si="213">W96/W95</f>
        <v>0.35087719298245612</v>
      </c>
      <c r="X107" s="48">
        <f t="shared" si="213"/>
        <v>0.31930562861651762</v>
      </c>
      <c r="Y107" s="48">
        <f t="shared" si="213"/>
        <v>0.31135531135531136</v>
      </c>
      <c r="Z107" s="48">
        <f t="shared" si="213"/>
        <v>0.35548352242031334</v>
      </c>
      <c r="AA107" s="48">
        <f t="shared" si="213"/>
        <v>0.36748562467328805</v>
      </c>
      <c r="AB107" s="48">
        <f t="shared" si="213"/>
        <v>0.35129993658845909</v>
      </c>
      <c r="AC107" s="48">
        <f t="shared" si="213"/>
        <v>0.35398813447593935</v>
      </c>
      <c r="AD107" s="48">
        <f t="shared" si="213"/>
        <v>0.29301355578727839</v>
      </c>
      <c r="AE107" s="48">
        <f t="shared" ref="AE107:AM107" si="214">AE96/AE95</f>
        <v>0.28868778280542984</v>
      </c>
      <c r="AF107" s="48">
        <f t="shared" si="214"/>
        <v>0.36967632027257241</v>
      </c>
      <c r="AG107" s="48">
        <f t="shared" si="214"/>
        <v>0.3630278063851699</v>
      </c>
      <c r="AH107" s="48">
        <f t="shared" si="214"/>
        <v>0.42780337941628266</v>
      </c>
      <c r="AI107" s="48">
        <f t="shared" si="214"/>
        <v>0.34525723472668812</v>
      </c>
      <c r="AJ107" s="48">
        <f t="shared" si="214"/>
        <v>0.43315508021390375</v>
      </c>
      <c r="AK107" s="48">
        <f t="shared" si="214"/>
        <v>0.36882591093117406</v>
      </c>
      <c r="AL107" s="48">
        <f t="shared" si="214"/>
        <v>0.40186915887850466</v>
      </c>
      <c r="AM107" s="48">
        <f t="shared" si="214"/>
        <v>0.26259758694109298</v>
      </c>
      <c r="AN107" s="48">
        <f t="shared" ref="AN107:AS107" si="215">AN96/AN95</f>
        <v>0.35552596537949399</v>
      </c>
      <c r="AO107" s="48">
        <f t="shared" si="215"/>
        <v>0.43510506798516685</v>
      </c>
      <c r="AP107" s="48">
        <f t="shared" si="215"/>
        <v>0.39963167587476978</v>
      </c>
      <c r="AQ107" s="48">
        <f t="shared" si="215"/>
        <v>0.1470820189274448</v>
      </c>
      <c r="AR107" s="48">
        <f t="shared" si="215"/>
        <v>0.2</v>
      </c>
      <c r="AS107" s="48">
        <f t="shared" si="215"/>
        <v>0.39332949971247844</v>
      </c>
      <c r="AT107" s="48">
        <f>AT96/AT95</f>
        <v>0.46084089035449299</v>
      </c>
      <c r="AU107" s="48">
        <f>AU96/AU95</f>
        <v>0.30902255639097742</v>
      </c>
      <c r="AV107" s="48">
        <f>AV96/AV95</f>
        <v>0.2</v>
      </c>
      <c r="AW107" s="48">
        <f>AW96/AW95</f>
        <v>0.2</v>
      </c>
      <c r="AX107" s="48">
        <f>AX96/AX95</f>
        <v>0.2</v>
      </c>
      <c r="AY107" s="48"/>
      <c r="AZ107" s="48"/>
      <c r="BA107" s="48"/>
      <c r="BB107" s="48"/>
      <c r="BC107" s="48"/>
      <c r="BD107" s="48">
        <f>BD96/BD95</f>
        <v>-1.1129032258064515</v>
      </c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73"/>
      <c r="BP107" s="48"/>
      <c r="BQ107" s="48"/>
      <c r="BR107" s="48"/>
      <c r="BS107" s="48"/>
      <c r="BT107" s="48"/>
      <c r="BU107" s="48"/>
      <c r="BV107" s="48"/>
      <c r="BW107" s="73"/>
      <c r="BX107" s="73"/>
      <c r="BY107" s="73"/>
      <c r="BZ107" s="73">
        <f t="shared" ref="BZ107:CA107" si="216">+BZ96/BZ95</f>
        <v>-0.15226337448559671</v>
      </c>
      <c r="CA107" s="73">
        <f t="shared" si="216"/>
        <v>0.19786096256684493</v>
      </c>
      <c r="CB107" s="73">
        <f t="shared" ref="CB107" si="217">+CB96/CB95</f>
        <v>0.21019771071800208</v>
      </c>
      <c r="CC107" s="73">
        <f t="shared" ref="CC107:CE107" si="218">+CC96/CC95</f>
        <v>0.23681125439624853</v>
      </c>
      <c r="CD107" s="73">
        <f t="shared" ref="CD107" si="219">+CD96/CD95</f>
        <v>0.1759478672985782</v>
      </c>
      <c r="CE107" s="73">
        <f t="shared" si="218"/>
        <v>7.5069142631371003E-2</v>
      </c>
      <c r="CF107" s="73">
        <f>+CF96/CF95</f>
        <v>0.23651721897335931</v>
      </c>
      <c r="CG107" s="73">
        <f t="shared" ref="CG107:CJ107" si="220">+CG96/CG95</f>
        <v>0.21557177615571776</v>
      </c>
      <c r="CH107" s="73">
        <f t="shared" si="220"/>
        <v>0.16110210696920582</v>
      </c>
      <c r="CI107" s="73">
        <f t="shared" si="220"/>
        <v>0.20814235643030465</v>
      </c>
      <c r="CJ107" s="73">
        <f t="shared" si="220"/>
        <v>0.15303849825007954</v>
      </c>
      <c r="CK107" s="73" t="e">
        <f t="shared" ref="CK107:CP107" si="221">+CK96/CK95</f>
        <v>#DIV/0!</v>
      </c>
      <c r="CL107" s="73">
        <f t="shared" si="221"/>
        <v>-0.15938303341902313</v>
      </c>
      <c r="CM107" s="73">
        <f t="shared" si="221"/>
        <v>0.20247568523430592</v>
      </c>
      <c r="CN107" s="73">
        <f t="shared" si="221"/>
        <v>0.12829104834849211</v>
      </c>
      <c r="CO107" s="73" t="e">
        <f t="shared" si="221"/>
        <v>#DIV/0!</v>
      </c>
      <c r="CP107" s="73">
        <f t="shared" si="221"/>
        <v>-6.9119286510590863E-2</v>
      </c>
      <c r="CQ107" s="73">
        <f t="shared" ref="CQ107:CR107" si="222">+CQ96/CQ95</f>
        <v>0.22134951802927527</v>
      </c>
      <c r="CR107" s="73">
        <f t="shared" si="222"/>
        <v>0.19448818897637796</v>
      </c>
      <c r="CS107" s="73">
        <f t="shared" ref="CS107:CX107" si="223">+CS96/CS95</f>
        <v>0.2</v>
      </c>
      <c r="CT107" s="73">
        <f t="shared" si="223"/>
        <v>0.2</v>
      </c>
      <c r="CU107" s="73">
        <f t="shared" si="223"/>
        <v>0.2</v>
      </c>
      <c r="CV107" s="73">
        <f t="shared" si="223"/>
        <v>0.2</v>
      </c>
      <c r="CW107" s="73">
        <f t="shared" si="223"/>
        <v>0.2</v>
      </c>
      <c r="CX107" s="73">
        <f t="shared" si="223"/>
        <v>0.2</v>
      </c>
      <c r="CY107" s="73"/>
      <c r="CZ107" s="73"/>
      <c r="DA107" s="48"/>
      <c r="DB107" s="48"/>
      <c r="DC107" s="48"/>
      <c r="DG107" s="48">
        <v>0.25313653136531367</v>
      </c>
      <c r="DH107" s="48">
        <v>0.26421621621621622</v>
      </c>
      <c r="DI107" s="48">
        <v>0.29142450035621881</v>
      </c>
      <c r="DJ107" s="48">
        <f>DJ96/DJ95</f>
        <v>0.33378196500672946</v>
      </c>
      <c r="DM107" s="48"/>
      <c r="DN107" s="48">
        <f>DN96/DN95</f>
        <v>0.34816061553257993</v>
      </c>
      <c r="DO107" s="48">
        <f t="shared" ref="DO107:DX107" si="224">DO96/DO95</f>
        <v>0.26662217648687481</v>
      </c>
      <c r="DP107" s="48">
        <f t="shared" si="224"/>
        <v>0.25</v>
      </c>
      <c r="DQ107" s="48" t="e">
        <f t="shared" si="224"/>
        <v>#DIV/0!</v>
      </c>
      <c r="DR107" s="48" t="e">
        <f t="shared" si="224"/>
        <v>#DIV/0!</v>
      </c>
      <c r="DS107" s="48" t="e">
        <f t="shared" si="224"/>
        <v>#DIV/0!</v>
      </c>
      <c r="DT107" s="48">
        <f t="shared" si="224"/>
        <v>0.25</v>
      </c>
      <c r="DU107" s="48">
        <f t="shared" si="224"/>
        <v>0.25</v>
      </c>
      <c r="DV107" s="48">
        <f t="shared" si="224"/>
        <v>0.25</v>
      </c>
      <c r="DW107" s="48">
        <f t="shared" si="224"/>
        <v>0.25</v>
      </c>
      <c r="DX107" s="48">
        <f t="shared" si="224"/>
        <v>0.25</v>
      </c>
      <c r="DY107" s="48">
        <f>DY96/DY95</f>
        <v>0.25</v>
      </c>
      <c r="DZ107" s="48">
        <f>DZ96/DZ95</f>
        <v>-0.3166733306677329</v>
      </c>
      <c r="EA107" s="48">
        <f>EA96/EA95</f>
        <v>0.13570601851851852</v>
      </c>
      <c r="EB107" s="48">
        <f>EB96/EB95</f>
        <v>0.17435856200723998</v>
      </c>
      <c r="EC107" s="48">
        <f>EC96/EC95</f>
        <v>0.2</v>
      </c>
      <c r="ED107" s="48">
        <f t="shared" ref="ED107:EM107" si="225">ED96/ED95</f>
        <v>0.2</v>
      </c>
      <c r="EE107" s="48">
        <f t="shared" si="225"/>
        <v>0.20000000000000004</v>
      </c>
      <c r="EF107" s="48">
        <f t="shared" si="225"/>
        <v>0.19999999999999998</v>
      </c>
      <c r="EG107" s="48">
        <f t="shared" si="225"/>
        <v>0.2</v>
      </c>
      <c r="EH107" s="48">
        <f t="shared" si="225"/>
        <v>0.19999999999999998</v>
      </c>
      <c r="EI107" s="48">
        <f t="shared" si="225"/>
        <v>0.2</v>
      </c>
      <c r="EJ107" s="48">
        <f t="shared" si="225"/>
        <v>0.2</v>
      </c>
      <c r="EK107" s="48">
        <f t="shared" si="225"/>
        <v>0.2</v>
      </c>
      <c r="EL107" s="48">
        <f t="shared" si="225"/>
        <v>0.2</v>
      </c>
      <c r="EM107" s="48">
        <f t="shared" si="225"/>
        <v>0.2</v>
      </c>
      <c r="EO107" s="39" t="s">
        <v>348</v>
      </c>
      <c r="EP107" s="56">
        <v>0.05</v>
      </c>
    </row>
    <row r="108" spans="1:200">
      <c r="DY108" s="41"/>
      <c r="DZ108" s="41"/>
      <c r="EA108" s="41"/>
      <c r="EB108" s="41"/>
      <c r="EC108" s="41"/>
    </row>
    <row r="109" spans="1:200" s="10" customFormat="1">
      <c r="A109" s="95"/>
      <c r="B109" s="95" t="s">
        <v>539</v>
      </c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32">
        <f t="shared" ref="Y109:AL109" si="226">Y87/U87-1</f>
        <v>7.7906374157885594E-2</v>
      </c>
      <c r="Z109" s="32">
        <f t="shared" si="226"/>
        <v>0.14613085353703092</v>
      </c>
      <c r="AA109" s="32">
        <f t="shared" si="226"/>
        <v>0.12010841944773842</v>
      </c>
      <c r="AB109" s="32">
        <f t="shared" si="226"/>
        <v>8.5800221624188655E-2</v>
      </c>
      <c r="AC109" s="32">
        <f t="shared" si="226"/>
        <v>8.6378205128205154E-2</v>
      </c>
      <c r="AD109" s="32">
        <f t="shared" si="226"/>
        <v>0.19545059403071563</v>
      </c>
      <c r="AE109" s="32">
        <f t="shared" si="226"/>
        <v>0.1712038717483364</v>
      </c>
      <c r="AF109" s="32">
        <f t="shared" si="226"/>
        <v>8.4414637702288964E-2</v>
      </c>
      <c r="AG109" s="32">
        <f t="shared" si="226"/>
        <v>7.30196194128927E-2</v>
      </c>
      <c r="AH109" s="32">
        <f t="shared" si="226"/>
        <v>-6.9324930311477351E-2</v>
      </c>
      <c r="AI109" s="32">
        <f t="shared" si="226"/>
        <v>-7.2055785123966931E-2</v>
      </c>
      <c r="AJ109" s="32">
        <f t="shared" si="226"/>
        <v>-4.1677870395268046E-3</v>
      </c>
      <c r="AK109" s="32">
        <f t="shared" si="226"/>
        <v>5.0041242782512985E-2</v>
      </c>
      <c r="AL109" s="32">
        <f t="shared" si="226"/>
        <v>7.8135173850761852E-2</v>
      </c>
      <c r="AM109" s="32">
        <f>AM87/AI87-1</f>
        <v>9.5880879487893145E-2</v>
      </c>
      <c r="AN109" s="32">
        <f>AN87/AJ87-1</f>
        <v>1.4445794518698429E-2</v>
      </c>
      <c r="AO109" s="32">
        <f>AO87/AK87-1</f>
        <v>-4.9751243781094523E-2</v>
      </c>
      <c r="AP109" s="32">
        <f>AP87/AL87-1</f>
        <v>-4.8677376494745794E-2</v>
      </c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80"/>
      <c r="BP109" s="32"/>
      <c r="BQ109" s="32"/>
      <c r="BR109" s="32"/>
      <c r="BS109" s="32"/>
      <c r="BT109" s="32"/>
      <c r="BU109" s="32"/>
      <c r="BV109" s="32"/>
      <c r="BW109" s="80"/>
      <c r="BX109" s="80"/>
      <c r="BY109" s="80"/>
      <c r="BZ109" s="80"/>
      <c r="CA109" s="80">
        <f>+CA87/BW87-1</f>
        <v>0.16267154620311075</v>
      </c>
      <c r="CB109" s="80">
        <f t="shared" ref="CB109" si="227">+CB87/BX87-1</f>
        <v>9.7411682406435718E-2</v>
      </c>
      <c r="CC109" s="80">
        <f t="shared" ref="CC109:CI109" si="228">+CC87/BY87-1</f>
        <v>7.3433420365535351E-2</v>
      </c>
      <c r="CD109" s="80">
        <f t="shared" si="228"/>
        <v>0.11144442777861108</v>
      </c>
      <c r="CE109" s="80">
        <f t="shared" si="228"/>
        <v>0.15203021718602461</v>
      </c>
      <c r="CF109" s="80">
        <f t="shared" si="228"/>
        <v>0.30996015936254984</v>
      </c>
      <c r="CG109" s="80">
        <f t="shared" si="228"/>
        <v>0.49984797810884762</v>
      </c>
      <c r="CH109" s="80">
        <f t="shared" si="228"/>
        <v>0.62091767881241555</v>
      </c>
      <c r="CI109" s="80">
        <f t="shared" si="228"/>
        <v>0.55601092896174853</v>
      </c>
      <c r="CJ109" s="80">
        <f>+CJ87/CF87-1</f>
        <v>0.31034063260340639</v>
      </c>
      <c r="CK109" s="80">
        <f t="shared" ref="CK109:CP109" si="229">+CK87/CG87-1</f>
        <v>0.11311575106426108</v>
      </c>
      <c r="CL109" s="80">
        <f t="shared" si="229"/>
        <v>-6.6938639580384596E-2</v>
      </c>
      <c r="CM109" s="80">
        <f t="shared" si="229"/>
        <v>-4.4863915715539937E-2</v>
      </c>
      <c r="CN109" s="80">
        <f t="shared" si="229"/>
        <v>5.9975861108532147E-2</v>
      </c>
      <c r="CO109" s="80">
        <f t="shared" si="229"/>
        <v>4.6439628482972228E-2</v>
      </c>
      <c r="CP109" s="80">
        <f t="shared" si="229"/>
        <v>7.2900865530471926E-2</v>
      </c>
      <c r="CQ109" s="80">
        <f t="shared" ref="CQ109" si="230">+CQ87/CM87-1</f>
        <v>0.16554830407206556</v>
      </c>
      <c r="CR109" s="80">
        <f t="shared" ref="CR109:CX109" si="231">+CR87/CN87-1</f>
        <v>0.13322238766751338</v>
      </c>
      <c r="CS109" s="80">
        <f t="shared" si="231"/>
        <v>0.12213278802645311</v>
      </c>
      <c r="CT109" s="80">
        <f t="shared" si="231"/>
        <v>0.10271623419827014</v>
      </c>
      <c r="CU109" s="80">
        <f t="shared" si="231"/>
        <v>0.11132728706624606</v>
      </c>
      <c r="CV109" s="80">
        <f t="shared" si="231"/>
        <v>1.6368835987015107E-2</v>
      </c>
      <c r="CW109" s="80">
        <f t="shared" si="231"/>
        <v>2.5702432234375516E-2</v>
      </c>
      <c r="CX109" s="80">
        <f t="shared" si="231"/>
        <v>2.2910342060447508E-2</v>
      </c>
      <c r="CY109" s="80"/>
      <c r="CZ109" s="80"/>
      <c r="DA109" s="32"/>
      <c r="DB109" s="32"/>
      <c r="DC109" s="32"/>
      <c r="DD109" s="47"/>
      <c r="DE109" s="47"/>
      <c r="DF109" s="55"/>
      <c r="DG109" s="47"/>
      <c r="DH109" s="47"/>
      <c r="DI109" s="47"/>
      <c r="DJ109" s="47"/>
      <c r="DK109" s="47"/>
      <c r="DL109" s="49"/>
      <c r="DM109" s="49"/>
      <c r="DN109" s="32">
        <f>DN87/DM87-1</f>
        <v>2.622091117665537E-4</v>
      </c>
      <c r="DO109" s="32">
        <f>+DO87/DN87-1</f>
        <v>-2.0343403892784662E-2</v>
      </c>
      <c r="DP109" s="32">
        <f t="shared" ref="DP109:DX109" si="232">+DP87/DO87-1</f>
        <v>-0.76499440080596282</v>
      </c>
      <c r="DQ109" s="32">
        <f t="shared" si="232"/>
        <v>-1</v>
      </c>
      <c r="DR109" s="32" t="e">
        <f t="shared" si="232"/>
        <v>#DIV/0!</v>
      </c>
      <c r="DS109" s="32" t="e">
        <f t="shared" si="232"/>
        <v>#DIV/0!</v>
      </c>
      <c r="DT109" s="32" t="e">
        <f t="shared" si="232"/>
        <v>#DIV/0!</v>
      </c>
      <c r="DU109" s="32">
        <f t="shared" si="232"/>
        <v>0.18768835807567807</v>
      </c>
      <c r="DV109" s="32">
        <f t="shared" si="232"/>
        <v>-1.0901743339128855E-2</v>
      </c>
      <c r="DW109" s="32">
        <f t="shared" si="232"/>
        <v>0.13915150363437689</v>
      </c>
      <c r="DX109" s="32">
        <f t="shared" si="232"/>
        <v>0.11005922095253973</v>
      </c>
      <c r="DY109" s="32">
        <f t="shared" ref="DY109:EJ109" si="233">+DY87/DX87-1</f>
        <v>0.40575572002855309</v>
      </c>
      <c r="DZ109" s="32">
        <f t="shared" si="233"/>
        <v>0.18518320549482858</v>
      </c>
      <c r="EA109" s="32">
        <f t="shared" si="233"/>
        <v>3.3058223966084821E-2</v>
      </c>
      <c r="EB109" s="32">
        <f t="shared" si="233"/>
        <v>0.13011023312669168</v>
      </c>
      <c r="EC109" s="32">
        <f t="shared" si="233"/>
        <v>8.5039946798122212E-3</v>
      </c>
      <c r="ED109" s="32">
        <f t="shared" si="233"/>
        <v>-9.8780703820153026E-2</v>
      </c>
      <c r="EE109" s="32">
        <f t="shared" si="233"/>
        <v>2.947770095953417E-2</v>
      </c>
      <c r="EF109" s="32">
        <f t="shared" si="233"/>
        <v>3.9967951363210519E-2</v>
      </c>
      <c r="EG109" s="32">
        <f t="shared" si="233"/>
        <v>1.8178797518375811E-2</v>
      </c>
      <c r="EH109" s="32">
        <f t="shared" si="233"/>
        <v>4.0618614989123003E-3</v>
      </c>
      <c r="EI109" s="32">
        <f t="shared" si="233"/>
        <v>-7.2381417350034893E-2</v>
      </c>
      <c r="EJ109" s="32">
        <f t="shared" si="233"/>
        <v>-6.6197647708389651E-2</v>
      </c>
    </row>
    <row r="110" spans="1:200" s="65" customFormat="1">
      <c r="A110" s="101"/>
      <c r="B110" s="101" t="s">
        <v>540</v>
      </c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>
        <v>7.0000000000000007E-2</v>
      </c>
      <c r="AN110" s="32"/>
      <c r="AO110" s="32">
        <v>-0.02</v>
      </c>
      <c r="AP110" s="32">
        <v>0</v>
      </c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80"/>
      <c r="BP110" s="32"/>
      <c r="BQ110" s="32"/>
      <c r="BR110" s="32"/>
      <c r="BS110" s="32"/>
      <c r="BT110" s="32"/>
      <c r="BU110" s="32"/>
      <c r="BV110" s="32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>
        <v>0.19</v>
      </c>
      <c r="CL110" s="80">
        <v>0.01</v>
      </c>
      <c r="CM110" s="80"/>
      <c r="CN110" s="80"/>
      <c r="CO110" s="80"/>
      <c r="CP110" s="80">
        <v>0.08</v>
      </c>
      <c r="CQ110" s="80"/>
      <c r="CR110" s="80">
        <v>0.17</v>
      </c>
      <c r="CS110" s="80"/>
      <c r="CT110" s="80"/>
      <c r="CU110" s="80"/>
      <c r="CV110" s="80"/>
      <c r="CW110" s="80"/>
      <c r="CX110" s="80"/>
      <c r="CY110" s="80"/>
      <c r="CZ110" s="80"/>
      <c r="DA110" s="32"/>
      <c r="DB110" s="32"/>
      <c r="DC110" s="32"/>
      <c r="DD110" s="32"/>
      <c r="DE110" s="32"/>
      <c r="DF110" s="66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EA110" s="65">
        <v>0.06</v>
      </c>
    </row>
    <row r="111" spans="1:200" s="115" customFormat="1">
      <c r="A111" s="111"/>
      <c r="B111" s="111" t="s">
        <v>541</v>
      </c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  <c r="AW111" s="112"/>
      <c r="AX111" s="112"/>
      <c r="AY111" s="112"/>
      <c r="AZ111" s="112"/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  <c r="BK111" s="112"/>
      <c r="BL111" s="112"/>
      <c r="BM111" s="112"/>
      <c r="BN111" s="112"/>
      <c r="BO111" s="113"/>
      <c r="BP111" s="112"/>
      <c r="BQ111" s="112"/>
      <c r="BR111" s="112"/>
      <c r="BS111" s="112"/>
      <c r="BT111" s="112"/>
      <c r="BU111" s="112"/>
      <c r="BV111" s="112"/>
      <c r="BW111" s="113"/>
      <c r="BX111" s="113"/>
      <c r="BY111" s="113"/>
      <c r="BZ111" s="113"/>
      <c r="CA111" s="113"/>
      <c r="CB111" s="113"/>
      <c r="CC111" s="113">
        <f>+CC3/BY3-1</f>
        <v>0.29629629629629628</v>
      </c>
      <c r="CD111" s="113">
        <f>+CD3/BZ3-1</f>
        <v>0.30882352941176472</v>
      </c>
      <c r="CE111" s="113">
        <f>+CE3/CA3-1</f>
        <v>0.1700610997963341</v>
      </c>
      <c r="CF111" s="113">
        <f>+CF3/CB3-1</f>
        <v>0.26305609284332698</v>
      </c>
      <c r="CG111" s="113">
        <f>+CG3/CC3-1</f>
        <v>7.9653679653679754E-2</v>
      </c>
      <c r="CH111" s="113">
        <f>+CH3/CD3-1</f>
        <v>0.13569576490924806</v>
      </c>
      <c r="CI111" s="113">
        <f>+CI3/CE3-1</f>
        <v>0.13489991296779813</v>
      </c>
      <c r="CJ111" s="113">
        <f>+CJ3/CF3-1</f>
        <v>7.1975497702909674E-2</v>
      </c>
      <c r="CK111" s="113">
        <f>+CK3/CG3-1</f>
        <v>0.1210906174819566</v>
      </c>
      <c r="CL111" s="113">
        <f>+CL3/CH3-1</f>
        <v>2.1308980213089912E-2</v>
      </c>
      <c r="CM111" s="113">
        <f>+CM3/CI3-1</f>
        <v>9.2024539877300526E-2</v>
      </c>
      <c r="CN111" s="113">
        <f>+CN3/CJ3-1</f>
        <v>6.4999999999999947E-2</v>
      </c>
      <c r="CO111" s="113">
        <f>+CO3/CK3-1</f>
        <v>4.7925608011444965E-2</v>
      </c>
      <c r="CP111" s="113">
        <f>+CP3/CL3-1</f>
        <v>5.7377049180327822E-2</v>
      </c>
      <c r="CQ111" s="113">
        <f>+CQ3/CM3-1</f>
        <v>0.12008426966292141</v>
      </c>
      <c r="CR111" s="113">
        <f>+CR3/CN3-1</f>
        <v>7.8470824949698148E-2</v>
      </c>
      <c r="CS111" s="113">
        <f>+CS3/CO3-1</f>
        <v>5.0000000000000044E-2</v>
      </c>
      <c r="CT111" s="113">
        <f>+CT3/CP3-1</f>
        <v>5.0000000000000044E-2</v>
      </c>
      <c r="CU111" s="113">
        <f>+CU3/CQ3-1</f>
        <v>5.0000000000000044E-2</v>
      </c>
      <c r="CV111" s="113">
        <f>+CV3/CR3-1</f>
        <v>5.0000000000000044E-2</v>
      </c>
      <c r="CW111" s="113">
        <f>+CW3/CS3-1</f>
        <v>5.0000000000000044E-2</v>
      </c>
      <c r="CX111" s="113">
        <f>+CX3/CT3-1</f>
        <v>5.0000000000000044E-2</v>
      </c>
      <c r="CY111" s="113"/>
      <c r="CZ111" s="113"/>
      <c r="DA111" s="112"/>
      <c r="DB111" s="112"/>
      <c r="DC111" s="112"/>
      <c r="DD111" s="112"/>
      <c r="DE111" s="112"/>
      <c r="DF111" s="114"/>
      <c r="DG111" s="112"/>
      <c r="DH111" s="112"/>
      <c r="DI111" s="112"/>
      <c r="DJ111" s="112"/>
      <c r="DK111" s="112"/>
      <c r="DL111" s="112"/>
      <c r="DM111" s="112"/>
      <c r="DN111" s="112"/>
      <c r="DO111" s="112"/>
      <c r="DP111" s="112"/>
      <c r="DQ111" s="112"/>
      <c r="DR111" s="112"/>
      <c r="DS111" s="112"/>
      <c r="DT111" s="112"/>
      <c r="DU111" s="112"/>
      <c r="DX111" s="115">
        <f>+DX3/DW3-1</f>
        <v>0.35716525556600809</v>
      </c>
      <c r="DY111" s="115">
        <f>+DY3/DX3-1</f>
        <v>0.15896487985212571</v>
      </c>
      <c r="DZ111" s="115">
        <f>+DZ3/DY3-1</f>
        <v>8.5326953748006362E-2</v>
      </c>
      <c r="EA111" s="115">
        <f>+EA3/DZ3-1</f>
        <v>6.520940484937543E-2</v>
      </c>
      <c r="EB111" s="115">
        <f>+EB3/EA3-1</f>
        <v>7.4530091395068165E-2</v>
      </c>
      <c r="EC111" s="115">
        <f>+EC3/EB3-1</f>
        <v>1.0000000000000009E-2</v>
      </c>
      <c r="ED111" s="115">
        <f>+ED3/EC3-1</f>
        <v>1.0000000000000009E-2</v>
      </c>
      <c r="EE111" s="115">
        <f>+EE3/ED3-1</f>
        <v>1.0000000000000009E-2</v>
      </c>
      <c r="EF111" s="115">
        <f>+EF3/EE3-1</f>
        <v>1.0000000000000009E-2</v>
      </c>
      <c r="EG111" s="115">
        <f>+EG3/EF3-1</f>
        <v>-5.0000000000000044E-2</v>
      </c>
      <c r="EH111" s="115">
        <f>+EH3/EG3-1</f>
        <v>-5.0000000000000155E-2</v>
      </c>
      <c r="EI111" s="115">
        <f>+EI3/EH3-1</f>
        <v>-5.0000000000000155E-2</v>
      </c>
      <c r="EJ111" s="115">
        <f>+EJ3/EI3-1</f>
        <v>-0.5</v>
      </c>
    </row>
    <row r="112" spans="1:200" s="115" customFormat="1">
      <c r="A112" s="111"/>
      <c r="B112" s="111" t="s">
        <v>542</v>
      </c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  <c r="AW112" s="112"/>
      <c r="AX112" s="112"/>
      <c r="AY112" s="112"/>
      <c r="AZ112" s="112"/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  <c r="BK112" s="112"/>
      <c r="BL112" s="112"/>
      <c r="BM112" s="112"/>
      <c r="BN112" s="112"/>
      <c r="BO112" s="113"/>
      <c r="BP112" s="112"/>
      <c r="BQ112" s="112"/>
      <c r="BR112" s="112"/>
      <c r="BS112" s="112"/>
      <c r="BT112" s="112"/>
      <c r="BU112" s="112"/>
      <c r="BV112" s="112"/>
      <c r="BW112" s="113"/>
      <c r="BX112" s="113"/>
      <c r="BY112" s="113"/>
      <c r="BZ112" s="113"/>
      <c r="CA112" s="113"/>
      <c r="CB112" s="113"/>
      <c r="CC112" s="113">
        <f>+CC4/BY4-1</f>
        <v>0.31909547738693478</v>
      </c>
      <c r="CD112" s="113">
        <f>+CD4/BZ4-1</f>
        <v>0.39856801909307871</v>
      </c>
      <c r="CE112" s="113">
        <f>+CE4/CA4-1</f>
        <v>0.54074074074074074</v>
      </c>
      <c r="CF112" s="113">
        <f>+CF4/CB4-1</f>
        <v>0.65237020316027095</v>
      </c>
      <c r="CG112" s="113">
        <f>+CG4/CC4-1</f>
        <v>0.51619047619047609</v>
      </c>
      <c r="CH112" s="113">
        <f>+CH4/CD4-1</f>
        <v>0.44709897610921501</v>
      </c>
      <c r="CI112" s="113">
        <f>+CI4/CE4-1</f>
        <v>0.60256410256410264</v>
      </c>
      <c r="CJ112" s="113">
        <f>+CJ4/CF4-1</f>
        <v>0.50683060109289624</v>
      </c>
      <c r="CK112" s="113">
        <f>+CK4/CG4-1</f>
        <v>0.38316582914572872</v>
      </c>
      <c r="CL112" s="113">
        <f>+CL4/CH4-1</f>
        <v>0.38797169811320753</v>
      </c>
      <c r="CM112" s="113">
        <f>+CM4/CI4-1</f>
        <v>0.29899999999999993</v>
      </c>
      <c r="CN112" s="113">
        <f>+CN4/CJ4-1</f>
        <v>0.36446056210335454</v>
      </c>
      <c r="CO112" s="113">
        <f>+CO4/CK4-1</f>
        <v>0.41144414168937327</v>
      </c>
      <c r="CP112" s="113">
        <f>+CP4/CL4-1</f>
        <v>0.36448598130841114</v>
      </c>
      <c r="CQ112" s="113">
        <f>+CQ4/CM4-1</f>
        <v>0.45650500384911474</v>
      </c>
      <c r="CR112" s="113">
        <f>+CR4/CN4-1</f>
        <v>0.29235880398671088</v>
      </c>
      <c r="CS112" s="113">
        <f>+CS4/CO4-1</f>
        <v>0.19999999999999996</v>
      </c>
      <c r="CT112" s="113">
        <f>+CT4/CP4-1</f>
        <v>0.19999999999999996</v>
      </c>
      <c r="CU112" s="113">
        <f>+CU4/CQ4-1</f>
        <v>0.19999999999999996</v>
      </c>
      <c r="CV112" s="113">
        <f>+CV4/CR4-1</f>
        <v>-0.5</v>
      </c>
      <c r="CW112" s="113">
        <f>+CW4/CS4-1</f>
        <v>-0.5</v>
      </c>
      <c r="CX112" s="113">
        <f>+CX4/CT4-1</f>
        <v>-0.5</v>
      </c>
      <c r="CY112" s="113"/>
      <c r="CZ112" s="113"/>
      <c r="DA112" s="112"/>
      <c r="DB112" s="112"/>
      <c r="DC112" s="112"/>
      <c r="DD112" s="112"/>
      <c r="DE112" s="112"/>
      <c r="DF112" s="114"/>
      <c r="DG112" s="112"/>
      <c r="DH112" s="112"/>
      <c r="DI112" s="112"/>
      <c r="DJ112" s="112"/>
      <c r="DK112" s="112"/>
      <c r="DL112" s="112"/>
      <c r="DM112" s="112"/>
      <c r="DN112" s="112"/>
      <c r="DO112" s="112"/>
      <c r="DP112" s="112"/>
      <c r="DQ112" s="112"/>
      <c r="DR112" s="112"/>
      <c r="DS112" s="112"/>
      <c r="DT112" s="112"/>
      <c r="DU112" s="112"/>
      <c r="DV112" s="112"/>
      <c r="DW112" s="112"/>
      <c r="DX112" s="112"/>
    </row>
    <row r="113" spans="1:128" s="115" customFormat="1">
      <c r="A113" s="111"/>
      <c r="B113" s="140" t="s">
        <v>663</v>
      </c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  <c r="AW113" s="112"/>
      <c r="AX113" s="112"/>
      <c r="AY113" s="112"/>
      <c r="AZ113" s="112"/>
      <c r="BA113" s="112"/>
      <c r="BB113" s="112"/>
      <c r="BC113" s="112"/>
      <c r="BD113" s="112"/>
      <c r="BE113" s="112"/>
      <c r="BF113" s="112"/>
      <c r="BG113" s="112"/>
      <c r="BH113" s="112"/>
      <c r="BI113" s="112"/>
      <c r="BJ113" s="112"/>
      <c r="BK113" s="112"/>
      <c r="BL113" s="112"/>
      <c r="BM113" s="112"/>
      <c r="BN113" s="112"/>
      <c r="BO113" s="113"/>
      <c r="BP113" s="112"/>
      <c r="BQ113" s="112"/>
      <c r="BR113" s="112"/>
      <c r="BS113" s="112"/>
      <c r="BT113" s="112"/>
      <c r="BU113" s="112"/>
      <c r="BV113" s="112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>
        <f>CK10/CG10-1</f>
        <v>0.74410774410774416</v>
      </c>
      <c r="CL113" s="113">
        <f>CL10/CH10-1</f>
        <v>0.51662404092071612</v>
      </c>
      <c r="CM113" s="113">
        <f>CM10/CI10-1</f>
        <v>0.55369928400954649</v>
      </c>
      <c r="CN113" s="113">
        <f>CN10/CJ10-1</f>
        <v>0.64285714285714279</v>
      </c>
      <c r="CO113" s="113">
        <f>CO10/CK10-1</f>
        <v>0.5</v>
      </c>
      <c r="CP113" s="113">
        <f>CP10/CL10-1</f>
        <v>0.39123102866779091</v>
      </c>
      <c r="CQ113" s="113">
        <f>CQ10/CM10-1</f>
        <v>0.3195084485407067</v>
      </c>
      <c r="CR113" s="113">
        <f>CR10/CN10-1</f>
        <v>0.32678821879382891</v>
      </c>
      <c r="CS113" s="113">
        <f>CS10/CO10-1</f>
        <v>0.25</v>
      </c>
      <c r="CT113" s="113">
        <f>CT10/CP10-1</f>
        <v>0.19999999999999996</v>
      </c>
      <c r="CU113" s="113">
        <f>CU10/CQ10-1</f>
        <v>0.19999999999999996</v>
      </c>
      <c r="CV113" s="113">
        <f>CV10/CR10-1</f>
        <v>0.19999999999999996</v>
      </c>
      <c r="CW113" s="113">
        <f>CW10/CS10-1</f>
        <v>0.19999999999999996</v>
      </c>
      <c r="CX113" s="113">
        <f>CX10/CT10-1</f>
        <v>0.19999999999999996</v>
      </c>
      <c r="CY113" s="113"/>
      <c r="CZ113" s="113"/>
      <c r="DA113" s="112"/>
      <c r="DB113" s="112"/>
      <c r="DC113" s="112"/>
      <c r="DD113" s="112"/>
      <c r="DE113" s="112"/>
      <c r="DF113" s="114"/>
      <c r="DG113" s="112"/>
      <c r="DH113" s="112"/>
      <c r="DI113" s="112"/>
      <c r="DJ113" s="112"/>
      <c r="DK113" s="112"/>
      <c r="DL113" s="112"/>
      <c r="DM113" s="112"/>
      <c r="DN113" s="112"/>
      <c r="DO113" s="112"/>
      <c r="DP113" s="112"/>
      <c r="DQ113" s="112"/>
      <c r="DR113" s="112"/>
      <c r="DS113" s="112"/>
      <c r="DT113" s="112"/>
      <c r="DU113" s="112"/>
      <c r="DV113" s="112"/>
      <c r="DW113" s="112"/>
      <c r="DX113" s="112"/>
    </row>
    <row r="114" spans="1:128" s="115" customFormat="1">
      <c r="A114" s="111"/>
      <c r="B114" s="140" t="s">
        <v>634</v>
      </c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  <c r="AW114" s="112"/>
      <c r="AX114" s="112"/>
      <c r="AY114" s="112"/>
      <c r="AZ114" s="112"/>
      <c r="BA114" s="112"/>
      <c r="BB114" s="112"/>
      <c r="BC114" s="112"/>
      <c r="BD114" s="112"/>
      <c r="BE114" s="112"/>
      <c r="BF114" s="112"/>
      <c r="BG114" s="112"/>
      <c r="BH114" s="112"/>
      <c r="BI114" s="112"/>
      <c r="BJ114" s="112"/>
      <c r="BK114" s="112"/>
      <c r="BL114" s="112"/>
      <c r="BM114" s="112"/>
      <c r="BN114" s="112"/>
      <c r="BO114" s="113"/>
      <c r="BP114" s="112"/>
      <c r="BQ114" s="112"/>
      <c r="BR114" s="112"/>
      <c r="BS114" s="112"/>
      <c r="BT114" s="112"/>
      <c r="BU114" s="112"/>
      <c r="BV114" s="112"/>
      <c r="BW114" s="113"/>
      <c r="BX114" s="113"/>
      <c r="BY114" s="113"/>
      <c r="BZ114" s="113"/>
      <c r="CA114" s="113"/>
      <c r="CB114" s="113"/>
      <c r="CC114" s="113">
        <f>CC6/BY6-1</f>
        <v>0.2936893203883495</v>
      </c>
      <c r="CD114" s="113">
        <f>CD6/BZ6-1</f>
        <v>0.3089622641509433</v>
      </c>
      <c r="CE114" s="113">
        <f>CE6/CA6-1</f>
        <v>0.20346320346320357</v>
      </c>
      <c r="CF114" s="113">
        <f>CF6/CB6-1</f>
        <v>0.22764227642276413</v>
      </c>
      <c r="CG114" s="113">
        <f>CG6/CC6-1</f>
        <v>0.15947467166979368</v>
      </c>
      <c r="CH114" s="113">
        <f>CH6/CD6-1</f>
        <v>0.14234234234234244</v>
      </c>
      <c r="CI114" s="113">
        <f>CI6/CE6-1</f>
        <v>7.7338129496402841E-2</v>
      </c>
      <c r="CJ114" s="113">
        <f>CJ6/CF6-1</f>
        <v>0.15066225165562908</v>
      </c>
      <c r="CK114" s="113">
        <f>CK6/CG6-1</f>
        <v>0.19255663430420711</v>
      </c>
      <c r="CL114" s="113">
        <f>CL6/CH6-1</f>
        <v>0.18611987381703465</v>
      </c>
      <c r="CM114" s="113">
        <f>CM6/CI6-1</f>
        <v>0.5025041736227045</v>
      </c>
      <c r="CN114" s="113">
        <f>CN6/CJ6-1</f>
        <v>0.54820143884892092</v>
      </c>
      <c r="CO114" s="113">
        <f>CO6/CK6-1</f>
        <v>0.52781546811397551</v>
      </c>
      <c r="CP114" s="113">
        <f>CP6/CL6-1</f>
        <v>0.50930851063829796</v>
      </c>
      <c r="CQ114" s="113">
        <f>CQ6/CM6-1</f>
        <v>0.23666666666666658</v>
      </c>
      <c r="CR114" s="113">
        <f>CR6/CN6-1</f>
        <v>6.5985130111524182E-2</v>
      </c>
      <c r="CS114" s="113">
        <f>CS6/CO6-1</f>
        <v>0.10000000000000009</v>
      </c>
      <c r="CT114" s="113">
        <f>CT6/CP6-1</f>
        <v>0.10000000000000009</v>
      </c>
      <c r="CU114" s="113">
        <f>CU6/CQ6-1</f>
        <v>0.10000000000000009</v>
      </c>
      <c r="CV114" s="113">
        <f>CV6/CR6-1</f>
        <v>0.10000000000000009</v>
      </c>
      <c r="CW114" s="113">
        <f>CW6/CS6-1</f>
        <v>0.10000000000000009</v>
      </c>
      <c r="CX114" s="113">
        <f>CX6/CT6-1</f>
        <v>0.10000000000000009</v>
      </c>
      <c r="CY114" s="113"/>
      <c r="CZ114" s="113"/>
      <c r="DA114" s="112"/>
      <c r="DB114" s="112"/>
      <c r="DC114" s="112"/>
      <c r="DD114" s="112"/>
      <c r="DE114" s="112"/>
      <c r="DF114" s="114"/>
      <c r="DG114" s="112"/>
      <c r="DH114" s="112"/>
      <c r="DI114" s="112"/>
      <c r="DJ114" s="112"/>
      <c r="DK114" s="112"/>
      <c r="DL114" s="112"/>
      <c r="DM114" s="112"/>
      <c r="DN114" s="112"/>
      <c r="DO114" s="112"/>
      <c r="DP114" s="112"/>
      <c r="DQ114" s="112"/>
      <c r="DR114" s="112"/>
      <c r="DS114" s="112"/>
      <c r="DT114" s="112"/>
      <c r="DU114" s="112"/>
      <c r="DV114" s="112"/>
      <c r="DW114" s="112"/>
      <c r="DX114" s="112"/>
    </row>
    <row r="115" spans="1:128" s="104" customFormat="1">
      <c r="B115" s="104" t="s">
        <v>241</v>
      </c>
      <c r="C115" s="105"/>
      <c r="D115" s="105"/>
      <c r="E115" s="105"/>
      <c r="F115" s="105"/>
      <c r="G115" s="105"/>
      <c r="H115" s="105"/>
      <c r="I115" s="105"/>
      <c r="J115" s="105"/>
      <c r="K115" s="105"/>
      <c r="L115" s="106"/>
      <c r="M115" s="106"/>
      <c r="N115" s="106"/>
      <c r="O115" s="106"/>
      <c r="P115" s="106"/>
      <c r="Q115" s="106">
        <f>Q18/M18-1</f>
        <v>-4.9000000000000044E-2</v>
      </c>
      <c r="R115" s="106">
        <f>R18/N18-1</f>
        <v>0.32296650717703357</v>
      </c>
      <c r="S115" s="106">
        <f>S18/O18-1</f>
        <v>0.12834224598930488</v>
      </c>
      <c r="T115" s="106">
        <f>T18/P18-1</f>
        <v>0.35129068462401802</v>
      </c>
      <c r="U115" s="106">
        <f>U18/Q18-1</f>
        <v>0.18506834910620396</v>
      </c>
      <c r="V115" s="106">
        <f>V18/R18-1</f>
        <v>0.12748643761301981</v>
      </c>
      <c r="W115" s="106">
        <f>W18/S18-1</f>
        <v>0.12701421800947865</v>
      </c>
      <c r="X115" s="106">
        <f>X18/T18-1</f>
        <v>6.5614617940199293E-2</v>
      </c>
      <c r="Y115" s="106">
        <f>Y18/U18-1</f>
        <v>0.13575865128660158</v>
      </c>
      <c r="Z115" s="106">
        <f>Z18/V18-1</f>
        <v>0.14675220529270239</v>
      </c>
      <c r="AA115" s="106">
        <f>AA18/W18-1</f>
        <v>0.1000841042893188</v>
      </c>
      <c r="AB115" s="106">
        <f>AB18/X18-1</f>
        <v>2.2603273577552541E-2</v>
      </c>
      <c r="AC115" s="106">
        <f>AC18/Y18-1</f>
        <v>1.0156250000000089E-2</v>
      </c>
      <c r="AD115" s="106">
        <f>AD18/Z18-1</f>
        <v>-8.8811188811188768E-2</v>
      </c>
      <c r="AE115" s="106">
        <f>AE18/AA18-1</f>
        <v>-5.3516819571865493E-2</v>
      </c>
      <c r="AF115" s="106">
        <f>AF18/AB18-1</f>
        <v>8.3841463414633388E-3</v>
      </c>
      <c r="AG115" s="106">
        <f>AG18/AC18-1</f>
        <v>1.7014694508894035E-2</v>
      </c>
      <c r="AH115" s="106">
        <f>AH18/AD18-1</f>
        <v>1.6116653875671627E-2</v>
      </c>
      <c r="AI115" s="106">
        <f>AI18/AE18-1</f>
        <v>-3.7156704361874016E-2</v>
      </c>
      <c r="AJ115" s="106">
        <f>AJ18/AF18-1</f>
        <v>-5.8201058201058253E-2</v>
      </c>
      <c r="AK115" s="106">
        <f>AK18/AG18-1</f>
        <v>-5.4752851711026618E-2</v>
      </c>
      <c r="AL115" s="106">
        <f>AL18/AH18-1</f>
        <v>-3.4743202416918417E-2</v>
      </c>
      <c r="AM115" s="106">
        <f>AM18/AI18-1</f>
        <v>3.9429530201342322E-2</v>
      </c>
      <c r="AN115" s="106">
        <f>AN18/AJ18-1</f>
        <v>8.82825040128421E-3</v>
      </c>
      <c r="AO115" s="106">
        <f>AO18/AK18-1</f>
        <v>-8.045052292839916E-4</v>
      </c>
      <c r="AP115" s="106">
        <f>AP18/AL18-1</f>
        <v>-3.6776212832550836E-2</v>
      </c>
      <c r="AQ115" s="106">
        <f>AQ18/AM18-1</f>
        <v>-6.2953995157384979E-2</v>
      </c>
      <c r="AR115" s="106">
        <f>AR18/AN18-1</f>
        <v>-3.9777247414478967E-2</v>
      </c>
      <c r="AS115" s="106">
        <f>AS18/AO18-1</f>
        <v>-0.12318840579710144</v>
      </c>
      <c r="AT115" s="106">
        <f>AT18/AP18-1</f>
        <v>-0.1332250203086921</v>
      </c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06"/>
      <c r="BK115" s="106"/>
      <c r="BL115" s="106"/>
      <c r="BM115" s="106"/>
      <c r="BN115" s="106"/>
      <c r="BO115" s="138"/>
      <c r="BP115" s="106"/>
      <c r="BQ115" s="106"/>
      <c r="BR115" s="106"/>
      <c r="BS115" s="106"/>
      <c r="BT115" s="106"/>
      <c r="BU115" s="106"/>
      <c r="BV115" s="106"/>
      <c r="BW115" s="106"/>
      <c r="BX115" s="106"/>
      <c r="BY115" s="106"/>
      <c r="BZ115" s="106"/>
      <c r="CA115" s="106"/>
      <c r="CB115" s="106"/>
      <c r="CC115" s="106"/>
      <c r="CD115" s="106"/>
      <c r="CE115" s="106"/>
      <c r="CF115" s="106"/>
      <c r="CG115" s="106"/>
      <c r="CH115" s="106"/>
      <c r="CI115" s="106"/>
      <c r="CJ115" s="106"/>
      <c r="CK115" s="106"/>
      <c r="CL115" s="106"/>
      <c r="CM115" s="106"/>
      <c r="CN115" s="106"/>
      <c r="CO115" s="106"/>
      <c r="CP115" s="106"/>
      <c r="CQ115" s="106"/>
      <c r="CR115" s="106"/>
      <c r="CS115" s="106"/>
      <c r="CT115" s="106"/>
      <c r="CU115" s="106"/>
      <c r="CV115" s="106"/>
      <c r="CW115" s="106"/>
      <c r="CX115" s="106"/>
      <c r="CY115" s="106"/>
      <c r="CZ115" s="106"/>
      <c r="DA115" s="106"/>
      <c r="DB115" s="106"/>
      <c r="DC115" s="106"/>
      <c r="DD115" s="105"/>
      <c r="DE115" s="105"/>
      <c r="DF115" s="107"/>
      <c r="DG115" s="105"/>
      <c r="DH115" s="105"/>
      <c r="DI115" s="105"/>
      <c r="DJ115" s="105"/>
      <c r="DK115" s="105"/>
      <c r="DL115" s="108"/>
      <c r="DM115" s="108"/>
      <c r="DN115" s="108"/>
      <c r="DO115" s="108"/>
      <c r="DP115" s="108"/>
      <c r="DQ115" s="109"/>
      <c r="DR115" s="109"/>
      <c r="DS115" s="109"/>
      <c r="DT115" s="109"/>
      <c r="DU115" s="109"/>
      <c r="DV115" s="109"/>
      <c r="DW115" s="109"/>
      <c r="DX115" s="109"/>
    </row>
    <row r="116" spans="1:128" s="104" customFormat="1">
      <c r="B116" s="104" t="s">
        <v>240</v>
      </c>
      <c r="C116" s="105"/>
      <c r="D116" s="105"/>
      <c r="E116" s="105"/>
      <c r="F116" s="105"/>
      <c r="G116" s="105"/>
      <c r="H116" s="105"/>
      <c r="I116" s="105"/>
      <c r="J116" s="105"/>
      <c r="K116" s="105"/>
      <c r="L116" s="106"/>
      <c r="M116" s="106"/>
      <c r="N116" s="106"/>
      <c r="O116" s="106"/>
      <c r="P116" s="106"/>
      <c r="Q116" s="106">
        <f t="shared" ref="Q116:AT116" si="234">Q62/M62-1</f>
        <v>0.53333333333333344</v>
      </c>
      <c r="R116" s="106">
        <f t="shared" si="234"/>
        <v>0.31308411214953269</v>
      </c>
      <c r="S116" s="106">
        <f t="shared" si="234"/>
        <v>0.4129464285714286</v>
      </c>
      <c r="T116" s="106">
        <f t="shared" si="234"/>
        <v>0.36680327868852469</v>
      </c>
      <c r="U116" s="106">
        <f t="shared" si="234"/>
        <v>0.33459357277882806</v>
      </c>
      <c r="V116" s="106">
        <f t="shared" si="234"/>
        <v>0.34341637010676163</v>
      </c>
      <c r="W116" s="106">
        <f t="shared" si="234"/>
        <v>0.27488151658767768</v>
      </c>
      <c r="X116" s="106">
        <f t="shared" si="234"/>
        <v>0.27286356821589197</v>
      </c>
      <c r="Y116" s="106">
        <f t="shared" si="234"/>
        <v>0.20113314447592079</v>
      </c>
      <c r="Z116" s="106">
        <f t="shared" si="234"/>
        <v>0.20794701986754971</v>
      </c>
      <c r="AA116" s="106">
        <f t="shared" si="234"/>
        <v>0.14374225526641893</v>
      </c>
      <c r="AB116" s="106">
        <f t="shared" si="234"/>
        <v>0.13427561837455837</v>
      </c>
      <c r="AC116" s="106">
        <f t="shared" si="234"/>
        <v>0.24410377358490565</v>
      </c>
      <c r="AD116" s="106">
        <f t="shared" si="234"/>
        <v>0.19078947368421062</v>
      </c>
      <c r="AE116" s="106">
        <f t="shared" si="234"/>
        <v>0.13759479956663045</v>
      </c>
      <c r="AF116" s="106">
        <f t="shared" si="234"/>
        <v>0.1547248182762202</v>
      </c>
      <c r="AG116" s="106">
        <f t="shared" si="234"/>
        <v>7.1090047393364886E-2</v>
      </c>
      <c r="AH116" s="106">
        <f t="shared" si="234"/>
        <v>6.8139963167587414E-2</v>
      </c>
      <c r="AI116" s="106">
        <f t="shared" si="234"/>
        <v>7.1428571428571397E-2</v>
      </c>
      <c r="AJ116" s="106">
        <f t="shared" si="234"/>
        <v>0.12320143884892087</v>
      </c>
      <c r="AK116" s="106">
        <f t="shared" si="234"/>
        <v>8.9380530973451222E-2</v>
      </c>
      <c r="AL116" s="106">
        <f t="shared" si="234"/>
        <v>8.7068965517241415E-2</v>
      </c>
      <c r="AM116" s="106">
        <f t="shared" si="234"/>
        <v>0.1617777777777778</v>
      </c>
      <c r="AN116" s="106">
        <f t="shared" si="234"/>
        <v>8.2465972778222651E-2</v>
      </c>
      <c r="AO116" s="106">
        <f t="shared" si="234"/>
        <v>5.84890333062551E-2</v>
      </c>
      <c r="AP116" s="106">
        <f t="shared" si="234"/>
        <v>6.2648691514670896E-2</v>
      </c>
      <c r="AQ116" s="106">
        <f t="shared" si="234"/>
        <v>2.9074215761285327E-2</v>
      </c>
      <c r="AR116" s="106">
        <f t="shared" si="234"/>
        <v>3.0000000000000027E-2</v>
      </c>
      <c r="AS116" s="106">
        <f t="shared" si="234"/>
        <v>7.444359171143522E-2</v>
      </c>
      <c r="AT116" s="106">
        <f t="shared" si="234"/>
        <v>0.15373134328358207</v>
      </c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06"/>
      <c r="BK116" s="106"/>
      <c r="BL116" s="106"/>
      <c r="BM116" s="106"/>
      <c r="BN116" s="106"/>
      <c r="BO116" s="138"/>
      <c r="BP116" s="106"/>
      <c r="BQ116" s="106"/>
      <c r="BR116" s="106"/>
      <c r="BS116" s="106"/>
      <c r="BT116" s="106"/>
      <c r="BU116" s="106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G116" s="106"/>
      <c r="CH116" s="106"/>
      <c r="CI116" s="106"/>
      <c r="CJ116" s="106"/>
      <c r="CK116" s="106"/>
      <c r="CL116" s="106"/>
      <c r="CM116" s="106"/>
      <c r="CN116" s="106"/>
      <c r="CO116" s="106"/>
      <c r="CP116" s="106"/>
      <c r="CQ116" s="106"/>
      <c r="CR116" s="106"/>
      <c r="CS116" s="106"/>
      <c r="CT116" s="106"/>
      <c r="CU116" s="106"/>
      <c r="CV116" s="106"/>
      <c r="CW116" s="106"/>
      <c r="CX116" s="106"/>
      <c r="CY116" s="106"/>
      <c r="CZ116" s="106"/>
      <c r="DA116" s="106"/>
      <c r="DB116" s="106"/>
      <c r="DC116" s="106"/>
      <c r="DD116" s="105"/>
      <c r="DE116" s="105"/>
      <c r="DF116" s="107"/>
      <c r="DG116" s="105"/>
      <c r="DH116" s="105"/>
      <c r="DI116" s="105"/>
      <c r="DJ116" s="105"/>
      <c r="DK116" s="105"/>
      <c r="DL116" s="108"/>
      <c r="DM116" s="105"/>
      <c r="DN116" s="105"/>
      <c r="DO116" s="105"/>
      <c r="DP116" s="105"/>
      <c r="DQ116" s="105"/>
      <c r="DR116" s="105"/>
      <c r="DS116" s="105"/>
      <c r="DT116" s="105"/>
      <c r="DU116" s="105"/>
      <c r="DV116" s="105"/>
      <c r="DW116" s="105"/>
      <c r="DX116" s="105"/>
    </row>
    <row r="117" spans="1:128" s="104" customFormat="1">
      <c r="B117" s="104" t="s">
        <v>239</v>
      </c>
      <c r="C117" s="105"/>
      <c r="D117" s="105"/>
      <c r="E117" s="105"/>
      <c r="F117" s="105"/>
      <c r="G117" s="105"/>
      <c r="H117" s="105"/>
      <c r="I117" s="105"/>
      <c r="J117" s="105"/>
      <c r="K117" s="105"/>
      <c r="L117" s="106"/>
      <c r="M117" s="106"/>
      <c r="N117" s="106"/>
      <c r="O117" s="106"/>
      <c r="P117" s="106"/>
      <c r="Q117" s="106">
        <f>Q14/M14-1</f>
        <v>2.4210526315789473</v>
      </c>
      <c r="R117" s="106">
        <f>R14/N14-1</f>
        <v>6.6097560975609753</v>
      </c>
      <c r="S117" s="106">
        <f>S14/O14-1</f>
        <v>1.1162790697674421</v>
      </c>
      <c r="T117" s="106">
        <f>T14/P14-1</f>
        <v>0.5314009661835748</v>
      </c>
      <c r="U117" s="106">
        <f>U14/Q14-1</f>
        <v>0.25</v>
      </c>
      <c r="V117" s="106">
        <f>V14/R14-1</f>
        <v>0.13141025641025639</v>
      </c>
      <c r="W117" s="106">
        <f>W14/S14-1</f>
        <v>0.41758241758241765</v>
      </c>
      <c r="X117" s="106">
        <f>X14/T14-1</f>
        <v>0.51419558359621442</v>
      </c>
      <c r="Y117" s="106">
        <f>Y14/U14-1</f>
        <v>0.64923076923076928</v>
      </c>
      <c r="Z117" s="106">
        <f>Z14/V14-1</f>
        <v>0.77053824362606238</v>
      </c>
      <c r="AA117" s="106">
        <f>AA14/W14-1</f>
        <v>0.62273901808785537</v>
      </c>
      <c r="AB117" s="106">
        <f>AB14/X14-1</f>
        <v>0.41250000000000009</v>
      </c>
      <c r="AC117" s="106">
        <f>AC14/Y14-1</f>
        <v>0.28917910447761197</v>
      </c>
      <c r="AD117" s="106">
        <f>AD14/Z14-1</f>
        <v>0.27839999999999998</v>
      </c>
      <c r="AE117" s="106">
        <f>AE14/AA14-1</f>
        <v>0.22929936305732479</v>
      </c>
      <c r="AF117" s="106">
        <f>AF14/AB14-1</f>
        <v>0.35103244837758107</v>
      </c>
      <c r="AG117" s="106">
        <f>AG14/AC14-1</f>
        <v>0.33429811866859627</v>
      </c>
      <c r="AH117" s="106">
        <f>AH14/AD14-1</f>
        <v>0.23529411764705888</v>
      </c>
      <c r="AI117" s="106">
        <f>AI14/AE14-1</f>
        <v>0.25518134715025909</v>
      </c>
      <c r="AJ117" s="106">
        <f>AJ14/AF14-1</f>
        <v>0.23253275109170302</v>
      </c>
      <c r="AK117" s="106">
        <f>AK14/AG14-1</f>
        <v>0.24403470715835152</v>
      </c>
      <c r="AL117" s="106">
        <f>AL14/AH14-1</f>
        <v>0.2735562310030395</v>
      </c>
      <c r="AM117" s="106">
        <f>AM14/AI14-1</f>
        <v>0.34158926728586181</v>
      </c>
      <c r="AN117" s="106">
        <f>AN14/AJ14-1</f>
        <v>0.2666076173604961</v>
      </c>
      <c r="AO117" s="106">
        <f>AO14/AK14-1</f>
        <v>0.19790758500435923</v>
      </c>
      <c r="AP117" s="106">
        <f>AP14/AL14-1</f>
        <v>0.26252983293556076</v>
      </c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06"/>
      <c r="BK117" s="106"/>
      <c r="BL117" s="106"/>
      <c r="BM117" s="106"/>
      <c r="BN117" s="106"/>
      <c r="BO117" s="138"/>
      <c r="BP117" s="106"/>
      <c r="BQ117" s="106"/>
      <c r="BR117" s="106"/>
      <c r="BS117" s="106"/>
      <c r="BT117" s="106"/>
      <c r="BU117" s="106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G117" s="106"/>
      <c r="CH117" s="106"/>
      <c r="CI117" s="106"/>
      <c r="CJ117" s="106"/>
      <c r="CK117" s="106"/>
      <c r="CL117" s="106"/>
      <c r="CM117" s="106"/>
      <c r="CN117" s="106"/>
      <c r="CO117" s="106"/>
      <c r="CP117" s="106"/>
      <c r="CQ117" s="106"/>
      <c r="CR117" s="106"/>
      <c r="CS117" s="106"/>
      <c r="CT117" s="106"/>
      <c r="CU117" s="106"/>
      <c r="CV117" s="106"/>
      <c r="CW117" s="106"/>
      <c r="CX117" s="106"/>
      <c r="CY117" s="106"/>
      <c r="CZ117" s="106"/>
      <c r="DA117" s="106"/>
      <c r="DB117" s="106"/>
      <c r="DC117" s="106"/>
      <c r="DD117" s="105"/>
      <c r="DE117" s="105"/>
      <c r="DF117" s="107"/>
      <c r="DG117" s="105"/>
      <c r="DH117" s="105"/>
      <c r="DI117" s="105"/>
      <c r="DJ117" s="105"/>
      <c r="DK117" s="105"/>
      <c r="DL117" s="110"/>
      <c r="DM117" s="105"/>
      <c r="DN117" s="105"/>
      <c r="DO117" s="105"/>
      <c r="DP117" s="105"/>
      <c r="DQ117" s="105"/>
      <c r="DR117" s="105"/>
      <c r="DS117" s="105"/>
      <c r="DT117" s="105"/>
      <c r="DU117" s="105"/>
      <c r="DV117" s="105"/>
      <c r="DW117" s="105"/>
      <c r="DX117" s="105"/>
    </row>
    <row r="118" spans="1:128" s="104" customFormat="1">
      <c r="B118" s="104" t="s">
        <v>242</v>
      </c>
      <c r="C118" s="105"/>
      <c r="D118" s="105"/>
      <c r="E118" s="105"/>
      <c r="F118" s="105"/>
      <c r="G118" s="105"/>
      <c r="H118" s="105"/>
      <c r="I118" s="105"/>
      <c r="J118" s="105"/>
      <c r="K118" s="105"/>
      <c r="L118" s="106"/>
      <c r="M118" s="106"/>
      <c r="N118" s="106"/>
      <c r="O118" s="106"/>
      <c r="P118" s="106"/>
      <c r="Q118" s="106">
        <f>Q7/M7-1</f>
        <v>0.4453125</v>
      </c>
      <c r="R118" s="106">
        <f>R7/N7-1</f>
        <v>0.27325581395348841</v>
      </c>
      <c r="S118" s="106">
        <f>S7/O7-1</f>
        <v>0.31382978723404253</v>
      </c>
      <c r="T118" s="106">
        <f>T7/P7-1</f>
        <v>0.24390243902439024</v>
      </c>
      <c r="U118" s="106">
        <f>U7/Q7-1</f>
        <v>0.29729729729729737</v>
      </c>
      <c r="V118" s="106">
        <f>V7/R7-1</f>
        <v>0.20547945205479445</v>
      </c>
      <c r="W118" s="106">
        <f>W7/S7-1</f>
        <v>0.12145748987854255</v>
      </c>
      <c r="X118" s="106">
        <f>X7/T7-1</f>
        <v>0.20784313725490189</v>
      </c>
      <c r="Y118" s="106">
        <f>Y7/U7-1</f>
        <v>0.14999999999999991</v>
      </c>
      <c r="Z118" s="106">
        <f>Z7/V7-1</f>
        <v>0.2234848484848484</v>
      </c>
      <c r="AA118" s="106">
        <f>AA7/W7-1</f>
        <v>0.27797833935018046</v>
      </c>
      <c r="AB118" s="106">
        <f>AB7/X7-1</f>
        <v>0.3441558441558441</v>
      </c>
      <c r="AC118" s="106">
        <f>AC7/Y7-1</f>
        <v>0.34420289855072461</v>
      </c>
      <c r="AD118" s="106">
        <f>AD7/Z7-1</f>
        <v>0.34984520123839014</v>
      </c>
      <c r="AE118" s="106">
        <f>AE7/AA7-1</f>
        <v>0.33050847457627119</v>
      </c>
      <c r="AF118" s="106">
        <f>AF7/AB7-1</f>
        <v>0.25120772946859904</v>
      </c>
      <c r="AG118" s="106">
        <f>AG7/AC7-1</f>
        <v>0.3504043126684635</v>
      </c>
      <c r="AH118" s="106">
        <f>AH7/AD7-1</f>
        <v>0.17889908256880727</v>
      </c>
      <c r="AI118" s="106">
        <f>AI7/AE7-1</f>
        <v>9.3418259023354544E-2</v>
      </c>
      <c r="AJ118" s="106">
        <f>AJ7/AF7-1</f>
        <v>6.370656370656369E-2</v>
      </c>
      <c r="AK118" s="106">
        <f>AK7/AG7-1</f>
        <v>0.12175648702594821</v>
      </c>
      <c r="AL118" s="106">
        <f>AL7/AH7-1</f>
        <v>0.29571984435797671</v>
      </c>
      <c r="AM118" s="106">
        <f>AM7/AI7-1</f>
        <v>0.36116504854368925</v>
      </c>
      <c r="AN118" s="106">
        <f>AN7/AJ7-1</f>
        <v>0.20508166969147013</v>
      </c>
      <c r="AO118" s="106">
        <f>AO7/AK7-1</f>
        <v>0.13879003558718872</v>
      </c>
      <c r="AP118" s="106">
        <f>AP7/AL7-1</f>
        <v>0.11261261261261257</v>
      </c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106"/>
      <c r="BM118" s="106"/>
      <c r="BN118" s="106"/>
      <c r="BO118" s="138"/>
      <c r="BP118" s="106"/>
      <c r="BQ118" s="106"/>
      <c r="BR118" s="106"/>
      <c r="BS118" s="106"/>
      <c r="BT118" s="106"/>
      <c r="BU118" s="106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G118" s="106"/>
      <c r="CH118" s="106"/>
      <c r="CI118" s="106"/>
      <c r="CJ118" s="106"/>
      <c r="CK118" s="106"/>
      <c r="CL118" s="106"/>
      <c r="CM118" s="106"/>
      <c r="CN118" s="106"/>
      <c r="CO118" s="106"/>
      <c r="CP118" s="106"/>
      <c r="CQ118" s="106"/>
      <c r="CR118" s="106"/>
      <c r="CS118" s="106"/>
      <c r="CT118" s="106"/>
      <c r="CU118" s="106"/>
      <c r="CV118" s="106"/>
      <c r="CW118" s="106"/>
      <c r="CX118" s="106"/>
      <c r="CY118" s="106"/>
      <c r="CZ118" s="106"/>
      <c r="DA118" s="106"/>
      <c r="DB118" s="106"/>
      <c r="DC118" s="106"/>
      <c r="DD118" s="105"/>
      <c r="DE118" s="105"/>
      <c r="DF118" s="107"/>
      <c r="DG118" s="105"/>
      <c r="DH118" s="105"/>
      <c r="DI118" s="105"/>
      <c r="DJ118" s="105"/>
      <c r="DK118" s="105"/>
      <c r="DL118" s="105"/>
      <c r="DM118" s="105"/>
      <c r="DN118" s="105"/>
      <c r="DO118" s="105"/>
      <c r="DP118" s="105"/>
      <c r="DQ118" s="105"/>
      <c r="DR118" s="105"/>
      <c r="DS118" s="105"/>
      <c r="DT118" s="105"/>
      <c r="DU118" s="105"/>
      <c r="DV118" s="105"/>
      <c r="DW118" s="105"/>
      <c r="DX118" s="105"/>
    </row>
    <row r="119" spans="1:128">
      <c r="DF119" s="48"/>
    </row>
    <row r="120" spans="1:128">
      <c r="B120" s="103" t="s">
        <v>636</v>
      </c>
      <c r="CN120" s="76">
        <f>+CN121-CN132</f>
        <v>-24905</v>
      </c>
      <c r="CP120" s="76">
        <f>+CP121-CP132</f>
        <v>-19705</v>
      </c>
      <c r="CQ120" s="76">
        <f>+CQ121-CQ132</f>
        <v>-23512</v>
      </c>
      <c r="CR120" s="76">
        <f>+CR121-CR132</f>
        <v>-23212</v>
      </c>
      <c r="DF120" s="48"/>
    </row>
    <row r="121" spans="1:128" s="64" customFormat="1">
      <c r="A121" s="102"/>
      <c r="B121" s="103" t="s">
        <v>188</v>
      </c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>
        <v>4951</v>
      </c>
      <c r="AC121" s="34">
        <v>3428</v>
      </c>
      <c r="AD121" s="34">
        <f>AE121+2640</f>
        <v>5890</v>
      </c>
      <c r="AE121" s="34">
        <f>+AE132-11752</f>
        <v>3250</v>
      </c>
      <c r="AF121" s="34"/>
      <c r="AG121" s="34">
        <v>1726</v>
      </c>
      <c r="AH121" s="34"/>
      <c r="AI121" s="34"/>
      <c r="AJ121" s="34"/>
      <c r="AK121" s="34"/>
      <c r="AL121" s="34">
        <v>11402</v>
      </c>
      <c r="AM121" s="34">
        <v>7366</v>
      </c>
      <c r="AN121" s="34">
        <f>9088+193</f>
        <v>9281</v>
      </c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76"/>
      <c r="BP121" s="34"/>
      <c r="BQ121" s="34"/>
      <c r="BR121" s="34"/>
      <c r="BS121" s="34"/>
      <c r="BT121" s="34"/>
      <c r="BU121" s="34"/>
      <c r="BV121" s="34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76"/>
      <c r="CJ121" s="76"/>
      <c r="CK121" s="76"/>
      <c r="CL121" s="76"/>
      <c r="CM121" s="76"/>
      <c r="CN121" s="167">
        <f>5664+44+148+163+1071+72</f>
        <v>7162</v>
      </c>
      <c r="CO121" s="76"/>
      <c r="CP121" s="76">
        <f>5840+122+147+1530+228+116</f>
        <v>7983</v>
      </c>
      <c r="CQ121" s="76">
        <f>7841+180+11+213+1565+130</f>
        <v>9940</v>
      </c>
      <c r="CR121" s="76">
        <f>6916+28+160+217+1607+264</f>
        <v>9192</v>
      </c>
      <c r="CS121" s="76"/>
      <c r="CT121" s="76"/>
      <c r="CU121" s="76"/>
      <c r="CV121" s="76"/>
      <c r="CW121" s="76"/>
      <c r="CX121" s="76"/>
      <c r="CY121" s="76"/>
      <c r="CZ121" s="76"/>
      <c r="DA121" s="34"/>
      <c r="DB121" s="34"/>
      <c r="DC121" s="34"/>
      <c r="DD121" s="34"/>
      <c r="DE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</row>
    <row r="122" spans="1:128" s="64" customFormat="1">
      <c r="A122" s="102"/>
      <c r="B122" s="103" t="s">
        <v>404</v>
      </c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>
        <f>3045+1276</f>
        <v>4321</v>
      </c>
      <c r="AN122" s="34">
        <f>3328+1206</f>
        <v>4534</v>
      </c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76"/>
      <c r="BP122" s="34"/>
      <c r="BQ122" s="34"/>
      <c r="BR122" s="34"/>
      <c r="BS122" s="34"/>
      <c r="BT122" s="34"/>
      <c r="BU122" s="34"/>
      <c r="BV122" s="34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76">
        <f>840+3736</f>
        <v>4576</v>
      </c>
      <c r="CO122" s="76"/>
      <c r="CP122" s="76">
        <f>1426+4718</f>
        <v>6144</v>
      </c>
      <c r="CQ122" s="76">
        <f>1153+4618</f>
        <v>5771</v>
      </c>
      <c r="CR122" s="76">
        <f>1575+4734</f>
        <v>6309</v>
      </c>
      <c r="CS122" s="76"/>
      <c r="CT122" s="76"/>
      <c r="CU122" s="76"/>
      <c r="CV122" s="76"/>
      <c r="CW122" s="76"/>
      <c r="CX122" s="76"/>
      <c r="CY122" s="76"/>
      <c r="CZ122" s="76"/>
      <c r="DA122" s="34"/>
      <c r="DB122" s="34"/>
      <c r="DC122" s="34"/>
      <c r="DD122" s="34"/>
      <c r="DE122" s="34"/>
      <c r="DF122" s="34"/>
      <c r="DG122" s="34"/>
      <c r="DH122" s="34"/>
      <c r="DI122" s="34"/>
      <c r="DJ122" s="34"/>
      <c r="DK122" s="34"/>
      <c r="DL122" s="34"/>
      <c r="DM122" s="34"/>
      <c r="DN122" s="34"/>
      <c r="DO122" s="34"/>
      <c r="DP122" s="34"/>
      <c r="DQ122" s="34"/>
      <c r="DR122" s="34"/>
      <c r="DS122" s="34"/>
      <c r="DT122" s="34"/>
      <c r="DU122" s="34"/>
      <c r="DV122" s="34"/>
      <c r="DW122" s="34"/>
      <c r="DX122" s="34"/>
    </row>
    <row r="123" spans="1:128" s="64" customFormat="1">
      <c r="A123" s="102"/>
      <c r="B123" s="103" t="s">
        <v>405</v>
      </c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>
        <f>2030+192</f>
        <v>2222</v>
      </c>
      <c r="AN123" s="34">
        <v>1964</v>
      </c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76"/>
      <c r="BP123" s="34"/>
      <c r="BQ123" s="34"/>
      <c r="BR123" s="34"/>
      <c r="BS123" s="34"/>
      <c r="BT123" s="34"/>
      <c r="BU123" s="34"/>
      <c r="BV123" s="34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/>
      <c r="CO123" s="76"/>
      <c r="CP123" s="76"/>
      <c r="CQ123" s="76"/>
      <c r="CR123" s="76"/>
      <c r="CS123" s="76"/>
      <c r="CT123" s="76"/>
      <c r="CU123" s="76"/>
      <c r="CV123" s="76"/>
      <c r="CW123" s="76"/>
      <c r="CX123" s="76"/>
      <c r="CY123" s="76"/>
      <c r="CZ123" s="76"/>
      <c r="DA123" s="34"/>
      <c r="DB123" s="34"/>
      <c r="DC123" s="34"/>
      <c r="DD123" s="34"/>
      <c r="DE123" s="34"/>
      <c r="DF123" s="34"/>
      <c r="DG123" s="34"/>
      <c r="DH123" s="34"/>
      <c r="DI123" s="34"/>
      <c r="DJ123" s="34"/>
      <c r="DK123" s="34"/>
      <c r="DL123" s="34"/>
      <c r="DM123" s="34"/>
      <c r="DN123" s="34"/>
      <c r="DO123" s="34"/>
      <c r="DP123" s="34"/>
      <c r="DQ123" s="34"/>
      <c r="DR123" s="34"/>
      <c r="DS123" s="34"/>
      <c r="DT123" s="34"/>
      <c r="DU123" s="34"/>
      <c r="DV123" s="34"/>
      <c r="DW123" s="34"/>
      <c r="DX123" s="34"/>
    </row>
    <row r="124" spans="1:128" s="64" customFormat="1">
      <c r="A124" s="102"/>
      <c r="B124" s="103" t="s">
        <v>406</v>
      </c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>
        <v>8126</v>
      </c>
      <c r="AN124" s="34">
        <v>7307</v>
      </c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76"/>
      <c r="BP124" s="34"/>
      <c r="BQ124" s="34"/>
      <c r="BR124" s="34"/>
      <c r="BS124" s="34"/>
      <c r="BT124" s="34"/>
      <c r="BU124" s="34"/>
      <c r="BV124" s="34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>
        <f>11092+752</f>
        <v>11844</v>
      </c>
      <c r="CO124" s="76"/>
      <c r="CP124" s="76">
        <f>12126+803</f>
        <v>12929</v>
      </c>
      <c r="CQ124" s="76">
        <f>11072+745</f>
        <v>11817</v>
      </c>
      <c r="CR124" s="76">
        <f>11047+806</f>
        <v>11853</v>
      </c>
      <c r="CS124" s="76"/>
      <c r="CT124" s="76"/>
      <c r="CU124" s="76"/>
      <c r="CV124" s="76"/>
      <c r="CW124" s="76"/>
      <c r="CX124" s="76"/>
      <c r="CY124" s="76"/>
      <c r="CZ124" s="76"/>
      <c r="DA124" s="34"/>
      <c r="DB124" s="34"/>
      <c r="DC124" s="34"/>
      <c r="DD124" s="34"/>
      <c r="DE124" s="34"/>
      <c r="DF124" s="34"/>
      <c r="DG124" s="34"/>
      <c r="DH124" s="34"/>
      <c r="DI124" s="34"/>
      <c r="DJ124" s="34"/>
      <c r="DK124" s="34"/>
      <c r="DL124" s="34"/>
      <c r="DM124" s="34"/>
      <c r="DN124" s="34"/>
      <c r="DO124" s="34"/>
      <c r="DP124" s="34"/>
      <c r="DQ124" s="34"/>
      <c r="DR124" s="34"/>
      <c r="DS124" s="34"/>
      <c r="DT124" s="34"/>
      <c r="DU124" s="34"/>
      <c r="DV124" s="34"/>
      <c r="DW124" s="34"/>
      <c r="DX124" s="34"/>
    </row>
    <row r="125" spans="1:128" s="64" customFormat="1">
      <c r="A125" s="102"/>
      <c r="B125" s="103" t="s">
        <v>407</v>
      </c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>
        <v>1780</v>
      </c>
      <c r="AN125" s="34">
        <v>1689</v>
      </c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76"/>
      <c r="BP125" s="34"/>
      <c r="BQ125" s="34"/>
      <c r="BR125" s="34"/>
      <c r="BS125" s="34"/>
      <c r="BT125" s="34"/>
      <c r="BU125" s="34"/>
      <c r="BV125" s="34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>
        <v>5051</v>
      </c>
      <c r="CO125" s="76"/>
      <c r="CP125" s="76">
        <v>5424</v>
      </c>
      <c r="CQ125" s="76">
        <v>5337</v>
      </c>
      <c r="CR125" s="76">
        <v>5667</v>
      </c>
      <c r="CS125" s="76"/>
      <c r="CT125" s="76"/>
      <c r="CU125" s="76"/>
      <c r="CV125" s="76"/>
      <c r="CW125" s="76"/>
      <c r="CX125" s="76"/>
      <c r="CY125" s="76"/>
      <c r="CZ125" s="76"/>
      <c r="DA125" s="34"/>
      <c r="DB125" s="34"/>
      <c r="DC125" s="34"/>
      <c r="DD125" s="34"/>
      <c r="DE125" s="34"/>
      <c r="DF125" s="34"/>
      <c r="DG125" s="34"/>
      <c r="DH125" s="34"/>
      <c r="DI125" s="34"/>
      <c r="DJ125" s="34"/>
      <c r="DK125" s="34"/>
      <c r="DL125" s="34"/>
      <c r="DM125" s="34"/>
      <c r="DN125" s="34"/>
      <c r="DO125" s="34"/>
      <c r="DP125" s="34"/>
      <c r="DQ125" s="34"/>
      <c r="DR125" s="34"/>
      <c r="DS125" s="34"/>
      <c r="DT125" s="34"/>
      <c r="DU125" s="34"/>
      <c r="DV125" s="34"/>
      <c r="DW125" s="34"/>
      <c r="DX125" s="34"/>
    </row>
    <row r="126" spans="1:128" s="64" customFormat="1">
      <c r="A126" s="102"/>
      <c r="B126" s="103" t="s">
        <v>408</v>
      </c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>
        <v>287</v>
      </c>
      <c r="AN126" s="34">
        <v>370</v>
      </c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76"/>
      <c r="BP126" s="34"/>
      <c r="BQ126" s="34"/>
      <c r="BR126" s="34"/>
      <c r="BS126" s="34"/>
      <c r="BT126" s="34"/>
      <c r="BU126" s="34"/>
      <c r="BV126" s="34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  <c r="CT126" s="76"/>
      <c r="CU126" s="76"/>
      <c r="CV126" s="76"/>
      <c r="CW126" s="76"/>
      <c r="CX126" s="76"/>
      <c r="CY126" s="76"/>
      <c r="CZ126" s="76"/>
      <c r="DA126" s="34"/>
      <c r="DB126" s="34"/>
      <c r="DC126" s="34"/>
      <c r="DD126" s="34"/>
      <c r="DE126" s="34"/>
      <c r="DF126" s="34"/>
      <c r="DG126" s="34"/>
      <c r="DH126" s="34"/>
      <c r="DI126" s="34"/>
      <c r="DJ126" s="34"/>
      <c r="DK126" s="34"/>
      <c r="DL126" s="34"/>
      <c r="DM126" s="34"/>
      <c r="DN126" s="34"/>
      <c r="DO126" s="34"/>
      <c r="DP126" s="34"/>
      <c r="DQ126" s="34"/>
      <c r="DR126" s="34"/>
      <c r="DS126" s="34"/>
      <c r="DT126" s="34"/>
      <c r="DU126" s="34"/>
      <c r="DV126" s="34"/>
      <c r="DW126" s="34"/>
      <c r="DX126" s="34"/>
    </row>
    <row r="127" spans="1:128" s="64" customFormat="1">
      <c r="A127" s="102"/>
      <c r="B127" s="103" t="s">
        <v>409</v>
      </c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>
        <f>13040+9866</f>
        <v>22906</v>
      </c>
      <c r="AN127" s="34">
        <f>9846+12832</f>
        <v>22678</v>
      </c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76"/>
      <c r="BP127" s="34"/>
      <c r="BQ127" s="34"/>
      <c r="BR127" s="34"/>
      <c r="BS127" s="34"/>
      <c r="BT127" s="34"/>
      <c r="BU127" s="34"/>
      <c r="BV127" s="34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>
        <f>38326+19960</f>
        <v>58286</v>
      </c>
      <c r="CO127" s="76"/>
      <c r="CP127" s="76">
        <f>38089+20048</f>
        <v>58137</v>
      </c>
      <c r="CQ127" s="76">
        <f>38834+19978</f>
        <v>58812</v>
      </c>
      <c r="CR127" s="76">
        <f>39426+21060</f>
        <v>60486</v>
      </c>
      <c r="CS127" s="76"/>
      <c r="CT127" s="76"/>
      <c r="CU127" s="76"/>
      <c r="CV127" s="76"/>
      <c r="CW127" s="76"/>
      <c r="CX127" s="76"/>
      <c r="CY127" s="76"/>
      <c r="CZ127" s="76"/>
      <c r="DA127" s="34"/>
      <c r="DB127" s="34"/>
      <c r="DC127" s="34"/>
      <c r="DD127" s="34"/>
      <c r="DE127" s="34"/>
      <c r="DF127" s="34"/>
      <c r="DG127" s="34"/>
      <c r="DH127" s="34"/>
      <c r="DI127" s="34"/>
      <c r="DJ127" s="34"/>
      <c r="DK127" s="34"/>
      <c r="DL127" s="34"/>
      <c r="DM127" s="34"/>
      <c r="DN127" s="34"/>
      <c r="DO127" s="34"/>
      <c r="DP127" s="34"/>
      <c r="DQ127" s="34"/>
      <c r="DR127" s="34"/>
      <c r="DS127" s="34"/>
      <c r="DT127" s="34"/>
      <c r="DU127" s="34"/>
      <c r="DV127" s="34"/>
      <c r="DW127" s="34"/>
      <c r="DX127" s="34"/>
    </row>
    <row r="128" spans="1:128" s="64" customFormat="1">
      <c r="A128" s="102"/>
      <c r="B128" s="136" t="s">
        <v>631</v>
      </c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76"/>
      <c r="BP128" s="34"/>
      <c r="BQ128" s="34"/>
      <c r="BR128" s="34"/>
      <c r="BS128" s="34"/>
      <c r="BT128" s="34"/>
      <c r="BU128" s="34"/>
      <c r="BV128" s="34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>
        <v>949</v>
      </c>
      <c r="CO128" s="76"/>
      <c r="CP128" s="76">
        <v>1100</v>
      </c>
      <c r="CQ128" s="76">
        <v>1205</v>
      </c>
      <c r="CR128" s="76">
        <v>1203</v>
      </c>
      <c r="CS128" s="76"/>
      <c r="CT128" s="76"/>
      <c r="CU128" s="76"/>
      <c r="CV128" s="76"/>
      <c r="CW128" s="76"/>
      <c r="CX128" s="76"/>
      <c r="CY128" s="76"/>
      <c r="CZ128" s="76"/>
      <c r="DA128" s="34"/>
      <c r="DB128" s="34"/>
      <c r="DC128" s="34"/>
      <c r="DD128" s="34"/>
      <c r="DE128" s="34"/>
      <c r="DF128" s="34"/>
      <c r="DG128" s="34"/>
      <c r="DH128" s="34"/>
      <c r="DI128" s="34"/>
      <c r="DJ128" s="34"/>
      <c r="DK128" s="34"/>
      <c r="DL128" s="34"/>
      <c r="DM128" s="34"/>
      <c r="DN128" s="34"/>
      <c r="DO128" s="34"/>
      <c r="DP128" s="34"/>
      <c r="DQ128" s="34"/>
      <c r="DR128" s="34"/>
      <c r="DS128" s="34"/>
      <c r="DT128" s="34"/>
      <c r="DU128" s="34"/>
      <c r="DV128" s="34"/>
      <c r="DW128" s="34"/>
      <c r="DX128" s="34"/>
    </row>
    <row r="129" spans="1:128" s="64" customFormat="1">
      <c r="A129" s="102"/>
      <c r="B129" s="103" t="s">
        <v>410</v>
      </c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>
        <v>7067</v>
      </c>
      <c r="AN129" s="34">
        <v>6824</v>
      </c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76"/>
      <c r="BP129" s="34"/>
      <c r="BQ129" s="34"/>
      <c r="BR129" s="34"/>
      <c r="BS129" s="34"/>
      <c r="BT129" s="34"/>
      <c r="BU129" s="34"/>
      <c r="BV129" s="34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>
        <v>8675</v>
      </c>
      <c r="CO129" s="76"/>
      <c r="CP129" s="76">
        <v>9402</v>
      </c>
      <c r="CQ129" s="76">
        <v>9411</v>
      </c>
      <c r="CR129" s="76">
        <v>9630</v>
      </c>
      <c r="CS129" s="76"/>
      <c r="CT129" s="76"/>
      <c r="CU129" s="76"/>
      <c r="CV129" s="76"/>
      <c r="CW129" s="76"/>
      <c r="CX129" s="76"/>
      <c r="CY129" s="76"/>
      <c r="CZ129" s="76"/>
      <c r="DA129" s="34"/>
      <c r="DB129" s="34"/>
      <c r="DC129" s="34"/>
      <c r="DD129" s="34"/>
      <c r="DE129" s="34"/>
      <c r="DF129" s="34"/>
      <c r="DG129" s="34"/>
      <c r="DH129" s="34"/>
      <c r="DI129" s="34"/>
      <c r="DJ129" s="34"/>
      <c r="DK129" s="34"/>
      <c r="DL129" s="34"/>
      <c r="DM129" s="34"/>
      <c r="DN129" s="34"/>
      <c r="DO129" s="34"/>
      <c r="DP129" s="34"/>
      <c r="DQ129" s="34"/>
      <c r="DR129" s="34"/>
      <c r="DS129" s="34"/>
      <c r="DT129" s="34"/>
      <c r="DU129" s="34"/>
      <c r="DV129" s="34"/>
      <c r="DW129" s="34"/>
      <c r="DX129" s="34"/>
    </row>
    <row r="130" spans="1:128" s="64" customFormat="1">
      <c r="A130" s="102"/>
      <c r="B130" s="103" t="s">
        <v>411</v>
      </c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>
        <f>SUM(AM121:AM129)</f>
        <v>54075</v>
      </c>
      <c r="AN130" s="34">
        <f>SUM(AN121:AN129)</f>
        <v>54647</v>
      </c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76"/>
      <c r="BP130" s="34"/>
      <c r="BQ130" s="34"/>
      <c r="BR130" s="34"/>
      <c r="BS130" s="34"/>
      <c r="BT130" s="34"/>
      <c r="BU130" s="34"/>
      <c r="BV130" s="34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>
        <f>SUM(CN121:CN129)</f>
        <v>96543</v>
      </c>
      <c r="CO130" s="76"/>
      <c r="CP130" s="76">
        <f>SUM(CP121:CP129)</f>
        <v>101119</v>
      </c>
      <c r="CQ130" s="76">
        <f>SUM(CQ121:CQ129)</f>
        <v>102293</v>
      </c>
      <c r="CR130" s="76">
        <f>SUM(CR121:CR129)</f>
        <v>104340</v>
      </c>
      <c r="CS130" s="76"/>
      <c r="CT130" s="76"/>
      <c r="CU130" s="76"/>
      <c r="CV130" s="76"/>
      <c r="CW130" s="76"/>
      <c r="CX130" s="76"/>
      <c r="CY130" s="76"/>
      <c r="CZ130" s="76"/>
      <c r="DA130" s="34"/>
      <c r="DB130" s="34"/>
      <c r="DC130" s="34"/>
      <c r="DD130" s="34"/>
      <c r="DE130" s="34"/>
      <c r="DF130" s="34"/>
      <c r="DG130" s="34"/>
      <c r="DH130" s="34"/>
      <c r="DI130" s="34"/>
      <c r="DJ130" s="34"/>
      <c r="DK130" s="34"/>
      <c r="DL130" s="34"/>
      <c r="DM130" s="34"/>
      <c r="DN130" s="34"/>
      <c r="DO130" s="34"/>
      <c r="DP130" s="34"/>
      <c r="DQ130" s="34"/>
      <c r="DR130" s="34"/>
      <c r="DS130" s="34"/>
      <c r="DT130" s="34"/>
      <c r="DU130" s="34"/>
      <c r="DV130" s="34"/>
      <c r="DW130" s="34"/>
      <c r="DX130" s="34"/>
    </row>
    <row r="132" spans="1:128" s="64" customFormat="1">
      <c r="A132" s="102"/>
      <c r="B132" s="103" t="s">
        <v>189</v>
      </c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>
        <f>14342+1057</f>
        <v>15399</v>
      </c>
      <c r="AC132" s="34">
        <v>14397</v>
      </c>
      <c r="AD132" s="34">
        <v>15156</v>
      </c>
      <c r="AE132" s="34">
        <v>15002</v>
      </c>
      <c r="AF132" s="34"/>
      <c r="AG132" s="34">
        <v>11475</v>
      </c>
      <c r="AH132" s="34"/>
      <c r="AI132" s="34"/>
      <c r="AJ132" s="34"/>
      <c r="AK132" s="34"/>
      <c r="AL132" s="34">
        <v>11063</v>
      </c>
      <c r="AM132" s="34">
        <f>1277+9055</f>
        <v>10332</v>
      </c>
      <c r="AN132" s="34">
        <f>1275+9043</f>
        <v>10318</v>
      </c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76"/>
      <c r="BP132" s="34"/>
      <c r="BQ132" s="34"/>
      <c r="BR132" s="34"/>
      <c r="BS132" s="34"/>
      <c r="BT132" s="34"/>
      <c r="BU132" s="34"/>
      <c r="BV132" s="34"/>
      <c r="BW132" s="76"/>
      <c r="BX132" s="76"/>
      <c r="BY132" s="76"/>
      <c r="BZ132" s="76"/>
      <c r="CA132" s="76"/>
      <c r="CB132" s="76"/>
      <c r="CC132" s="76"/>
      <c r="CD132" s="76"/>
      <c r="CE132" s="76"/>
      <c r="CF132" s="76"/>
      <c r="CG132" s="76"/>
      <c r="CH132" s="76"/>
      <c r="CI132" s="76"/>
      <c r="CJ132" s="76"/>
      <c r="CK132" s="76"/>
      <c r="CL132" s="76"/>
      <c r="CM132" s="76"/>
      <c r="CN132" s="76">
        <f>24329+4556+231+83+68+2800</f>
        <v>32067</v>
      </c>
      <c r="CO132" s="76"/>
      <c r="CP132" s="76">
        <f>5129+156+22365+38</f>
        <v>27688</v>
      </c>
      <c r="CQ132" s="76">
        <f>27259+6050+51+92</f>
        <v>33452</v>
      </c>
      <c r="CR132" s="76">
        <f>5067+27225+51+61</f>
        <v>32404</v>
      </c>
      <c r="CS132" s="76"/>
      <c r="CT132" s="76"/>
      <c r="CU132" s="76"/>
      <c r="CV132" s="76"/>
      <c r="CW132" s="76"/>
      <c r="CX132" s="76"/>
      <c r="CY132" s="76"/>
      <c r="CZ132" s="76"/>
      <c r="DA132" s="34"/>
      <c r="DB132" s="34"/>
      <c r="DC132" s="34"/>
      <c r="DD132" s="34"/>
      <c r="DE132" s="34"/>
      <c r="DF132" s="34"/>
      <c r="DG132" s="34"/>
      <c r="DH132" s="34"/>
      <c r="DI132" s="34"/>
      <c r="DJ132" s="34"/>
      <c r="DK132" s="34"/>
      <c r="DL132" s="34"/>
      <c r="DM132" s="34"/>
      <c r="DN132" s="34"/>
      <c r="DO132" s="34"/>
      <c r="DP132" s="34"/>
      <c r="DQ132" s="34"/>
      <c r="DR132" s="34"/>
      <c r="DS132" s="34"/>
      <c r="DT132" s="34"/>
      <c r="DU132" s="34"/>
      <c r="DV132" s="34"/>
      <c r="DW132" s="34"/>
      <c r="DX132" s="34"/>
    </row>
    <row r="133" spans="1:128" s="64" customFormat="1">
      <c r="A133" s="102"/>
      <c r="B133" s="103" t="s">
        <v>412</v>
      </c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>
        <v>8507</v>
      </c>
      <c r="AN133" s="34">
        <v>7362</v>
      </c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76"/>
      <c r="BP133" s="34"/>
      <c r="BQ133" s="34"/>
      <c r="BR133" s="34"/>
      <c r="BS133" s="34"/>
      <c r="BT133" s="34"/>
      <c r="BU133" s="34"/>
      <c r="BV133" s="34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/>
      <c r="CO133" s="76"/>
      <c r="CP133" s="76">
        <v>22374</v>
      </c>
      <c r="CQ133" s="76">
        <f>2596+19699</f>
        <v>22295</v>
      </c>
      <c r="CR133" s="76">
        <v>20463</v>
      </c>
      <c r="CS133" s="76"/>
      <c r="CT133" s="76"/>
      <c r="CU133" s="76"/>
      <c r="CV133" s="76"/>
      <c r="CW133" s="76"/>
      <c r="CX133" s="76"/>
      <c r="CY133" s="76"/>
      <c r="CZ133" s="76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  <c r="DV133" s="34"/>
      <c r="DW133" s="34"/>
      <c r="DX133" s="34"/>
    </row>
    <row r="134" spans="1:128" s="64" customFormat="1">
      <c r="A134" s="102"/>
      <c r="B134" s="103" t="s">
        <v>408</v>
      </c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>
        <v>110</v>
      </c>
      <c r="AN134" s="34">
        <v>201</v>
      </c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76"/>
      <c r="BP134" s="34"/>
      <c r="BQ134" s="34"/>
      <c r="BR134" s="34"/>
      <c r="BS134" s="34"/>
      <c r="BT134" s="34"/>
      <c r="BU134" s="34"/>
      <c r="BV134" s="34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/>
      <c r="CQ134" s="76"/>
      <c r="CR134" s="76"/>
      <c r="CS134" s="76"/>
      <c r="CT134" s="76"/>
      <c r="CU134" s="76"/>
      <c r="CV134" s="76"/>
      <c r="CW134" s="76"/>
      <c r="CX134" s="76"/>
      <c r="CY134" s="76"/>
      <c r="CZ134" s="76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  <c r="DV134" s="34"/>
      <c r="DW134" s="34"/>
      <c r="DX134" s="34"/>
    </row>
    <row r="135" spans="1:128" s="64" customFormat="1">
      <c r="A135" s="102"/>
      <c r="B135" s="103" t="s">
        <v>413</v>
      </c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>
        <f>1066+443</f>
        <v>1509</v>
      </c>
      <c r="AN135" s="34">
        <f>947+491</f>
        <v>1438</v>
      </c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76"/>
      <c r="BP135" s="34"/>
      <c r="BQ135" s="34"/>
      <c r="BR135" s="34"/>
      <c r="BS135" s="34"/>
      <c r="BT135" s="34"/>
      <c r="BU135" s="34"/>
      <c r="BV135" s="34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>
        <v>567</v>
      </c>
      <c r="CO135" s="76"/>
      <c r="CP135" s="76">
        <f>1028+1127</f>
        <v>2155</v>
      </c>
      <c r="CQ135" s="76">
        <f>1123+1148</f>
        <v>2271</v>
      </c>
      <c r="CR135" s="76">
        <f>1168+1074</f>
        <v>2242</v>
      </c>
      <c r="CS135" s="76"/>
      <c r="CT135" s="76"/>
      <c r="CU135" s="76"/>
      <c r="CV135" s="76"/>
      <c r="CW135" s="76"/>
      <c r="CX135" s="76"/>
      <c r="CY135" s="76"/>
      <c r="CZ135" s="76"/>
      <c r="DA135" s="34"/>
      <c r="DB135" s="34"/>
      <c r="DC135" s="34"/>
      <c r="DD135" s="34"/>
      <c r="DE135" s="34"/>
      <c r="DF135" s="34"/>
      <c r="DG135" s="34"/>
      <c r="DH135" s="34"/>
      <c r="DI135" s="34"/>
      <c r="DJ135" s="34"/>
      <c r="DK135" s="34"/>
      <c r="DL135" s="34"/>
      <c r="DM135" s="34"/>
      <c r="DN135" s="34"/>
      <c r="DO135" s="34"/>
      <c r="DP135" s="34"/>
      <c r="DQ135" s="34"/>
      <c r="DR135" s="34"/>
      <c r="DS135" s="34"/>
      <c r="DT135" s="34"/>
      <c r="DU135" s="34"/>
      <c r="DV135" s="34"/>
      <c r="DW135" s="34"/>
      <c r="DX135" s="34"/>
    </row>
    <row r="136" spans="1:128" s="64" customFormat="1">
      <c r="A136" s="102"/>
      <c r="B136" s="103" t="s">
        <v>404</v>
      </c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>
        <f>6034+3169</f>
        <v>9203</v>
      </c>
      <c r="AN136" s="34">
        <f>6519+2851</f>
        <v>9370</v>
      </c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76"/>
      <c r="BP136" s="34"/>
      <c r="BQ136" s="34"/>
      <c r="BR136" s="34"/>
      <c r="BS136" s="34"/>
      <c r="BT136" s="34"/>
      <c r="BU136" s="34"/>
      <c r="BV136" s="34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>
        <f>1200+1078</f>
        <v>2278</v>
      </c>
      <c r="CO136" s="76"/>
      <c r="CP136" s="76">
        <f>1584+2844</f>
        <v>4428</v>
      </c>
      <c r="CQ136" s="76">
        <f>2621+1631</f>
        <v>4252</v>
      </c>
      <c r="CR136" s="76">
        <f>1525+3333</f>
        <v>4858</v>
      </c>
      <c r="CS136" s="76"/>
      <c r="CT136" s="76"/>
      <c r="CU136" s="76"/>
      <c r="CV136" s="76"/>
      <c r="CW136" s="76"/>
      <c r="CX136" s="76"/>
      <c r="CY136" s="76"/>
      <c r="CZ136" s="76"/>
      <c r="DA136" s="34"/>
      <c r="DB136" s="34"/>
      <c r="DC136" s="34"/>
      <c r="DD136" s="34"/>
      <c r="DE136" s="34"/>
      <c r="DF136" s="34"/>
      <c r="DG136" s="34"/>
      <c r="DH136" s="34"/>
      <c r="DI136" s="34"/>
      <c r="DJ136" s="34"/>
      <c r="DK136" s="34"/>
      <c r="DL136" s="34"/>
      <c r="DM136" s="34"/>
      <c r="DN136" s="34"/>
      <c r="DO136" s="34"/>
      <c r="DP136" s="34"/>
      <c r="DQ136" s="34"/>
      <c r="DR136" s="34"/>
      <c r="DS136" s="34"/>
      <c r="DT136" s="34"/>
      <c r="DU136" s="34"/>
      <c r="DV136" s="34"/>
      <c r="DW136" s="34"/>
      <c r="DX136" s="34"/>
    </row>
    <row r="137" spans="1:128" s="64" customFormat="1">
      <c r="A137" s="102"/>
      <c r="B137" s="103" t="s">
        <v>414</v>
      </c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>
        <v>3293</v>
      </c>
      <c r="AN137" s="34">
        <v>3478</v>
      </c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76"/>
      <c r="BP137" s="34"/>
      <c r="BQ137" s="34"/>
      <c r="BR137" s="34"/>
      <c r="BS137" s="34"/>
      <c r="BT137" s="34"/>
      <c r="BU137" s="34"/>
      <c r="BV137" s="34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>
        <v>1357</v>
      </c>
      <c r="CO137" s="76"/>
      <c r="CP137" s="76">
        <v>1520</v>
      </c>
      <c r="CQ137" s="76">
        <v>1280</v>
      </c>
      <c r="CR137" s="76">
        <v>1326</v>
      </c>
      <c r="CS137" s="76"/>
      <c r="CT137" s="76"/>
      <c r="CU137" s="76"/>
      <c r="CV137" s="76"/>
      <c r="CW137" s="76"/>
      <c r="CX137" s="76"/>
      <c r="CY137" s="76"/>
      <c r="CZ137" s="76"/>
      <c r="DA137" s="34"/>
      <c r="DB137" s="34"/>
      <c r="DC137" s="34"/>
      <c r="DD137" s="34"/>
      <c r="DE137" s="34"/>
      <c r="DF137" s="34"/>
      <c r="DG137" s="34"/>
      <c r="DH137" s="34"/>
      <c r="DI137" s="34"/>
      <c r="DJ137" s="34"/>
      <c r="DK137" s="34"/>
      <c r="DL137" s="34"/>
      <c r="DM137" s="34"/>
      <c r="DN137" s="34"/>
      <c r="DO137" s="34"/>
      <c r="DP137" s="34"/>
      <c r="DQ137" s="34"/>
      <c r="DR137" s="34"/>
      <c r="DS137" s="34"/>
      <c r="DT137" s="34"/>
      <c r="DU137" s="34"/>
      <c r="DV137" s="34"/>
      <c r="DW137" s="34"/>
      <c r="DX137" s="34"/>
    </row>
    <row r="138" spans="1:128" s="64" customFormat="1">
      <c r="A138" s="102"/>
      <c r="B138" s="103" t="s">
        <v>415</v>
      </c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>
        <v>233</v>
      </c>
      <c r="AN138" s="34">
        <v>215</v>
      </c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76"/>
      <c r="BP138" s="34"/>
      <c r="BQ138" s="34"/>
      <c r="BR138" s="34"/>
      <c r="BS138" s="34"/>
      <c r="BT138" s="34"/>
      <c r="BU138" s="34"/>
      <c r="BV138" s="34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167">
        <f>19738+722+2398</f>
        <v>22858</v>
      </c>
      <c r="CO138" s="76"/>
      <c r="CP138" s="76">
        <f>271+857+2660</f>
        <v>3788</v>
      </c>
      <c r="CQ138" s="76">
        <f>961+281</f>
        <v>1242</v>
      </c>
      <c r="CR138" s="76">
        <f>292+949+2208</f>
        <v>3449</v>
      </c>
      <c r="CS138" s="76"/>
      <c r="CT138" s="76"/>
      <c r="CU138" s="76"/>
      <c r="CV138" s="76"/>
      <c r="CW138" s="76"/>
      <c r="CX138" s="76"/>
      <c r="CY138" s="76"/>
      <c r="CZ138" s="76"/>
      <c r="DA138" s="34"/>
      <c r="DB138" s="34"/>
      <c r="DC138" s="34"/>
      <c r="DD138" s="34"/>
      <c r="DE138" s="34"/>
      <c r="DF138" s="34"/>
      <c r="DG138" s="34"/>
      <c r="DH138" s="34"/>
      <c r="DI138" s="34"/>
      <c r="DJ138" s="34"/>
      <c r="DK138" s="34"/>
      <c r="DL138" s="34"/>
      <c r="DM138" s="34"/>
      <c r="DN138" s="34"/>
      <c r="DO138" s="34"/>
      <c r="DP138" s="34"/>
      <c r="DQ138" s="34"/>
      <c r="DR138" s="34"/>
      <c r="DS138" s="34"/>
      <c r="DT138" s="34"/>
      <c r="DU138" s="34"/>
      <c r="DV138" s="34"/>
      <c r="DW138" s="34"/>
      <c r="DX138" s="34"/>
    </row>
    <row r="139" spans="1:128" s="64" customFormat="1">
      <c r="A139" s="102"/>
      <c r="B139" s="103" t="s">
        <v>416</v>
      </c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>
        <f>SUM(AM132:AM138)</f>
        <v>33187</v>
      </c>
      <c r="AN139" s="34">
        <f>SUM(AN132:AN138)</f>
        <v>32382</v>
      </c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76"/>
      <c r="BP139" s="34"/>
      <c r="BQ139" s="34"/>
      <c r="BR139" s="34"/>
      <c r="BS139" s="34"/>
      <c r="BT139" s="34"/>
      <c r="BU139" s="34"/>
      <c r="BV139" s="34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76"/>
      <c r="CO139" s="76"/>
      <c r="CP139" s="76"/>
      <c r="CQ139" s="76"/>
      <c r="CR139" s="76"/>
      <c r="CS139" s="76"/>
      <c r="CT139" s="76"/>
      <c r="CU139" s="76"/>
      <c r="CV139" s="76"/>
      <c r="CW139" s="76"/>
      <c r="CX139" s="76"/>
      <c r="CY139" s="76"/>
      <c r="CZ139" s="76"/>
      <c r="DA139" s="34"/>
      <c r="DB139" s="34"/>
      <c r="DC139" s="34"/>
      <c r="DD139" s="34"/>
      <c r="DE139" s="34"/>
      <c r="DF139" s="34"/>
      <c r="DG139" s="34"/>
      <c r="DH139" s="34"/>
      <c r="DI139" s="34"/>
      <c r="DJ139" s="34"/>
      <c r="DK139" s="34"/>
      <c r="DL139" s="34"/>
      <c r="DM139" s="34"/>
      <c r="DN139" s="34"/>
      <c r="DO139" s="34"/>
      <c r="DP139" s="34"/>
      <c r="DQ139" s="34"/>
      <c r="DR139" s="34"/>
      <c r="DS139" s="34"/>
      <c r="DT139" s="34"/>
      <c r="DU139" s="34"/>
      <c r="DV139" s="34"/>
      <c r="DW139" s="34"/>
      <c r="DX139" s="34"/>
    </row>
    <row r="140" spans="1:128" s="64" customFormat="1">
      <c r="A140" s="102"/>
      <c r="B140" s="103" t="s">
        <v>417</v>
      </c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>
        <v>20888</v>
      </c>
      <c r="AN140" s="34">
        <v>22265</v>
      </c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76"/>
      <c r="BP140" s="34"/>
      <c r="BQ140" s="34"/>
      <c r="BR140" s="34"/>
      <c r="BS140" s="34"/>
      <c r="BT140" s="34"/>
      <c r="BU140" s="34"/>
      <c r="BV140" s="34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>
        <v>37416</v>
      </c>
      <c r="CO140" s="76"/>
      <c r="CP140" s="76">
        <v>39166</v>
      </c>
      <c r="CQ140" s="76">
        <v>37501</v>
      </c>
      <c r="CR140" s="76">
        <v>39598</v>
      </c>
      <c r="CS140" s="76"/>
      <c r="CT140" s="76"/>
      <c r="CU140" s="76"/>
      <c r="CV140" s="76"/>
      <c r="CW140" s="76"/>
      <c r="CX140" s="76"/>
      <c r="CY140" s="76"/>
      <c r="CZ140" s="76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  <c r="DV140" s="34"/>
      <c r="DW140" s="34"/>
      <c r="DX140" s="34"/>
    </row>
    <row r="141" spans="1:128" s="64" customFormat="1">
      <c r="A141" s="102"/>
      <c r="B141" s="103" t="s">
        <v>418</v>
      </c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>
        <f>AM140+AM139</f>
        <v>54075</v>
      </c>
      <c r="AN141" s="34">
        <f>AN140+AN139</f>
        <v>54647</v>
      </c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76"/>
      <c r="BP141" s="34"/>
      <c r="BQ141" s="34"/>
      <c r="BR141" s="34"/>
      <c r="BS141" s="34"/>
      <c r="BT141" s="34"/>
      <c r="BU141" s="34"/>
      <c r="BV141" s="34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>
        <f>SUM(CN132:CN140)</f>
        <v>96543</v>
      </c>
      <c r="CO141" s="76"/>
      <c r="CP141" s="76">
        <f>SUM(CP132:CP140)</f>
        <v>101119</v>
      </c>
      <c r="CQ141" s="76">
        <f>SUM(CQ132:CQ140)</f>
        <v>102293</v>
      </c>
      <c r="CR141" s="76">
        <f>SUM(CR132:CR140)</f>
        <v>104340</v>
      </c>
      <c r="CS141" s="76"/>
      <c r="CT141" s="76"/>
      <c r="CU141" s="76"/>
      <c r="CV141" s="76"/>
      <c r="CW141" s="76"/>
      <c r="CX141" s="76"/>
      <c r="CY141" s="76"/>
      <c r="CZ141" s="76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</row>
    <row r="143" spans="1:128" s="64" customFormat="1">
      <c r="A143" s="102"/>
      <c r="B143" s="136" t="s">
        <v>788</v>
      </c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76"/>
      <c r="BP143" s="34"/>
      <c r="BQ143" s="34"/>
      <c r="BR143" s="34"/>
      <c r="BS143" s="34"/>
      <c r="BT143" s="34"/>
      <c r="BU143" s="34"/>
      <c r="BV143" s="34"/>
      <c r="BW143" s="76"/>
      <c r="BX143" s="76"/>
      <c r="BY143" s="76"/>
      <c r="BZ143" s="76"/>
      <c r="CA143" s="76"/>
      <c r="CB143" s="76"/>
      <c r="CC143" s="76"/>
      <c r="CD143" s="76"/>
      <c r="CE143" s="76"/>
      <c r="CF143" s="76"/>
      <c r="CG143" s="76"/>
      <c r="CH143" s="76"/>
      <c r="CI143" s="76"/>
      <c r="CJ143" s="76"/>
      <c r="CK143" s="76"/>
      <c r="CL143" s="76"/>
      <c r="CM143" s="76"/>
      <c r="CN143" s="76">
        <f>4350-CM143</f>
        <v>4350</v>
      </c>
      <c r="CO143" s="76"/>
      <c r="CP143" s="76"/>
      <c r="CQ143" s="76"/>
      <c r="CR143" s="76">
        <f>5197-CQ143</f>
        <v>5197</v>
      </c>
      <c r="CS143" s="76"/>
      <c r="CT143" s="76"/>
      <c r="CU143" s="76"/>
      <c r="CV143" s="76"/>
      <c r="CW143" s="76"/>
      <c r="CX143" s="76"/>
      <c r="CY143" s="76"/>
      <c r="CZ143" s="76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</row>
    <row r="144" spans="1:128" s="64" customFormat="1">
      <c r="A144" s="102"/>
      <c r="B144" s="136" t="s">
        <v>789</v>
      </c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76"/>
      <c r="BP144" s="34"/>
      <c r="BQ144" s="34"/>
      <c r="BR144" s="34"/>
      <c r="BS144" s="34"/>
      <c r="BT144" s="34"/>
      <c r="BU144" s="34"/>
      <c r="BV144" s="34"/>
      <c r="BW144" s="76"/>
      <c r="BX144" s="76"/>
      <c r="BY144" s="76"/>
      <c r="BZ144" s="76"/>
      <c r="CA144" s="76"/>
      <c r="CB144" s="76"/>
      <c r="CC144" s="76"/>
      <c r="CD144" s="76"/>
      <c r="CE144" s="76"/>
      <c r="CF144" s="76"/>
      <c r="CG144" s="76"/>
      <c r="CH144" s="76"/>
      <c r="CI144" s="76"/>
      <c r="CJ144" s="76"/>
      <c r="CK144" s="76"/>
      <c r="CL144" s="76"/>
      <c r="CM144" s="76"/>
      <c r="CN144" s="76">
        <f>654-CM144</f>
        <v>654</v>
      </c>
      <c r="CO144" s="76"/>
      <c r="CP144" s="76"/>
      <c r="CQ144" s="76"/>
      <c r="CR144" s="76">
        <f>645-CQ144</f>
        <v>645</v>
      </c>
      <c r="CS144" s="76"/>
      <c r="CT144" s="76"/>
      <c r="CU144" s="76"/>
      <c r="CV144" s="76"/>
      <c r="CW144" s="76"/>
      <c r="CX144" s="76"/>
      <c r="CY144" s="76"/>
      <c r="CZ144" s="76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</row>
    <row r="145" spans="1:128" s="64" customFormat="1">
      <c r="A145" s="102"/>
      <c r="B145" s="136" t="s">
        <v>790</v>
      </c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76"/>
      <c r="BP145" s="34"/>
      <c r="BQ145" s="34"/>
      <c r="BR145" s="34"/>
      <c r="BS145" s="34"/>
      <c r="BT145" s="34"/>
      <c r="BU145" s="34"/>
      <c r="BV145" s="34"/>
      <c r="BW145" s="76"/>
      <c r="BX145" s="76"/>
      <c r="BY145" s="76"/>
      <c r="BZ145" s="76"/>
      <c r="CA145" s="76"/>
      <c r="CB145" s="76"/>
      <c r="CC145" s="76"/>
      <c r="CD145" s="76"/>
      <c r="CE145" s="76"/>
      <c r="CF145" s="76"/>
      <c r="CG145" s="76"/>
      <c r="CH145" s="76"/>
      <c r="CI145" s="76"/>
      <c r="CJ145" s="76"/>
      <c r="CK145" s="76"/>
      <c r="CL145" s="76"/>
      <c r="CM145" s="76"/>
      <c r="CN145" s="76">
        <f>1-CM145</f>
        <v>1</v>
      </c>
      <c r="CO145" s="76"/>
      <c r="CP145" s="76"/>
      <c r="CQ145" s="76"/>
      <c r="CR145" s="76">
        <f>19-CQ145</f>
        <v>19</v>
      </c>
      <c r="CS145" s="76"/>
      <c r="CT145" s="76"/>
      <c r="CU145" s="76"/>
      <c r="CV145" s="76"/>
      <c r="CW145" s="76"/>
      <c r="CX145" s="76"/>
      <c r="CY145" s="76"/>
      <c r="CZ145" s="76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</row>
    <row r="146" spans="1:128" s="64" customFormat="1">
      <c r="A146" s="102"/>
      <c r="B146" s="136" t="s">
        <v>791</v>
      </c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76"/>
      <c r="BP146" s="34"/>
      <c r="BQ146" s="34"/>
      <c r="BR146" s="34"/>
      <c r="BS146" s="34"/>
      <c r="BT146" s="34"/>
      <c r="BU146" s="34"/>
      <c r="BV146" s="34"/>
      <c r="BW146" s="76"/>
      <c r="BX146" s="76"/>
      <c r="BY146" s="76"/>
      <c r="BZ146" s="76"/>
      <c r="CA146" s="76"/>
      <c r="CB146" s="76"/>
      <c r="CC146" s="76"/>
      <c r="CD146" s="76"/>
      <c r="CE146" s="76"/>
      <c r="CF146" s="76"/>
      <c r="CG146" s="76"/>
      <c r="CH146" s="76"/>
      <c r="CI146" s="76"/>
      <c r="CJ146" s="76"/>
      <c r="CK146" s="76"/>
      <c r="CL146" s="76"/>
      <c r="CM146" s="76"/>
      <c r="CN146" s="76">
        <f>2778-CM146</f>
        <v>2778</v>
      </c>
      <c r="CO146" s="76"/>
      <c r="CP146" s="76"/>
      <c r="CQ146" s="76"/>
      <c r="CR146" s="76">
        <f>2534-CQ146</f>
        <v>2534</v>
      </c>
      <c r="CS146" s="76"/>
      <c r="CT146" s="76"/>
      <c r="CU146" s="76"/>
      <c r="CV146" s="76"/>
      <c r="CW146" s="76"/>
      <c r="CX146" s="76"/>
      <c r="CY146" s="76"/>
      <c r="CZ146" s="76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</row>
    <row r="147" spans="1:128" s="64" customFormat="1">
      <c r="A147" s="102"/>
      <c r="B147" s="136" t="s">
        <v>792</v>
      </c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76"/>
      <c r="BP147" s="34"/>
      <c r="BQ147" s="34"/>
      <c r="BR147" s="34"/>
      <c r="BS147" s="34"/>
      <c r="BT147" s="34"/>
      <c r="BU147" s="34"/>
      <c r="BV147" s="34"/>
      <c r="BW147" s="76"/>
      <c r="BX147" s="76"/>
      <c r="BY147" s="76"/>
      <c r="BZ147" s="76"/>
      <c r="CA147" s="76"/>
      <c r="CB147" s="76"/>
      <c r="CC147" s="76"/>
      <c r="CD147" s="76"/>
      <c r="CE147" s="76"/>
      <c r="CF147" s="76"/>
      <c r="CG147" s="76"/>
      <c r="CH147" s="76"/>
      <c r="CI147" s="76"/>
      <c r="CJ147" s="76"/>
      <c r="CK147" s="76"/>
      <c r="CL147" s="76"/>
      <c r="CM147" s="76"/>
      <c r="CN147" s="76">
        <f>-747-CM147</f>
        <v>-747</v>
      </c>
      <c r="CO147" s="76"/>
      <c r="CP147" s="76"/>
      <c r="CQ147" s="76"/>
      <c r="CR147" s="76">
        <f>-584-CQ147</f>
        <v>-584</v>
      </c>
      <c r="CS147" s="76"/>
      <c r="CT147" s="76"/>
      <c r="CU147" s="76"/>
      <c r="CV147" s="76"/>
      <c r="CW147" s="76"/>
      <c r="CX147" s="76"/>
      <c r="CY147" s="76"/>
      <c r="CZ147" s="76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</row>
    <row r="148" spans="1:128" s="64" customFormat="1">
      <c r="A148" s="102"/>
      <c r="B148" s="136" t="s">
        <v>793</v>
      </c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76"/>
      <c r="BP148" s="34"/>
      <c r="BQ148" s="34"/>
      <c r="BR148" s="34"/>
      <c r="BS148" s="34"/>
      <c r="BT148" s="34"/>
      <c r="BU148" s="34"/>
      <c r="BV148" s="34"/>
      <c r="BW148" s="76"/>
      <c r="BX148" s="76"/>
      <c r="BY148" s="76"/>
      <c r="BZ148" s="76"/>
      <c r="CA148" s="76"/>
      <c r="CB148" s="76"/>
      <c r="CC148" s="76"/>
      <c r="CD148" s="76"/>
      <c r="CE148" s="76"/>
      <c r="CF148" s="76"/>
      <c r="CG148" s="76"/>
      <c r="CH148" s="76"/>
      <c r="CI148" s="76"/>
      <c r="CJ148" s="76"/>
      <c r="CK148" s="76"/>
      <c r="CL148" s="76"/>
      <c r="CM148" s="76"/>
      <c r="CN148" s="76">
        <f>-249-CM148</f>
        <v>-249</v>
      </c>
      <c r="CO148" s="76"/>
      <c r="CP148" s="76"/>
      <c r="CQ148" s="76"/>
      <c r="CR148" s="76">
        <f>-21-CQ148</f>
        <v>-21</v>
      </c>
      <c r="CS148" s="76"/>
      <c r="CT148" s="76"/>
      <c r="CU148" s="76"/>
      <c r="CV148" s="76"/>
      <c r="CW148" s="76"/>
      <c r="CX148" s="76"/>
      <c r="CY148" s="76"/>
      <c r="CZ148" s="76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</row>
    <row r="149" spans="1:128" s="64" customFormat="1">
      <c r="A149" s="102"/>
      <c r="B149" s="136" t="s">
        <v>797</v>
      </c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76"/>
      <c r="BP149" s="34"/>
      <c r="BQ149" s="34"/>
      <c r="BR149" s="34"/>
      <c r="BS149" s="34"/>
      <c r="BT149" s="34"/>
      <c r="BU149" s="34"/>
      <c r="BV149" s="34"/>
      <c r="BW149" s="76"/>
      <c r="BX149" s="76"/>
      <c r="BY149" s="76"/>
      <c r="BZ149" s="76"/>
      <c r="CA149" s="76"/>
      <c r="CB149" s="76"/>
      <c r="CC149" s="76"/>
      <c r="CD149" s="76"/>
      <c r="CE149" s="76"/>
      <c r="CF149" s="76"/>
      <c r="CG149" s="76"/>
      <c r="CH149" s="76"/>
      <c r="CI149" s="76"/>
      <c r="CJ149" s="76"/>
      <c r="CK149" s="76"/>
      <c r="CL149" s="76"/>
      <c r="CM149" s="76"/>
      <c r="CN149" s="76">
        <f>202-CM149</f>
        <v>202</v>
      </c>
      <c r="CO149" s="76"/>
      <c r="CP149" s="76"/>
      <c r="CQ149" s="76"/>
      <c r="CR149" s="76">
        <f>251-CQ149</f>
        <v>251</v>
      </c>
      <c r="CS149" s="76"/>
      <c r="CT149" s="76"/>
      <c r="CU149" s="76"/>
      <c r="CV149" s="76"/>
      <c r="CW149" s="76"/>
      <c r="CX149" s="76"/>
      <c r="CY149" s="76"/>
      <c r="CZ149" s="76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</row>
    <row r="150" spans="1:128" s="64" customFormat="1">
      <c r="A150" s="102"/>
      <c r="B150" s="136" t="s">
        <v>796</v>
      </c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76"/>
      <c r="BP150" s="34"/>
      <c r="BQ150" s="34"/>
      <c r="BR150" s="34"/>
      <c r="BS150" s="34"/>
      <c r="BT150" s="34"/>
      <c r="BU150" s="34"/>
      <c r="BV150" s="34"/>
      <c r="BW150" s="76"/>
      <c r="BX150" s="76"/>
      <c r="BY150" s="76"/>
      <c r="BZ150" s="76"/>
      <c r="CA150" s="76"/>
      <c r="CB150" s="76"/>
      <c r="CC150" s="76"/>
      <c r="CD150" s="76"/>
      <c r="CE150" s="76"/>
      <c r="CF150" s="76"/>
      <c r="CG150" s="76"/>
      <c r="CH150" s="76"/>
      <c r="CI150" s="76"/>
      <c r="CJ150" s="76"/>
      <c r="CK150" s="76"/>
      <c r="CL150" s="76"/>
      <c r="CM150" s="76"/>
      <c r="CN150" s="76">
        <f>-594-CM150</f>
        <v>-594</v>
      </c>
      <c r="CO150" s="76"/>
      <c r="CP150" s="76"/>
      <c r="CQ150" s="76"/>
      <c r="CR150" s="76">
        <f>-550-CQ150</f>
        <v>-550</v>
      </c>
      <c r="CS150" s="76"/>
      <c r="CT150" s="76"/>
      <c r="CU150" s="76"/>
      <c r="CV150" s="76"/>
      <c r="CW150" s="76"/>
      <c r="CX150" s="76"/>
      <c r="CY150" s="76"/>
      <c r="CZ150" s="76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</row>
    <row r="151" spans="1:128" s="64" customFormat="1">
      <c r="A151" s="102"/>
      <c r="B151" s="136" t="s">
        <v>419</v>
      </c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76"/>
      <c r="BP151" s="34"/>
      <c r="BQ151" s="34"/>
      <c r="BR151" s="34"/>
      <c r="BS151" s="34"/>
      <c r="BT151" s="34"/>
      <c r="BU151" s="34"/>
      <c r="BV151" s="34"/>
      <c r="BW151" s="76"/>
      <c r="BX151" s="76"/>
      <c r="BY151" s="76"/>
      <c r="BZ151" s="76"/>
      <c r="CA151" s="76"/>
      <c r="CB151" s="76"/>
      <c r="CC151" s="76"/>
      <c r="CD151" s="76"/>
      <c r="CE151" s="76"/>
      <c r="CF151" s="76"/>
      <c r="CG151" s="76"/>
      <c r="CH151" s="76"/>
      <c r="CI151" s="76"/>
      <c r="CJ151" s="76"/>
      <c r="CK151" s="76"/>
      <c r="CL151" s="76"/>
      <c r="CM151" s="76"/>
      <c r="CN151" s="76">
        <f>SUM(CN143:CN150)</f>
        <v>6395</v>
      </c>
      <c r="CO151" s="76"/>
      <c r="CP151" s="76"/>
      <c r="CQ151" s="76"/>
      <c r="CR151" s="76">
        <f>SUM(CR143:CR150)</f>
        <v>7491</v>
      </c>
      <c r="CS151" s="76"/>
      <c r="CT151" s="76"/>
      <c r="CU151" s="76"/>
      <c r="CV151" s="76"/>
      <c r="CW151" s="76"/>
      <c r="CX151" s="76"/>
      <c r="CY151" s="76"/>
      <c r="CZ151" s="76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</row>
    <row r="152" spans="1:128" s="64" customFormat="1">
      <c r="A152" s="102"/>
      <c r="B152" s="136" t="s">
        <v>794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76"/>
      <c r="BP152" s="34"/>
      <c r="BQ152" s="34"/>
      <c r="BR152" s="34"/>
      <c r="BS152" s="34"/>
      <c r="BT152" s="34"/>
      <c r="BU152" s="34"/>
      <c r="BV152" s="34"/>
      <c r="BW152" s="76"/>
      <c r="BX152" s="76"/>
      <c r="BY152" s="76"/>
      <c r="BZ152" s="76"/>
      <c r="CA152" s="76"/>
      <c r="CB152" s="76"/>
      <c r="CC152" s="76"/>
      <c r="CD152" s="76"/>
      <c r="CE152" s="76"/>
      <c r="CF152" s="76"/>
      <c r="CG152" s="76"/>
      <c r="CH152" s="76"/>
      <c r="CI152" s="76"/>
      <c r="CJ152" s="76"/>
      <c r="CK152" s="76"/>
      <c r="CL152" s="76"/>
      <c r="CM152" s="76"/>
      <c r="CN152" s="76">
        <f>-483-CM152</f>
        <v>-483</v>
      </c>
      <c r="CO152" s="76"/>
      <c r="CP152" s="76"/>
      <c r="CQ152" s="76"/>
      <c r="CR152" s="76">
        <f>-583-CQ152</f>
        <v>-583</v>
      </c>
      <c r="CS152" s="76"/>
      <c r="CT152" s="76"/>
      <c r="CU152" s="76"/>
      <c r="CV152" s="76"/>
      <c r="CW152" s="76"/>
      <c r="CX152" s="76"/>
      <c r="CY152" s="76"/>
      <c r="CZ152" s="76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</row>
    <row r="153" spans="1:128" s="64" customFormat="1">
      <c r="A153" s="102"/>
      <c r="B153" s="136" t="s">
        <v>404</v>
      </c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76"/>
      <c r="BP153" s="34"/>
      <c r="BQ153" s="34"/>
      <c r="BR153" s="34"/>
      <c r="BS153" s="34"/>
      <c r="BT153" s="34"/>
      <c r="BU153" s="34"/>
      <c r="BV153" s="34"/>
      <c r="BW153" s="76"/>
      <c r="BX153" s="76"/>
      <c r="BY153" s="76"/>
      <c r="BZ153" s="76"/>
      <c r="CA153" s="76"/>
      <c r="CB153" s="76"/>
      <c r="CC153" s="76"/>
      <c r="CD153" s="76"/>
      <c r="CE153" s="76"/>
      <c r="CF153" s="76"/>
      <c r="CG153" s="76"/>
      <c r="CH153" s="76"/>
      <c r="CI153" s="76"/>
      <c r="CJ153" s="76"/>
      <c r="CK153" s="76"/>
      <c r="CL153" s="76"/>
      <c r="CM153" s="76"/>
      <c r="CN153" s="76">
        <f>-1061-CM153</f>
        <v>-1061</v>
      </c>
      <c r="CO153" s="76"/>
      <c r="CP153" s="76"/>
      <c r="CQ153" s="76"/>
      <c r="CR153" s="76">
        <f>-1337-CQ153</f>
        <v>-1337</v>
      </c>
      <c r="CS153" s="76"/>
      <c r="CT153" s="76"/>
      <c r="CU153" s="76"/>
      <c r="CV153" s="76"/>
      <c r="CW153" s="76"/>
      <c r="CX153" s="76"/>
      <c r="CY153" s="76"/>
      <c r="CZ153" s="76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</row>
    <row r="154" spans="1:128" s="64" customFormat="1">
      <c r="A154" s="102"/>
      <c r="B154" s="136" t="s">
        <v>795</v>
      </c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>
        <v>1739</v>
      </c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76"/>
      <c r="BP154" s="34"/>
      <c r="BQ154" s="34"/>
      <c r="BR154" s="34"/>
      <c r="BS154" s="34"/>
      <c r="BT154" s="34"/>
      <c r="BU154" s="34"/>
      <c r="BV154" s="34"/>
      <c r="BW154" s="76"/>
      <c r="BX154" s="76"/>
      <c r="BY154" s="76"/>
      <c r="BZ154" s="76"/>
      <c r="CA154" s="76"/>
      <c r="CB154" s="76"/>
      <c r="CC154" s="76"/>
      <c r="CD154" s="76"/>
      <c r="CE154" s="76"/>
      <c r="CF154" s="76"/>
      <c r="CG154" s="76"/>
      <c r="CH154" s="76"/>
      <c r="CI154" s="76"/>
      <c r="CJ154" s="76"/>
      <c r="CK154" s="76"/>
      <c r="CL154" s="76"/>
      <c r="CM154" s="76"/>
      <c r="CN154" s="76">
        <f>SUM(CN151:CN153)</f>
        <v>4851</v>
      </c>
      <c r="CO154" s="76"/>
      <c r="CP154" s="76"/>
      <c r="CQ154" s="76"/>
      <c r="CR154" s="76">
        <f>SUM(CR151:CR153)</f>
        <v>5571</v>
      </c>
      <c r="CS154" s="76"/>
      <c r="CT154" s="76"/>
      <c r="CU154" s="76"/>
      <c r="CV154" s="76"/>
      <c r="CW154" s="76"/>
      <c r="CX154" s="76"/>
      <c r="CY154" s="76"/>
      <c r="CZ154" s="76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</row>
    <row r="155" spans="1:128">
      <c r="B155" s="136"/>
    </row>
    <row r="156" spans="1:128" s="64" customFormat="1">
      <c r="A156" s="102"/>
      <c r="B156" s="103" t="s">
        <v>410</v>
      </c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>
        <v>145</v>
      </c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76"/>
      <c r="BP156" s="34"/>
      <c r="BQ156" s="34"/>
      <c r="BR156" s="34"/>
      <c r="BS156" s="34"/>
      <c r="BT156" s="34"/>
      <c r="BU156" s="34"/>
      <c r="BV156" s="34"/>
      <c r="BW156" s="76"/>
      <c r="BX156" s="76"/>
      <c r="BY156" s="76"/>
      <c r="BZ156" s="76"/>
      <c r="CA156" s="76"/>
      <c r="CB156" s="76"/>
      <c r="CC156" s="76"/>
      <c r="CD156" s="76"/>
      <c r="CE156" s="76"/>
      <c r="CF156" s="76"/>
      <c r="CG156" s="76"/>
      <c r="CH156" s="76"/>
      <c r="CI156" s="76"/>
      <c r="CJ156" s="76"/>
      <c r="CK156" s="76"/>
      <c r="CL156" s="76"/>
      <c r="CM156" s="76"/>
      <c r="CN156" s="76">
        <f>-517+126-CM156</f>
        <v>-391</v>
      </c>
      <c r="CO156" s="76"/>
      <c r="CP156" s="76"/>
      <c r="CQ156" s="76"/>
      <c r="CR156" s="76">
        <f>-799-CQ156+53</f>
        <v>-746</v>
      </c>
      <c r="CS156" s="76"/>
      <c r="CT156" s="76"/>
      <c r="CU156" s="76"/>
      <c r="CV156" s="76"/>
      <c r="CW156" s="76"/>
      <c r="CX156" s="76"/>
      <c r="CY156" s="76"/>
      <c r="CZ156" s="76"/>
      <c r="DA156" s="34"/>
      <c r="DB156" s="34"/>
      <c r="DC156" s="34"/>
      <c r="DD156" s="34"/>
      <c r="DE156" s="34"/>
      <c r="DF156" s="34"/>
      <c r="DG156" s="34"/>
      <c r="DH156" s="34"/>
      <c r="DI156" s="34"/>
      <c r="DJ156" s="34"/>
      <c r="DK156" s="34"/>
      <c r="DL156" s="34"/>
      <c r="DM156" s="34"/>
      <c r="DN156" s="34"/>
      <c r="DO156" s="34"/>
      <c r="DP156" s="34"/>
      <c r="DQ156" s="34"/>
      <c r="DR156" s="34"/>
      <c r="DS156" s="34"/>
      <c r="DT156" s="34"/>
      <c r="DU156" s="34"/>
      <c r="DV156" s="34"/>
      <c r="DW156" s="34"/>
      <c r="DX156" s="34"/>
    </row>
    <row r="157" spans="1:128" s="64" customFormat="1">
      <c r="A157" s="102"/>
      <c r="B157" s="136" t="s">
        <v>798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76"/>
      <c r="BP157" s="34"/>
      <c r="BQ157" s="34"/>
      <c r="BR157" s="34"/>
      <c r="BS157" s="34"/>
      <c r="BT157" s="34"/>
      <c r="BU157" s="34"/>
      <c r="BV157" s="34"/>
      <c r="BW157" s="76"/>
      <c r="BX157" s="76"/>
      <c r="BY157" s="76"/>
      <c r="BZ157" s="76"/>
      <c r="CA157" s="76"/>
      <c r="CB157" s="76"/>
      <c r="CC157" s="76"/>
      <c r="CD157" s="76"/>
      <c r="CE157" s="76"/>
      <c r="CF157" s="76"/>
      <c r="CG157" s="76"/>
      <c r="CH157" s="76"/>
      <c r="CI157" s="76"/>
      <c r="CJ157" s="76"/>
      <c r="CK157" s="76"/>
      <c r="CL157" s="76"/>
      <c r="CM157" s="76"/>
      <c r="CN157" s="76">
        <f>-1436+288</f>
        <v>-1148</v>
      </c>
      <c r="CO157" s="76"/>
      <c r="CP157" s="76"/>
      <c r="CQ157" s="76"/>
      <c r="CR157" s="76">
        <f>-1474-CQ157+75</f>
        <v>-1399</v>
      </c>
      <c r="CS157" s="76"/>
      <c r="CT157" s="76"/>
      <c r="CU157" s="76"/>
      <c r="CV157" s="76"/>
      <c r="CW157" s="76"/>
      <c r="CX157" s="76"/>
      <c r="CY157" s="76"/>
      <c r="CZ157" s="76"/>
      <c r="DA157" s="34"/>
      <c r="DB157" s="34"/>
      <c r="DC157" s="34"/>
      <c r="DD157" s="34"/>
      <c r="DE157" s="34"/>
      <c r="DF157" s="34"/>
      <c r="DG157" s="34"/>
      <c r="DH157" s="34"/>
      <c r="DI157" s="34"/>
      <c r="DJ157" s="34"/>
      <c r="DK157" s="34"/>
      <c r="DL157" s="34"/>
      <c r="DM157" s="34"/>
      <c r="DN157" s="34"/>
      <c r="DO157" s="34"/>
      <c r="DP157" s="34"/>
      <c r="DQ157" s="34"/>
      <c r="DR157" s="34"/>
      <c r="DS157" s="34"/>
      <c r="DT157" s="34"/>
      <c r="DU157" s="34"/>
      <c r="DV157" s="34"/>
      <c r="DW157" s="34"/>
      <c r="DX157" s="34"/>
    </row>
    <row r="158" spans="1:128" s="64" customFormat="1">
      <c r="A158" s="102"/>
      <c r="B158" s="136" t="s">
        <v>405</v>
      </c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76"/>
      <c r="BP158" s="34"/>
      <c r="BQ158" s="34"/>
      <c r="BR158" s="34"/>
      <c r="BS158" s="34"/>
      <c r="BT158" s="34"/>
      <c r="BU158" s="34"/>
      <c r="BV158" s="34"/>
      <c r="BW158" s="76"/>
      <c r="BX158" s="76"/>
      <c r="BY158" s="76"/>
      <c r="BZ158" s="76"/>
      <c r="CA158" s="76"/>
      <c r="CB158" s="76"/>
      <c r="CC158" s="76"/>
      <c r="CD158" s="76"/>
      <c r="CE158" s="76"/>
      <c r="CF158" s="76"/>
      <c r="CG158" s="76"/>
      <c r="CH158" s="76"/>
      <c r="CI158" s="76"/>
      <c r="CJ158" s="76"/>
      <c r="CK158" s="76"/>
      <c r="CL158" s="76"/>
      <c r="CM158" s="76"/>
      <c r="CN158" s="76">
        <f>-26+10+90+134+175</f>
        <v>383</v>
      </c>
      <c r="CO158" s="76"/>
      <c r="CP158" s="76"/>
      <c r="CQ158" s="76"/>
      <c r="CR158" s="76">
        <f>-67+51+42+206</f>
        <v>232</v>
      </c>
      <c r="CS158" s="76"/>
      <c r="CT158" s="76"/>
      <c r="CU158" s="76"/>
      <c r="CV158" s="76"/>
      <c r="CW158" s="76"/>
      <c r="CX158" s="76"/>
      <c r="CY158" s="76"/>
      <c r="CZ158" s="76"/>
      <c r="DA158" s="34"/>
      <c r="DB158" s="34"/>
      <c r="DC158" s="34"/>
      <c r="DD158" s="34"/>
      <c r="DE158" s="34"/>
      <c r="DF158" s="34"/>
      <c r="DG158" s="34"/>
      <c r="DH158" s="34"/>
      <c r="DI158" s="34"/>
      <c r="DJ158" s="34"/>
      <c r="DK158" s="34"/>
      <c r="DL158" s="34"/>
      <c r="DM158" s="34"/>
      <c r="DN158" s="34"/>
      <c r="DO158" s="34"/>
      <c r="DP158" s="34"/>
      <c r="DQ158" s="34"/>
      <c r="DR158" s="34"/>
      <c r="DS158" s="34"/>
      <c r="DT158" s="34"/>
      <c r="DU158" s="34"/>
      <c r="DV158" s="34"/>
      <c r="DW158" s="34"/>
      <c r="DX158" s="34"/>
    </row>
    <row r="159" spans="1:128" s="64" customFormat="1">
      <c r="A159" s="102"/>
      <c r="B159" s="136" t="s">
        <v>799</v>
      </c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76"/>
      <c r="BP159" s="34"/>
      <c r="BQ159" s="34"/>
      <c r="BR159" s="34"/>
      <c r="BS159" s="34"/>
      <c r="BT159" s="34"/>
      <c r="BU159" s="34"/>
      <c r="BV159" s="34"/>
      <c r="BW159" s="76"/>
      <c r="BX159" s="76"/>
      <c r="BY159" s="76"/>
      <c r="BZ159" s="76"/>
      <c r="CA159" s="76"/>
      <c r="CB159" s="76"/>
      <c r="CC159" s="76"/>
      <c r="CD159" s="76"/>
      <c r="CE159" s="76"/>
      <c r="CF159" s="76"/>
      <c r="CG159" s="76"/>
      <c r="CH159" s="76"/>
      <c r="CI159" s="76"/>
      <c r="CJ159" s="76"/>
      <c r="CK159" s="76"/>
      <c r="CL159" s="76"/>
      <c r="CM159" s="76"/>
      <c r="CN159" s="76"/>
      <c r="CO159" s="76"/>
      <c r="CP159" s="76"/>
      <c r="CQ159" s="76"/>
      <c r="CR159" s="76">
        <f>13-140</f>
        <v>-127</v>
      </c>
      <c r="CS159" s="76"/>
      <c r="CT159" s="76"/>
      <c r="CU159" s="76"/>
      <c r="CV159" s="76"/>
      <c r="CW159" s="76"/>
      <c r="CX159" s="76"/>
      <c r="CY159" s="76"/>
      <c r="CZ159" s="76"/>
      <c r="DA159" s="34"/>
      <c r="DB159" s="34"/>
      <c r="DC159" s="34"/>
      <c r="DD159" s="34"/>
      <c r="DE159" s="34"/>
      <c r="DF159" s="34"/>
      <c r="DG159" s="34"/>
      <c r="DH159" s="34"/>
      <c r="DI159" s="34"/>
      <c r="DJ159" s="34"/>
      <c r="DK159" s="34"/>
      <c r="DL159" s="34"/>
      <c r="DM159" s="34"/>
      <c r="DN159" s="34"/>
      <c r="DO159" s="34"/>
      <c r="DP159" s="34"/>
      <c r="DQ159" s="34"/>
      <c r="DR159" s="34"/>
      <c r="DS159" s="34"/>
      <c r="DT159" s="34"/>
      <c r="DU159" s="34"/>
      <c r="DV159" s="34"/>
      <c r="DW159" s="34"/>
      <c r="DX159" s="34"/>
    </row>
    <row r="160" spans="1:128" s="64" customFormat="1">
      <c r="A160" s="102"/>
      <c r="B160" s="136" t="s">
        <v>797</v>
      </c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76"/>
      <c r="BP160" s="34"/>
      <c r="BQ160" s="34"/>
      <c r="BR160" s="34"/>
      <c r="BS160" s="34"/>
      <c r="BT160" s="34"/>
      <c r="BU160" s="34"/>
      <c r="BV160" s="34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>
        <f>-398-CM160</f>
        <v>-398</v>
      </c>
      <c r="CO160" s="76"/>
      <c r="CP160" s="76"/>
      <c r="CQ160" s="76"/>
      <c r="CR160" s="76">
        <f>-474-CQ160</f>
        <v>-474</v>
      </c>
      <c r="CS160" s="76"/>
      <c r="CT160" s="76"/>
      <c r="CU160" s="76"/>
      <c r="CV160" s="76"/>
      <c r="CW160" s="76"/>
      <c r="CX160" s="76"/>
      <c r="CY160" s="76"/>
      <c r="CZ160" s="76"/>
      <c r="DA160" s="34"/>
      <c r="DB160" s="34"/>
      <c r="DC160" s="34"/>
      <c r="DD160" s="34"/>
      <c r="DE160" s="34"/>
      <c r="DF160" s="34"/>
      <c r="DG160" s="34"/>
      <c r="DH160" s="34"/>
      <c r="DI160" s="34"/>
      <c r="DJ160" s="34"/>
      <c r="DK160" s="34"/>
      <c r="DL160" s="34"/>
      <c r="DM160" s="34"/>
      <c r="DN160" s="34"/>
      <c r="DO160" s="34"/>
      <c r="DP160" s="34"/>
      <c r="DQ160" s="34"/>
      <c r="DR160" s="34"/>
      <c r="DS160" s="34"/>
      <c r="DT160" s="34"/>
      <c r="DU160" s="34"/>
      <c r="DV160" s="34"/>
      <c r="DW160" s="34"/>
      <c r="DX160" s="34"/>
    </row>
    <row r="161" spans="1:128" s="64" customFormat="1">
      <c r="A161" s="102"/>
      <c r="B161" s="103" t="s">
        <v>422</v>
      </c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>
        <v>346</v>
      </c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76"/>
      <c r="BP161" s="34"/>
      <c r="BQ161" s="34"/>
      <c r="BR161" s="34"/>
      <c r="BS161" s="34"/>
      <c r="BT161" s="34"/>
      <c r="BU161" s="34"/>
      <c r="BV161" s="34"/>
      <c r="BW161" s="76"/>
      <c r="BX161" s="76"/>
      <c r="BY161" s="76"/>
      <c r="BZ161" s="76"/>
      <c r="CA161" s="76"/>
      <c r="CB161" s="76"/>
      <c r="CC161" s="76"/>
      <c r="CD161" s="76"/>
      <c r="CE161" s="76"/>
      <c r="CF161" s="76"/>
      <c r="CG161" s="76"/>
      <c r="CH161" s="76"/>
      <c r="CI161" s="76"/>
      <c r="CJ161" s="76"/>
      <c r="CK161" s="76"/>
      <c r="CL161" s="76"/>
      <c r="CM161" s="76"/>
      <c r="CN161" s="76">
        <f>-189-23-CM161</f>
        <v>-212</v>
      </c>
      <c r="CO161" s="76"/>
      <c r="CP161" s="76"/>
      <c r="CQ161" s="76"/>
      <c r="CR161" s="76">
        <f>-2771-CQ161</f>
        <v>-2771</v>
      </c>
      <c r="CS161" s="76"/>
      <c r="CT161" s="76"/>
      <c r="CU161" s="76"/>
      <c r="CV161" s="76"/>
      <c r="CW161" s="76"/>
      <c r="CX161" s="76"/>
      <c r="CY161" s="76"/>
      <c r="CZ161" s="76"/>
      <c r="DA161" s="34"/>
      <c r="DB161" s="34"/>
      <c r="DC161" s="34"/>
      <c r="DD161" s="34"/>
      <c r="DE161" s="34"/>
      <c r="DF161" s="34"/>
      <c r="DG161" s="34"/>
      <c r="DH161" s="34"/>
      <c r="DI161" s="34"/>
      <c r="DJ161" s="34"/>
      <c r="DK161" s="34"/>
      <c r="DL161" s="34"/>
      <c r="DM161" s="34"/>
      <c r="DN161" s="34"/>
      <c r="DO161" s="34"/>
      <c r="DP161" s="34"/>
      <c r="DQ161" s="34"/>
      <c r="DR161" s="34"/>
      <c r="DS161" s="34"/>
      <c r="DT161" s="34"/>
      <c r="DU161" s="34"/>
      <c r="DV161" s="34"/>
      <c r="DW161" s="34"/>
      <c r="DX161" s="34"/>
    </row>
    <row r="162" spans="1:128" s="64" customFormat="1">
      <c r="A162" s="102"/>
      <c r="B162" s="136" t="s">
        <v>800</v>
      </c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76"/>
      <c r="BP162" s="34"/>
      <c r="BQ162" s="34"/>
      <c r="BR162" s="34"/>
      <c r="BS162" s="34"/>
      <c r="BT162" s="34"/>
      <c r="BU162" s="34"/>
      <c r="BV162" s="34"/>
      <c r="BW162" s="76"/>
      <c r="BX162" s="76"/>
      <c r="BY162" s="76"/>
      <c r="BZ162" s="76"/>
      <c r="CA162" s="76"/>
      <c r="CB162" s="76"/>
      <c r="CC162" s="76"/>
      <c r="CD162" s="76"/>
      <c r="CE162" s="76"/>
      <c r="CF162" s="76"/>
      <c r="CG162" s="76"/>
      <c r="CH162" s="76"/>
      <c r="CI162" s="76"/>
      <c r="CJ162" s="76"/>
      <c r="CK162" s="76"/>
      <c r="CL162" s="76"/>
      <c r="CM162" s="76"/>
      <c r="CN162" s="76">
        <f>SUM(CN156:CN161)</f>
        <v>-1766</v>
      </c>
      <c r="CO162" s="76"/>
      <c r="CP162" s="76"/>
      <c r="CQ162" s="76"/>
      <c r="CR162" s="76">
        <f>SUM(CR156:CR161)</f>
        <v>-5285</v>
      </c>
      <c r="CS162" s="76"/>
      <c r="CT162" s="76"/>
      <c r="CU162" s="76"/>
      <c r="CV162" s="76"/>
      <c r="CW162" s="76"/>
      <c r="CX162" s="76"/>
      <c r="CY162" s="76"/>
      <c r="CZ162" s="76"/>
      <c r="DA162" s="34"/>
      <c r="DB162" s="34"/>
      <c r="DC162" s="34"/>
      <c r="DD162" s="34"/>
      <c r="DE162" s="34"/>
      <c r="DF162" s="34"/>
      <c r="DG162" s="34"/>
      <c r="DH162" s="34"/>
      <c r="DI162" s="34"/>
      <c r="DJ162" s="34"/>
      <c r="DK162" s="34"/>
      <c r="DL162" s="34"/>
      <c r="DM162" s="34"/>
      <c r="DN162" s="34"/>
      <c r="DO162" s="34"/>
      <c r="DP162" s="34"/>
      <c r="DQ162" s="34"/>
      <c r="DR162" s="34"/>
      <c r="DS162" s="34"/>
      <c r="DT162" s="34"/>
      <c r="DU162" s="34"/>
      <c r="DV162" s="34"/>
      <c r="DW162" s="34"/>
      <c r="DX162" s="34"/>
    </row>
    <row r="163" spans="1:128" s="64" customFormat="1">
      <c r="A163" s="102"/>
      <c r="B163" s="103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76"/>
      <c r="BP163" s="34"/>
      <c r="BQ163" s="34"/>
      <c r="BR163" s="34"/>
      <c r="BS163" s="34"/>
      <c r="BT163" s="34"/>
      <c r="BU163" s="34"/>
      <c r="BV163" s="34"/>
      <c r="BW163" s="76"/>
      <c r="BX163" s="76"/>
      <c r="BY163" s="76"/>
      <c r="BZ163" s="76"/>
      <c r="CA163" s="76"/>
      <c r="CB163" s="76"/>
      <c r="CC163" s="76"/>
      <c r="CD163" s="76"/>
      <c r="CE163" s="76"/>
      <c r="CF163" s="76"/>
      <c r="CG163" s="76"/>
      <c r="CH163" s="76"/>
      <c r="CI163" s="76"/>
      <c r="CJ163" s="76"/>
      <c r="CK163" s="76"/>
      <c r="CL163" s="76"/>
      <c r="CM163" s="76"/>
      <c r="CN163" s="76"/>
      <c r="CO163" s="76"/>
      <c r="CP163" s="76"/>
      <c r="CQ163" s="76"/>
      <c r="CR163" s="76"/>
      <c r="CS163" s="76"/>
      <c r="CT163" s="76"/>
      <c r="CU163" s="76"/>
      <c r="CV163" s="76"/>
      <c r="CW163" s="76"/>
      <c r="CX163" s="76"/>
      <c r="CY163" s="76"/>
      <c r="CZ163" s="76"/>
      <c r="DA163" s="34"/>
      <c r="DB163" s="34"/>
      <c r="DC163" s="34"/>
      <c r="DD163" s="34"/>
      <c r="DE163" s="34"/>
      <c r="DF163" s="34"/>
      <c r="DG163" s="34"/>
      <c r="DH163" s="34"/>
      <c r="DI163" s="34"/>
      <c r="DJ163" s="34"/>
      <c r="DK163" s="34"/>
      <c r="DL163" s="34"/>
      <c r="DM163" s="34"/>
      <c r="DN163" s="34"/>
      <c r="DO163" s="34"/>
      <c r="DP163" s="34"/>
      <c r="DQ163" s="34"/>
      <c r="DR163" s="34"/>
      <c r="DS163" s="34"/>
      <c r="DT163" s="34"/>
      <c r="DU163" s="34"/>
      <c r="DV163" s="34"/>
      <c r="DW163" s="34"/>
      <c r="DX163" s="34"/>
    </row>
    <row r="164" spans="1:128" s="64" customFormat="1">
      <c r="A164" s="102"/>
      <c r="B164" s="136" t="s">
        <v>801</v>
      </c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76"/>
      <c r="BP164" s="34"/>
      <c r="BQ164" s="34"/>
      <c r="BR164" s="34"/>
      <c r="BS164" s="34"/>
      <c r="BT164" s="34"/>
      <c r="BU164" s="34"/>
      <c r="BV164" s="34"/>
      <c r="BW164" s="76"/>
      <c r="BX164" s="76"/>
      <c r="BY164" s="76"/>
      <c r="BZ164" s="76"/>
      <c r="CA164" s="76"/>
      <c r="CB164" s="76"/>
      <c r="CC164" s="76"/>
      <c r="CD164" s="76"/>
      <c r="CE164" s="76"/>
      <c r="CF164" s="76"/>
      <c r="CG164" s="76"/>
      <c r="CH164" s="76"/>
      <c r="CI164" s="76"/>
      <c r="CJ164" s="76"/>
      <c r="CK164" s="76"/>
      <c r="CL164" s="76"/>
      <c r="CM164" s="76"/>
      <c r="CN164" s="76">
        <f>8-CM164</f>
        <v>8</v>
      </c>
      <c r="CO164" s="76"/>
      <c r="CP164" s="76"/>
      <c r="CQ164" s="76"/>
      <c r="CR164" s="76">
        <v>11</v>
      </c>
      <c r="CS164" s="76"/>
      <c r="CT164" s="76"/>
      <c r="CU164" s="76"/>
      <c r="CV164" s="76"/>
      <c r="CW164" s="76"/>
      <c r="CX164" s="76"/>
      <c r="CY164" s="76"/>
      <c r="CZ164" s="76"/>
      <c r="DA164" s="34"/>
      <c r="DB164" s="34"/>
      <c r="DC164" s="34"/>
      <c r="DD164" s="34"/>
      <c r="DE164" s="34"/>
      <c r="DF164" s="34"/>
      <c r="DG164" s="34"/>
      <c r="DH164" s="34"/>
      <c r="DI164" s="34"/>
      <c r="DJ164" s="34"/>
      <c r="DK164" s="34"/>
      <c r="DL164" s="34"/>
      <c r="DM164" s="34"/>
      <c r="DN164" s="34"/>
      <c r="DO164" s="34"/>
      <c r="DP164" s="34"/>
      <c r="DQ164" s="34"/>
      <c r="DR164" s="34"/>
      <c r="DS164" s="34"/>
      <c r="DT164" s="34"/>
      <c r="DU164" s="34"/>
      <c r="DV164" s="34"/>
      <c r="DW164" s="34"/>
      <c r="DX164" s="34"/>
    </row>
    <row r="165" spans="1:128" s="64" customFormat="1">
      <c r="A165" s="102"/>
      <c r="B165" s="136" t="s">
        <v>802</v>
      </c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76"/>
      <c r="BP165" s="34"/>
      <c r="BQ165" s="34"/>
      <c r="BR165" s="34"/>
      <c r="BS165" s="34"/>
      <c r="BT165" s="34"/>
      <c r="BU165" s="34"/>
      <c r="BV165" s="34"/>
      <c r="BW165" s="76"/>
      <c r="BX165" s="76"/>
      <c r="BY165" s="76"/>
      <c r="BZ165" s="76"/>
      <c r="CA165" s="76"/>
      <c r="CB165" s="76"/>
      <c r="CC165" s="76"/>
      <c r="CD165" s="76"/>
      <c r="CE165" s="76"/>
      <c r="CF165" s="76"/>
      <c r="CG165" s="76"/>
      <c r="CH165" s="76"/>
      <c r="CI165" s="76"/>
      <c r="CJ165" s="76"/>
      <c r="CK165" s="76"/>
      <c r="CL165" s="76"/>
      <c r="CM165" s="76"/>
      <c r="CN165" s="76">
        <f>3816-3408-CM165+72</f>
        <v>480</v>
      </c>
      <c r="CO165" s="76"/>
      <c r="CP165" s="76"/>
      <c r="CQ165" s="76"/>
      <c r="CR165" s="76">
        <f>4976-2643+2503</f>
        <v>4836</v>
      </c>
      <c r="CS165" s="76"/>
      <c r="CT165" s="76"/>
      <c r="CU165" s="76"/>
      <c r="CV165" s="76"/>
      <c r="CW165" s="76"/>
      <c r="CX165" s="76"/>
      <c r="CY165" s="76"/>
      <c r="CZ165" s="76"/>
      <c r="DA165" s="34"/>
      <c r="DB165" s="34"/>
      <c r="DC165" s="34"/>
      <c r="DD165" s="34"/>
      <c r="DE165" s="34"/>
      <c r="DF165" s="34"/>
      <c r="DG165" s="34"/>
      <c r="DH165" s="34"/>
      <c r="DI165" s="34"/>
      <c r="DJ165" s="34"/>
      <c r="DK165" s="34"/>
      <c r="DL165" s="34"/>
      <c r="DM165" s="34"/>
      <c r="DN165" s="34"/>
      <c r="DO165" s="34"/>
      <c r="DP165" s="34"/>
      <c r="DQ165" s="34"/>
      <c r="DR165" s="34"/>
      <c r="DS165" s="34"/>
      <c r="DT165" s="34"/>
      <c r="DU165" s="34"/>
      <c r="DV165" s="34"/>
      <c r="DW165" s="34"/>
      <c r="DX165" s="34"/>
    </row>
    <row r="166" spans="1:128" s="64" customFormat="1">
      <c r="A166" s="102"/>
      <c r="B166" s="136" t="s">
        <v>803</v>
      </c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76"/>
      <c r="BP166" s="34"/>
      <c r="BQ166" s="34"/>
      <c r="BR166" s="34"/>
      <c r="BS166" s="34"/>
      <c r="BT166" s="34"/>
      <c r="BU166" s="34"/>
      <c r="BV166" s="34"/>
      <c r="BW166" s="76"/>
      <c r="BX166" s="76"/>
      <c r="BY166" s="76"/>
      <c r="BZ166" s="76"/>
      <c r="CA166" s="76"/>
      <c r="CB166" s="76"/>
      <c r="CC166" s="76"/>
      <c r="CD166" s="76"/>
      <c r="CE166" s="76"/>
      <c r="CF166" s="76"/>
      <c r="CG166" s="76"/>
      <c r="CH166" s="76"/>
      <c r="CI166" s="76"/>
      <c r="CJ166" s="76"/>
      <c r="CK166" s="76"/>
      <c r="CL166" s="76"/>
      <c r="CM166" s="76"/>
      <c r="CN166" s="76">
        <f>-129-CM166</f>
        <v>-129</v>
      </c>
      <c r="CO166" s="76"/>
      <c r="CP166" s="76"/>
      <c r="CQ166" s="76"/>
      <c r="CR166" s="76">
        <f>-150-CQ166</f>
        <v>-150</v>
      </c>
      <c r="CS166" s="76"/>
      <c r="CT166" s="76"/>
      <c r="CU166" s="76"/>
      <c r="CV166" s="76"/>
      <c r="CW166" s="76"/>
      <c r="CX166" s="76"/>
      <c r="CY166" s="76"/>
      <c r="CZ166" s="76"/>
      <c r="DA166" s="34"/>
      <c r="DB166" s="34"/>
      <c r="DC166" s="34"/>
      <c r="DD166" s="34"/>
      <c r="DE166" s="34"/>
      <c r="DF166" s="34"/>
      <c r="DG166" s="34"/>
      <c r="DH166" s="34"/>
      <c r="DI166" s="34"/>
      <c r="DJ166" s="34"/>
      <c r="DK166" s="34"/>
      <c r="DL166" s="34"/>
      <c r="DM166" s="34"/>
      <c r="DN166" s="34"/>
      <c r="DO166" s="34"/>
      <c r="DP166" s="34"/>
      <c r="DQ166" s="34"/>
      <c r="DR166" s="34"/>
      <c r="DS166" s="34"/>
      <c r="DT166" s="34"/>
      <c r="DU166" s="34"/>
      <c r="DV166" s="34"/>
      <c r="DW166" s="34"/>
      <c r="DX166" s="34"/>
    </row>
    <row r="167" spans="1:128" s="64" customFormat="1">
      <c r="A167" s="102"/>
      <c r="B167" s="136" t="s">
        <v>648</v>
      </c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76"/>
      <c r="BP167" s="34"/>
      <c r="BQ167" s="34"/>
      <c r="BR167" s="34"/>
      <c r="BS167" s="34"/>
      <c r="BT167" s="34"/>
      <c r="BU167" s="34"/>
      <c r="BV167" s="34"/>
      <c r="BW167" s="76"/>
      <c r="BX167" s="76"/>
      <c r="BY167" s="76"/>
      <c r="BZ167" s="76"/>
      <c r="CA167" s="76"/>
      <c r="CB167" s="76"/>
      <c r="CC167" s="76"/>
      <c r="CD167" s="76"/>
      <c r="CE167" s="76"/>
      <c r="CF167" s="76"/>
      <c r="CG167" s="76"/>
      <c r="CH167" s="76"/>
      <c r="CI167" s="76"/>
      <c r="CJ167" s="76"/>
      <c r="CK167" s="76"/>
      <c r="CL167" s="76"/>
      <c r="CM167" s="76"/>
      <c r="CN167" s="76">
        <f>-867-CM167</f>
        <v>-867</v>
      </c>
      <c r="CO167" s="76"/>
      <c r="CP167" s="76"/>
      <c r="CQ167" s="76"/>
      <c r="CR167" s="76">
        <f>-833-CQ167</f>
        <v>-833</v>
      </c>
      <c r="CS167" s="76"/>
      <c r="CT167" s="76"/>
      <c r="CU167" s="76"/>
      <c r="CV167" s="76"/>
      <c r="CW167" s="76"/>
      <c r="CX167" s="76"/>
      <c r="CY167" s="76"/>
      <c r="CZ167" s="76"/>
      <c r="DA167" s="34"/>
      <c r="DB167" s="34"/>
      <c r="DC167" s="34"/>
      <c r="DD167" s="34"/>
      <c r="DE167" s="34"/>
      <c r="DF167" s="34"/>
      <c r="DG167" s="34"/>
      <c r="DH167" s="34"/>
      <c r="DI167" s="34"/>
      <c r="DJ167" s="34"/>
      <c r="DK167" s="34"/>
      <c r="DL167" s="34"/>
      <c r="DM167" s="34"/>
      <c r="DN167" s="34"/>
      <c r="DO167" s="34"/>
      <c r="DP167" s="34"/>
      <c r="DQ167" s="34"/>
      <c r="DR167" s="34"/>
      <c r="DS167" s="34"/>
      <c r="DT167" s="34"/>
      <c r="DU167" s="34"/>
      <c r="DV167" s="34"/>
      <c r="DW167" s="34"/>
      <c r="DX167" s="34"/>
    </row>
    <row r="168" spans="1:128" s="64" customFormat="1">
      <c r="A168" s="102"/>
      <c r="B168" s="103" t="s">
        <v>423</v>
      </c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>
        <v>2367</v>
      </c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76"/>
      <c r="BP168" s="34"/>
      <c r="BQ168" s="34"/>
      <c r="BR168" s="34"/>
      <c r="BS168" s="34"/>
      <c r="BT168" s="34"/>
      <c r="BU168" s="34"/>
      <c r="BV168" s="34"/>
      <c r="BW168" s="76"/>
      <c r="BX168" s="76"/>
      <c r="BY168" s="76"/>
      <c r="BZ168" s="76"/>
      <c r="CA168" s="76"/>
      <c r="CB168" s="76"/>
      <c r="CC168" s="76"/>
      <c r="CD168" s="76"/>
      <c r="CE168" s="76"/>
      <c r="CF168" s="76"/>
      <c r="CG168" s="76"/>
      <c r="CH168" s="76"/>
      <c r="CI168" s="76"/>
      <c r="CJ168" s="76"/>
      <c r="CK168" s="76"/>
      <c r="CL168" s="76"/>
      <c r="CM168" s="76"/>
      <c r="CN168" s="76">
        <f>-3069-CM168+27</f>
        <v>-3042</v>
      </c>
      <c r="CO168" s="76"/>
      <c r="CP168" s="76"/>
      <c r="CQ168" s="76"/>
      <c r="CR168" s="76">
        <f>-3050-8</f>
        <v>-3058</v>
      </c>
      <c r="CS168" s="76"/>
      <c r="CT168" s="76"/>
      <c r="CU168" s="76"/>
      <c r="CV168" s="76"/>
      <c r="CW168" s="76"/>
      <c r="CX168" s="76"/>
      <c r="CY168" s="76"/>
      <c r="CZ168" s="76"/>
      <c r="DA168" s="34"/>
      <c r="DB168" s="34"/>
      <c r="DC168" s="34"/>
      <c r="DD168" s="34"/>
      <c r="DE168" s="34"/>
      <c r="DF168" s="34"/>
      <c r="DG168" s="34"/>
      <c r="DH168" s="34"/>
      <c r="DI168" s="34"/>
      <c r="DJ168" s="34"/>
      <c r="DK168" s="34"/>
      <c r="DL168" s="34"/>
      <c r="DM168" s="34"/>
      <c r="DN168" s="34"/>
      <c r="DO168" s="34"/>
      <c r="DP168" s="34"/>
      <c r="DQ168" s="34"/>
      <c r="DR168" s="34"/>
      <c r="DS168" s="34"/>
      <c r="DT168" s="34"/>
      <c r="DU168" s="34"/>
      <c r="DV168" s="34"/>
      <c r="DW168" s="34"/>
      <c r="DX168" s="34"/>
    </row>
    <row r="169" spans="1:128" s="64" customFormat="1">
      <c r="A169" s="102"/>
      <c r="B169" s="136" t="s">
        <v>804</v>
      </c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76"/>
      <c r="BP169" s="34"/>
      <c r="BQ169" s="34"/>
      <c r="BR169" s="34"/>
      <c r="BS169" s="34"/>
      <c r="BT169" s="34"/>
      <c r="BU169" s="34"/>
      <c r="BV169" s="34"/>
      <c r="BW169" s="76"/>
      <c r="BX169" s="76"/>
      <c r="BY169" s="76"/>
      <c r="BZ169" s="76"/>
      <c r="CA169" s="76"/>
      <c r="CB169" s="76"/>
      <c r="CC169" s="76"/>
      <c r="CD169" s="76"/>
      <c r="CE169" s="76"/>
      <c r="CF169" s="76"/>
      <c r="CG169" s="76"/>
      <c r="CH169" s="76"/>
      <c r="CI169" s="76"/>
      <c r="CJ169" s="76"/>
      <c r="CK169" s="76"/>
      <c r="CL169" s="76"/>
      <c r="CM169" s="76"/>
      <c r="CN169" s="76">
        <f>SUM(CN164:CN168)</f>
        <v>-3550</v>
      </c>
      <c r="CO169" s="76"/>
      <c r="CP169" s="76"/>
      <c r="CQ169" s="76"/>
      <c r="CR169" s="76">
        <f>SUM(CR164:CR168)</f>
        <v>806</v>
      </c>
      <c r="CS169" s="76"/>
      <c r="CT169" s="76"/>
      <c r="CU169" s="76"/>
      <c r="CV169" s="76"/>
      <c r="CW169" s="76"/>
      <c r="CX169" s="76"/>
      <c r="CY169" s="76"/>
      <c r="CZ169" s="76"/>
      <c r="DA169" s="34"/>
      <c r="DB169" s="34"/>
      <c r="DC169" s="34"/>
      <c r="DD169" s="34"/>
      <c r="DE169" s="34"/>
      <c r="DF169" s="34"/>
      <c r="DG169" s="34"/>
      <c r="DH169" s="34"/>
      <c r="DI169" s="34"/>
      <c r="DJ169" s="34"/>
      <c r="DK169" s="34"/>
      <c r="DL169" s="34"/>
      <c r="DM169" s="34"/>
      <c r="DN169" s="34"/>
      <c r="DO169" s="34"/>
      <c r="DP169" s="34"/>
      <c r="DQ169" s="34"/>
      <c r="DR169" s="34"/>
      <c r="DS169" s="34"/>
      <c r="DT169" s="34"/>
      <c r="DU169" s="34"/>
      <c r="DV169" s="34"/>
      <c r="DW169" s="34"/>
      <c r="DX169" s="34"/>
    </row>
    <row r="170" spans="1:128" s="64" customFormat="1">
      <c r="A170" s="102"/>
      <c r="B170" s="136" t="s">
        <v>805</v>
      </c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76"/>
      <c r="BP170" s="34"/>
      <c r="BQ170" s="34"/>
      <c r="BR170" s="34"/>
      <c r="BS170" s="34"/>
      <c r="BT170" s="34"/>
      <c r="BU170" s="34"/>
      <c r="BV170" s="34"/>
      <c r="BW170" s="76"/>
      <c r="BX170" s="76"/>
      <c r="BY170" s="76"/>
      <c r="BZ170" s="76"/>
      <c r="CA170" s="76"/>
      <c r="CB170" s="76"/>
      <c r="CC170" s="76"/>
      <c r="CD170" s="76"/>
      <c r="CE170" s="76"/>
      <c r="CF170" s="76"/>
      <c r="CG170" s="76"/>
      <c r="CH170" s="76"/>
      <c r="CI170" s="76"/>
      <c r="CJ170" s="76"/>
      <c r="CK170" s="76"/>
      <c r="CL170" s="76"/>
      <c r="CM170" s="76"/>
      <c r="CN170" s="76">
        <f>-47-CM170</f>
        <v>-47</v>
      </c>
      <c r="CO170" s="76"/>
      <c r="CP170" s="76"/>
      <c r="CQ170" s="76"/>
      <c r="CR170" s="76">
        <f>-52-CQ170</f>
        <v>-52</v>
      </c>
      <c r="CS170" s="76"/>
      <c r="CT170" s="76"/>
      <c r="CU170" s="76"/>
      <c r="CV170" s="76"/>
      <c r="CW170" s="76"/>
      <c r="CX170" s="76"/>
      <c r="CY170" s="76"/>
      <c r="CZ170" s="76"/>
      <c r="DA170" s="34"/>
      <c r="DB170" s="34"/>
      <c r="DC170" s="34"/>
      <c r="DD170" s="34"/>
      <c r="DE170" s="34"/>
      <c r="DF170" s="34"/>
      <c r="DG170" s="34"/>
      <c r="DH170" s="34"/>
      <c r="DI170" s="34"/>
      <c r="DJ170" s="34"/>
      <c r="DK170" s="34"/>
      <c r="DL170" s="34"/>
      <c r="DM170" s="34"/>
      <c r="DN170" s="34"/>
      <c r="DO170" s="34"/>
      <c r="DP170" s="34"/>
      <c r="DQ170" s="34"/>
      <c r="DR170" s="34"/>
      <c r="DS170" s="34"/>
      <c r="DT170" s="34"/>
      <c r="DU170" s="34"/>
      <c r="DV170" s="34"/>
      <c r="DW170" s="34"/>
      <c r="DX170" s="34"/>
    </row>
    <row r="171" spans="1:128" s="64" customFormat="1">
      <c r="A171" s="102"/>
      <c r="B171" s="136" t="s">
        <v>806</v>
      </c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76"/>
      <c r="BP171" s="34"/>
      <c r="BQ171" s="34"/>
      <c r="BR171" s="34"/>
      <c r="BS171" s="34"/>
      <c r="BT171" s="34"/>
      <c r="BU171" s="34"/>
      <c r="BV171" s="34"/>
      <c r="BW171" s="76"/>
      <c r="BX171" s="76"/>
      <c r="BY171" s="76"/>
      <c r="BZ171" s="76"/>
      <c r="CA171" s="76"/>
      <c r="CB171" s="76"/>
      <c r="CC171" s="76"/>
      <c r="CD171" s="76"/>
      <c r="CE171" s="76"/>
      <c r="CF171" s="76"/>
      <c r="CG171" s="76"/>
      <c r="CH171" s="76"/>
      <c r="CI171" s="76"/>
      <c r="CJ171" s="76"/>
      <c r="CK171" s="76"/>
      <c r="CL171" s="76"/>
      <c r="CM171" s="76"/>
      <c r="CN171" s="76">
        <f>CN170+CN169+CN162+CN154</f>
        <v>-512</v>
      </c>
      <c r="CO171" s="76"/>
      <c r="CP171" s="76"/>
      <c r="CQ171" s="76"/>
      <c r="CR171" s="76">
        <f>CR170+CR169+CR162+CR154</f>
        <v>1040</v>
      </c>
      <c r="CS171" s="76"/>
      <c r="CT171" s="76"/>
      <c r="CU171" s="76"/>
      <c r="CV171" s="76"/>
      <c r="CW171" s="76"/>
      <c r="CX171" s="76"/>
      <c r="CY171" s="76"/>
      <c r="CZ171" s="76"/>
      <c r="DA171" s="34"/>
      <c r="DB171" s="34"/>
      <c r="DC171" s="34"/>
      <c r="DD171" s="34"/>
      <c r="DE171" s="34"/>
      <c r="DF171" s="34"/>
      <c r="DG171" s="34"/>
      <c r="DH171" s="34"/>
      <c r="DI171" s="34"/>
      <c r="DJ171" s="34"/>
      <c r="DK171" s="34"/>
      <c r="DL171" s="34"/>
      <c r="DM171" s="34"/>
      <c r="DN171" s="34"/>
      <c r="DO171" s="34"/>
      <c r="DP171" s="34"/>
      <c r="DQ171" s="34"/>
      <c r="DR171" s="34"/>
      <c r="DS171" s="34"/>
      <c r="DT171" s="34"/>
      <c r="DU171" s="34"/>
      <c r="DV171" s="34"/>
      <c r="DW171" s="34"/>
      <c r="DX171" s="34"/>
    </row>
    <row r="173" spans="1:128">
      <c r="B173" s="136" t="s">
        <v>666</v>
      </c>
      <c r="CR173" s="76">
        <v>5571</v>
      </c>
    </row>
    <row r="174" spans="1:128">
      <c r="B174" s="136" t="s">
        <v>667</v>
      </c>
      <c r="CR174" s="76">
        <v>1630</v>
      </c>
    </row>
    <row r="175" spans="1:128">
      <c r="B175" s="136" t="s">
        <v>668</v>
      </c>
      <c r="CR175" s="76">
        <v>1756</v>
      </c>
    </row>
    <row r="176" spans="1:128">
      <c r="B176" s="136" t="s">
        <v>669</v>
      </c>
      <c r="CR176" s="76">
        <v>2732</v>
      </c>
    </row>
    <row r="177" spans="2:96">
      <c r="B177" s="136" t="s">
        <v>670</v>
      </c>
      <c r="CR177" s="76">
        <v>1249</v>
      </c>
    </row>
    <row r="179" spans="2:96">
      <c r="B179" s="136" t="s">
        <v>509</v>
      </c>
      <c r="CN179" s="79">
        <f>1169-CM179</f>
        <v>1169</v>
      </c>
      <c r="CR179" s="79">
        <f>1772-CQ179</f>
        <v>1772</v>
      </c>
    </row>
    <row r="180" spans="2:96">
      <c r="B180" s="136" t="s">
        <v>671</v>
      </c>
      <c r="CN180" s="79">
        <f>257-CM180</f>
        <v>257</v>
      </c>
      <c r="CR180" s="79">
        <f>507-CQ180</f>
        <v>507</v>
      </c>
    </row>
  </sheetData>
  <phoneticPr fontId="3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verticalDpi="300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zoomScale="115" workbookViewId="0"/>
  </sheetViews>
  <sheetFormatPr defaultColWidth="9.140625" defaultRowHeight="12.75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>
      <c r="A1" s="13" t="s">
        <v>65</v>
      </c>
    </row>
    <row r="2" spans="1:3">
      <c r="A2" s="13"/>
      <c r="B2" s="1" t="s">
        <v>78</v>
      </c>
      <c r="C2" s="1" t="s">
        <v>123</v>
      </c>
    </row>
    <row r="3" spans="1:3">
      <c r="A3" s="13"/>
      <c r="B3" s="1" t="s">
        <v>82</v>
      </c>
      <c r="C3" s="1" t="s">
        <v>135</v>
      </c>
    </row>
    <row r="4" spans="1:3">
      <c r="A4" s="13"/>
      <c r="B4" s="1" t="s">
        <v>1</v>
      </c>
      <c r="C4" s="1" t="s">
        <v>9</v>
      </c>
    </row>
    <row r="5" spans="1:3">
      <c r="A5" s="13"/>
      <c r="B5" s="1" t="s">
        <v>79</v>
      </c>
      <c r="C5" s="1" t="s">
        <v>148</v>
      </c>
    </row>
    <row r="6" spans="1:3">
      <c r="A6" s="13"/>
      <c r="B6" s="1" t="s">
        <v>209</v>
      </c>
      <c r="C6" s="1" t="s">
        <v>210</v>
      </c>
    </row>
    <row r="7" spans="1:3">
      <c r="A7" s="13"/>
      <c r="B7" s="1" t="s">
        <v>60</v>
      </c>
    </row>
    <row r="8" spans="1:3">
      <c r="A8" s="13"/>
      <c r="C8" s="18" t="s">
        <v>149</v>
      </c>
    </row>
    <row r="9" spans="1:3">
      <c r="A9" s="13"/>
      <c r="C9" s="1" t="s">
        <v>150</v>
      </c>
    </row>
    <row r="10" spans="1:3">
      <c r="A10" s="13"/>
      <c r="C10" s="1" t="s">
        <v>151</v>
      </c>
    </row>
    <row r="11" spans="1:3">
      <c r="A11" s="13"/>
      <c r="C11" s="1" t="s">
        <v>152</v>
      </c>
    </row>
    <row r="12" spans="1:3">
      <c r="A12" s="13"/>
    </row>
    <row r="13" spans="1:3">
      <c r="C13" s="18" t="s">
        <v>144</v>
      </c>
    </row>
    <row r="14" spans="1:3">
      <c r="C14" s="1" t="s">
        <v>50</v>
      </c>
    </row>
    <row r="15" spans="1:3">
      <c r="C15" s="1" t="s">
        <v>147</v>
      </c>
    </row>
    <row r="16" spans="1:3">
      <c r="C16" s="1" t="s">
        <v>145</v>
      </c>
    </row>
    <row r="17" spans="3:3">
      <c r="C17" s="1" t="s">
        <v>146</v>
      </c>
    </row>
    <row r="19" spans="3:3">
      <c r="C19" s="18" t="s">
        <v>143</v>
      </c>
    </row>
    <row r="20" spans="3:3">
      <c r="C20" s="1" t="s">
        <v>139</v>
      </c>
    </row>
    <row r="21" spans="3:3">
      <c r="C21" s="1" t="s">
        <v>140</v>
      </c>
    </row>
    <row r="22" spans="3:3">
      <c r="C22" s="1" t="s">
        <v>142</v>
      </c>
    </row>
    <row r="23" spans="3:3">
      <c r="C23" s="1" t="s">
        <v>155</v>
      </c>
    </row>
    <row r="24" spans="3:3">
      <c r="C24" s="1" t="s">
        <v>141</v>
      </c>
    </row>
    <row r="25" spans="3:3">
      <c r="C25" s="1" t="s">
        <v>154</v>
      </c>
    </row>
    <row r="27" spans="3:3">
      <c r="C27" s="18" t="s">
        <v>153</v>
      </c>
    </row>
    <row r="30" spans="3:3">
      <c r="C30" s="18" t="s">
        <v>156</v>
      </c>
    </row>
    <row r="33" spans="3:3">
      <c r="C33" s="18" t="s">
        <v>157</v>
      </c>
    </row>
    <row r="34" spans="3:3">
      <c r="C34" s="1" t="s">
        <v>158</v>
      </c>
    </row>
    <row r="35" spans="3:3">
      <c r="C35" s="1" t="s">
        <v>159</v>
      </c>
    </row>
    <row r="40" spans="3:3">
      <c r="C40" s="19" t="s">
        <v>136</v>
      </c>
    </row>
    <row r="41" spans="3:3">
      <c r="C41" s="19" t="s">
        <v>137</v>
      </c>
    </row>
    <row r="42" spans="3:3">
      <c r="C42" s="19" t="s">
        <v>138</v>
      </c>
    </row>
  </sheetData>
  <phoneticPr fontId="3" type="noConversion"/>
  <hyperlinks>
    <hyperlink ref="A1" location="Main!A1" display="Main" xr:uid="{00000000-0004-0000-0900-000000000000}"/>
  </hyperlinks>
  <pageMargins left="0.75" right="0.75" top="1" bottom="1" header="0.5" footer="0.5"/>
  <pageSetup orientation="portrait" horizontalDpi="4294967293" verticalDpi="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8965-EA7C-4DD6-8D5E-6CA919F34AB6}">
  <dimension ref="A1:C11"/>
  <sheetViews>
    <sheetView tabSelected="1" zoomScale="115" zoomScaleNormal="115" workbookViewId="0">
      <selection activeCell="C12" sqref="C12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871</v>
      </c>
    </row>
    <row r="3" spans="1:3">
      <c r="B3" s="120" t="s">
        <v>564</v>
      </c>
      <c r="C3" s="120" t="s">
        <v>872</v>
      </c>
    </row>
    <row r="4" spans="1:3">
      <c r="B4" s="120" t="s">
        <v>587</v>
      </c>
      <c r="C4" s="120" t="s">
        <v>873</v>
      </c>
    </row>
    <row r="5" spans="1:3">
      <c r="B5" s="120" t="s">
        <v>60</v>
      </c>
    </row>
    <row r="7" spans="1:3">
      <c r="C7" s="121" t="s">
        <v>874</v>
      </c>
    </row>
    <row r="11" spans="1:3">
      <c r="C11" s="121" t="s">
        <v>875</v>
      </c>
    </row>
  </sheetData>
  <hyperlinks>
    <hyperlink ref="A1" location="Main!A1" display="Main" xr:uid="{16EFD54F-BAC9-4A22-BB7E-2095E34A7FED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5FEE-C61E-4AF6-8F9E-79C91457CC8B}">
  <dimension ref="A1:C20"/>
  <sheetViews>
    <sheetView zoomScale="250" zoomScaleNormal="250"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523</v>
      </c>
    </row>
    <row r="3" spans="1:3">
      <c r="B3" s="120" t="s">
        <v>560</v>
      </c>
      <c r="C3" s="120" t="s">
        <v>742</v>
      </c>
    </row>
    <row r="4" spans="1:3">
      <c r="B4" s="120" t="s">
        <v>1</v>
      </c>
      <c r="C4" s="120" t="s">
        <v>743</v>
      </c>
    </row>
    <row r="5" spans="1:3">
      <c r="B5" s="120" t="s">
        <v>564</v>
      </c>
    </row>
    <row r="6" spans="1:3">
      <c r="B6" s="120" t="s">
        <v>60</v>
      </c>
    </row>
    <row r="11" spans="1:3">
      <c r="B11" s="120" t="s">
        <v>666</v>
      </c>
      <c r="C11">
        <v>1032</v>
      </c>
    </row>
    <row r="12" spans="1:3">
      <c r="B12" s="120" t="s">
        <v>668</v>
      </c>
      <c r="C12">
        <v>66</v>
      </c>
    </row>
    <row r="13" spans="1:3">
      <c r="B13" s="120" t="s">
        <v>669</v>
      </c>
      <c r="C13">
        <v>411</v>
      </c>
    </row>
    <row r="14" spans="1:3">
      <c r="B14" s="120" t="s">
        <v>670</v>
      </c>
      <c r="C14">
        <v>295</v>
      </c>
    </row>
    <row r="15" spans="1:3">
      <c r="B15" s="120" t="s">
        <v>706</v>
      </c>
      <c r="C15">
        <f>SUM(C11:C14)</f>
        <v>1804</v>
      </c>
    </row>
    <row r="17" spans="2:3">
      <c r="B17" s="120" t="s">
        <v>666</v>
      </c>
      <c r="C17" s="141">
        <f t="shared" ref="C17:C19" si="0">C11/$C$15</f>
        <v>0.57206208425720617</v>
      </c>
    </row>
    <row r="18" spans="2:3">
      <c r="B18" s="120" t="s">
        <v>668</v>
      </c>
      <c r="C18" s="141">
        <f t="shared" si="0"/>
        <v>3.6585365853658534E-2</v>
      </c>
    </row>
    <row r="19" spans="2:3">
      <c r="B19" s="120" t="s">
        <v>669</v>
      </c>
      <c r="C19" s="141">
        <f t="shared" si="0"/>
        <v>0.22782705099778269</v>
      </c>
    </row>
    <row r="20" spans="2:3">
      <c r="B20" s="120" t="s">
        <v>670</v>
      </c>
      <c r="C20" s="141">
        <f>C14/$C$15</f>
        <v>0.16352549889135254</v>
      </c>
    </row>
  </sheetData>
  <hyperlinks>
    <hyperlink ref="A1" location="Main!A1" display="Main" xr:uid="{EB762F87-098A-4FC6-A4B7-46DB4F4FD50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46F9-B947-447B-839D-587EFD7818CD}">
  <dimension ref="A1:C4"/>
  <sheetViews>
    <sheetView zoomScale="220" zoomScaleNormal="220" workbookViewId="0"/>
  </sheetViews>
  <sheetFormatPr defaultRowHeight="12.75"/>
  <cols>
    <col min="1" max="1" width="5" bestFit="1" customWidth="1"/>
  </cols>
  <sheetData>
    <row r="1" spans="1:3">
      <c r="A1" s="15" t="s">
        <v>65</v>
      </c>
    </row>
    <row r="2" spans="1:3">
      <c r="B2" t="s">
        <v>559</v>
      </c>
      <c r="C2" t="s">
        <v>829</v>
      </c>
    </row>
    <row r="3" spans="1:3">
      <c r="B3" t="s">
        <v>560</v>
      </c>
      <c r="C3" t="s">
        <v>828</v>
      </c>
    </row>
    <row r="4" spans="1:3">
      <c r="B4" t="s">
        <v>1</v>
      </c>
      <c r="C4" t="s">
        <v>827</v>
      </c>
    </row>
  </sheetData>
  <hyperlinks>
    <hyperlink ref="A1" location="Main!A1" display="Main" xr:uid="{B8E2C478-0239-49B2-BD3E-39F10035ABA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B29F5-8516-4A0A-BA86-952AC6D33527}">
  <dimension ref="A1:D35"/>
  <sheetViews>
    <sheetView zoomScale="160" zoomScaleNormal="160" workbookViewId="0">
      <selection activeCell="C7" sqref="C7"/>
    </sheetView>
  </sheetViews>
  <sheetFormatPr defaultColWidth="8.85546875" defaultRowHeight="12.75"/>
  <cols>
    <col min="1" max="1" width="5" bestFit="1" customWidth="1"/>
    <col min="2" max="2" width="12" bestFit="1" customWidth="1"/>
  </cols>
  <sheetData>
    <row r="1" spans="1:4">
      <c r="A1" s="15" t="s">
        <v>65</v>
      </c>
    </row>
    <row r="2" spans="1:4">
      <c r="B2" s="120" t="s">
        <v>559</v>
      </c>
      <c r="C2" s="120" t="s">
        <v>506</v>
      </c>
    </row>
    <row r="3" spans="1:4">
      <c r="B3" s="120" t="s">
        <v>560</v>
      </c>
      <c r="C3" s="120" t="s">
        <v>565</v>
      </c>
    </row>
    <row r="4" spans="1:4">
      <c r="B4" s="120" t="s">
        <v>1</v>
      </c>
      <c r="C4" s="120" t="s">
        <v>661</v>
      </c>
    </row>
    <row r="5" spans="1:4">
      <c r="B5" s="120" t="s">
        <v>564</v>
      </c>
      <c r="C5" s="120" t="s">
        <v>566</v>
      </c>
    </row>
    <row r="6" spans="1:4">
      <c r="B6" s="120" t="s">
        <v>4</v>
      </c>
      <c r="C6" s="120" t="s">
        <v>600</v>
      </c>
    </row>
    <row r="7" spans="1:4">
      <c r="C7" s="120" t="s">
        <v>637</v>
      </c>
    </row>
    <row r="8" spans="1:4">
      <c r="B8" s="120" t="s">
        <v>60</v>
      </c>
    </row>
    <row r="9" spans="1:4">
      <c r="C9" s="121" t="s">
        <v>751</v>
      </c>
    </row>
    <row r="13" spans="1:4">
      <c r="C13" s="121" t="s">
        <v>674</v>
      </c>
    </row>
    <row r="14" spans="1:4">
      <c r="C14" s="120" t="s">
        <v>675</v>
      </c>
    </row>
    <row r="15" spans="1:4">
      <c r="C15" s="95" t="s">
        <v>750</v>
      </c>
    </row>
    <row r="16" spans="1:4">
      <c r="C16" s="141"/>
      <c r="D16" s="141"/>
    </row>
    <row r="17" spans="2:3">
      <c r="C17" s="121" t="s">
        <v>707</v>
      </c>
    </row>
    <row r="20" spans="2:3">
      <c r="C20" s="120" t="s">
        <v>708</v>
      </c>
    </row>
    <row r="25" spans="2:3">
      <c r="C25" s="163" t="s">
        <v>705</v>
      </c>
    </row>
    <row r="26" spans="2:3">
      <c r="B26" s="120" t="s">
        <v>666</v>
      </c>
      <c r="C26" s="164">
        <v>1282</v>
      </c>
    </row>
    <row r="27" spans="2:3">
      <c r="B27" s="120" t="s">
        <v>668</v>
      </c>
      <c r="C27" s="164">
        <v>919</v>
      </c>
    </row>
    <row r="28" spans="2:3">
      <c r="B28" s="120" t="s">
        <v>669</v>
      </c>
      <c r="C28" s="164">
        <v>628</v>
      </c>
    </row>
    <row r="29" spans="2:3">
      <c r="B29" s="120" t="s">
        <v>670</v>
      </c>
      <c r="C29" s="164">
        <v>374</v>
      </c>
    </row>
    <row r="30" spans="2:3">
      <c r="B30" s="120" t="s">
        <v>706</v>
      </c>
      <c r="C30" s="164">
        <f>SUM(C26:C29)</f>
        <v>3203</v>
      </c>
    </row>
    <row r="32" spans="2:3">
      <c r="B32" s="120" t="s">
        <v>666</v>
      </c>
      <c r="C32" s="141">
        <f>+C26/$C$30</f>
        <v>0.40024976584452077</v>
      </c>
    </row>
    <row r="33" spans="2:3">
      <c r="B33" s="120" t="s">
        <v>668</v>
      </c>
      <c r="C33" s="141">
        <f>+C27/$C$30</f>
        <v>0.28691851389322509</v>
      </c>
    </row>
    <row r="34" spans="2:3">
      <c r="B34" s="120" t="s">
        <v>669</v>
      </c>
      <c r="C34" s="141">
        <f>+C28/$C$30</f>
        <v>0.19606618794879802</v>
      </c>
    </row>
    <row r="35" spans="2:3">
      <c r="B35" s="120" t="s">
        <v>670</v>
      </c>
      <c r="C35" s="141">
        <f>+C29/$C$30</f>
        <v>0.11676553231345614</v>
      </c>
    </row>
  </sheetData>
  <hyperlinks>
    <hyperlink ref="A1" location="Main!A1" display="Main" xr:uid="{63226446-B06C-4D78-9987-812E8AF633EB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25E2-34F6-43A4-945E-176E2A0BF648}">
  <dimension ref="A1:C13"/>
  <sheetViews>
    <sheetView zoomScale="295" zoomScaleNormal="295" workbookViewId="0"/>
  </sheetViews>
  <sheetFormatPr defaultRowHeight="12.75"/>
  <cols>
    <col min="1" max="1" width="5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524</v>
      </c>
    </row>
    <row r="3" spans="1:3">
      <c r="B3" s="120" t="s">
        <v>560</v>
      </c>
      <c r="C3" s="120" t="s">
        <v>744</v>
      </c>
    </row>
    <row r="4" spans="1:3">
      <c r="B4" s="120" t="s">
        <v>1</v>
      </c>
      <c r="C4" s="120" t="s">
        <v>745</v>
      </c>
    </row>
    <row r="5" spans="1:3">
      <c r="B5" s="120" t="s">
        <v>60</v>
      </c>
    </row>
    <row r="9" spans="1:3">
      <c r="B9" s="120" t="s">
        <v>666</v>
      </c>
      <c r="C9">
        <v>529</v>
      </c>
    </row>
    <row r="10" spans="1:3">
      <c r="B10" s="120" t="s">
        <v>668</v>
      </c>
      <c r="C10">
        <v>31</v>
      </c>
    </row>
    <row r="11" spans="1:3">
      <c r="B11" s="120" t="s">
        <v>669</v>
      </c>
      <c r="C11">
        <v>48</v>
      </c>
    </row>
    <row r="12" spans="1:3">
      <c r="B12" s="120" t="s">
        <v>670</v>
      </c>
      <c r="C12">
        <v>45</v>
      </c>
    </row>
    <row r="13" spans="1:3">
      <c r="B13" s="120" t="s">
        <v>706</v>
      </c>
      <c r="C13">
        <f>SUM(C9:C12)</f>
        <v>653</v>
      </c>
    </row>
  </sheetData>
  <hyperlinks>
    <hyperlink ref="A1" location="Main!A1" display="Main" xr:uid="{D6260642-50F1-4B59-B3FF-D791459873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659A-2EC1-4CC8-ACD5-EF81AA0DAB71}">
  <dimension ref="A1:C40"/>
  <sheetViews>
    <sheetView zoomScale="235" zoomScaleNormal="235" workbookViewId="0"/>
  </sheetViews>
  <sheetFormatPr defaultRowHeight="12.75"/>
  <cols>
    <col min="1" max="1" width="5" bestFit="1" customWidth="1"/>
    <col min="2" max="2" width="12" bestFit="1" customWidth="1"/>
    <col min="3" max="3" width="10.85546875" customWidth="1"/>
  </cols>
  <sheetData>
    <row r="1" spans="1:3">
      <c r="A1" s="15" t="s">
        <v>65</v>
      </c>
    </row>
    <row r="2" spans="1:3">
      <c r="B2" s="120" t="s">
        <v>559</v>
      </c>
      <c r="C2" s="120" t="s">
        <v>644</v>
      </c>
    </row>
    <row r="3" spans="1:3">
      <c r="B3" s="120" t="s">
        <v>560</v>
      </c>
      <c r="C3" s="120" t="s">
        <v>641</v>
      </c>
    </row>
    <row r="4" spans="1:3">
      <c r="B4" s="120" t="s">
        <v>1</v>
      </c>
      <c r="C4" s="120" t="s">
        <v>672</v>
      </c>
    </row>
    <row r="5" spans="1:3">
      <c r="B5" s="120" t="s">
        <v>60</v>
      </c>
    </row>
    <row r="6" spans="1:3">
      <c r="C6" s="121" t="s">
        <v>642</v>
      </c>
    </row>
    <row r="7" spans="1:3">
      <c r="C7" s="120" t="s">
        <v>643</v>
      </c>
    </row>
    <row r="8" spans="1:3">
      <c r="C8" s="120"/>
    </row>
    <row r="10" spans="1:3">
      <c r="C10" s="121" t="s">
        <v>656</v>
      </c>
    </row>
    <row r="11" spans="1:3">
      <c r="C11" s="120" t="s">
        <v>655</v>
      </c>
    </row>
    <row r="12" spans="1:3">
      <c r="C12" s="120" t="s">
        <v>673</v>
      </c>
    </row>
    <row r="14" spans="1:3">
      <c r="C14" s="121" t="s">
        <v>696</v>
      </c>
    </row>
    <row r="15" spans="1:3">
      <c r="C15" s="120" t="s">
        <v>695</v>
      </c>
    </row>
    <row r="17" spans="1:3">
      <c r="A17" s="95"/>
      <c r="C17" s="121" t="s">
        <v>709</v>
      </c>
    </row>
    <row r="19" spans="1:3">
      <c r="C19" s="121" t="s">
        <v>710</v>
      </c>
    </row>
    <row r="21" spans="1:3">
      <c r="C21" s="121" t="s">
        <v>711</v>
      </c>
    </row>
    <row r="23" spans="1:3">
      <c r="C23" s="121" t="s">
        <v>712</v>
      </c>
    </row>
    <row r="25" spans="1:3">
      <c r="C25" s="121" t="s">
        <v>754</v>
      </c>
    </row>
    <row r="26" spans="1:3">
      <c r="C26" s="120" t="s">
        <v>752</v>
      </c>
    </row>
    <row r="27" spans="1:3">
      <c r="C27" s="120" t="s">
        <v>753</v>
      </c>
    </row>
    <row r="31" spans="1:3">
      <c r="B31" s="120" t="s">
        <v>666</v>
      </c>
      <c r="C31" s="164">
        <v>1202</v>
      </c>
    </row>
    <row r="32" spans="1:3">
      <c r="B32" s="120" t="s">
        <v>668</v>
      </c>
      <c r="C32" s="164">
        <v>245</v>
      </c>
    </row>
    <row r="33" spans="2:3">
      <c r="B33" s="120" t="s">
        <v>669</v>
      </c>
      <c r="C33" s="164">
        <v>459</v>
      </c>
    </row>
    <row r="34" spans="2:3">
      <c r="B34" s="120" t="s">
        <v>670</v>
      </c>
      <c r="C34" s="164">
        <v>353</v>
      </c>
    </row>
    <row r="35" spans="2:3">
      <c r="B35" s="120" t="s">
        <v>706</v>
      </c>
      <c r="C35" s="164">
        <f>SUM(C31:C34)</f>
        <v>2259</v>
      </c>
    </row>
    <row r="37" spans="2:3">
      <c r="B37" s="120" t="s">
        <v>666</v>
      </c>
      <c r="C37" s="141">
        <f>+C31/$C$35</f>
        <v>0.5320938468348827</v>
      </c>
    </row>
    <row r="38" spans="2:3">
      <c r="B38" s="120" t="s">
        <v>668</v>
      </c>
      <c r="C38" s="141">
        <f>+C32/$C$35</f>
        <v>0.10845506861443116</v>
      </c>
    </row>
    <row r="39" spans="2:3">
      <c r="B39" s="120" t="s">
        <v>669</v>
      </c>
      <c r="C39" s="141">
        <f>+C33/$C$35</f>
        <v>0.20318725099601595</v>
      </c>
    </row>
    <row r="40" spans="2:3">
      <c r="B40" s="120" t="s">
        <v>670</v>
      </c>
      <c r="C40" s="141">
        <f>+C34/$C$35</f>
        <v>0.15626383355467022</v>
      </c>
    </row>
  </sheetData>
  <hyperlinks>
    <hyperlink ref="A1" location="Main!A1" display="Main" xr:uid="{C7BC362D-C423-439D-BF21-BA6DA25EBEF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EDAF-FA03-4297-9499-09966CB37A67}">
  <dimension ref="A1:C9"/>
  <sheetViews>
    <sheetView zoomScale="175" zoomScaleNormal="175" workbookViewId="0"/>
  </sheetViews>
  <sheetFormatPr defaultRowHeight="12.75"/>
  <cols>
    <col min="1" max="1" width="5" bestFit="1" customWidth="1"/>
    <col min="2" max="2" width="12" bestFit="1" customWidth="1"/>
  </cols>
  <sheetData>
    <row r="1" spans="1:3">
      <c r="A1" s="15" t="s">
        <v>65</v>
      </c>
    </row>
    <row r="2" spans="1:3">
      <c r="B2" s="120" t="s">
        <v>559</v>
      </c>
      <c r="C2" s="120" t="s">
        <v>756</v>
      </c>
    </row>
    <row r="3" spans="1:3">
      <c r="B3" s="120" t="s">
        <v>560</v>
      </c>
      <c r="C3" s="120" t="s">
        <v>757</v>
      </c>
    </row>
    <row r="4" spans="1:3">
      <c r="B4" s="120" t="s">
        <v>1</v>
      </c>
    </row>
    <row r="5" spans="1:3">
      <c r="B5" s="120" t="s">
        <v>60</v>
      </c>
    </row>
    <row r="7" spans="1:3">
      <c r="C7" s="121" t="s">
        <v>754</v>
      </c>
    </row>
    <row r="8" spans="1:3">
      <c r="C8" s="120" t="s">
        <v>752</v>
      </c>
    </row>
    <row r="9" spans="1:3">
      <c r="C9" s="120" t="s">
        <v>753</v>
      </c>
    </row>
  </sheetData>
  <hyperlinks>
    <hyperlink ref="A1" location="Main!A1" display="Main" xr:uid="{FC98BDD0-79E5-48A5-88B0-E258C64004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3A2183-5DA3-4AC7-A24E-386811F0FD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71156D-B6D2-4C3E-9AA3-02F85B744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A31EBE-4993-4E59-ACFD-7F13791772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</vt:lpstr>
      <vt:lpstr>Main</vt:lpstr>
      <vt:lpstr>Model</vt:lpstr>
      <vt:lpstr>Ultomiris</vt:lpstr>
      <vt:lpstr>Saphnelo</vt:lpstr>
      <vt:lpstr>Tagrisso</vt:lpstr>
      <vt:lpstr>Strensiq</vt:lpstr>
      <vt:lpstr>Imfinzi</vt:lpstr>
      <vt:lpstr>Imjudo</vt:lpstr>
      <vt:lpstr>Tezspire</vt:lpstr>
      <vt:lpstr>Breztri</vt:lpstr>
      <vt:lpstr>Truqap</vt:lpstr>
      <vt:lpstr>Beyfortus</vt:lpstr>
      <vt:lpstr>Calquence</vt:lpstr>
      <vt:lpstr>Soliris</vt:lpstr>
      <vt:lpstr>Enhertu</vt:lpstr>
      <vt:lpstr>Fasenra</vt:lpstr>
      <vt:lpstr>Farxiga</vt:lpstr>
      <vt:lpstr>Lynparza</vt:lpstr>
      <vt:lpstr>Symbicort</vt:lpstr>
      <vt:lpstr>Koselugo</vt:lpstr>
      <vt:lpstr>Nexium</vt:lpstr>
      <vt:lpstr>Seroquel</vt:lpstr>
      <vt:lpstr>Crestor</vt:lpstr>
      <vt:lpstr>Brilinta</vt:lpstr>
      <vt:lpstr>datopotamab</vt:lpstr>
      <vt:lpstr>0780</vt:lpstr>
      <vt:lpstr>2171</vt:lpstr>
      <vt:lpstr>Iressa</vt:lpstr>
      <vt:lpstr>Zactima</vt:lpstr>
      <vt:lpstr>5004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2009-08-11T15:04:04Z</cp:lastPrinted>
  <dcterms:created xsi:type="dcterms:W3CDTF">2004-12-20T17:02:50Z</dcterms:created>
  <dcterms:modified xsi:type="dcterms:W3CDTF">2024-11-11T17:20:44Z</dcterms:modified>
</cp:coreProperties>
</file>