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5DD1065-A955-47B0-877A-790F46678A68}" xr6:coauthVersionLast="47" xr6:coauthVersionMax="47" xr10:uidLastSave="{00000000-0000-0000-0000-000000000000}"/>
  <bookViews>
    <workbookView xWindow="-51720" yWindow="-120" windowWidth="51840" windowHeight="21120" activeTab="1" xr2:uid="{CD182038-7304-4EC0-81DB-78F78E8AB6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1" i="2" l="1"/>
  <c r="Q55" i="2"/>
  <c r="Q59" i="2" s="1"/>
  <c r="Q56" i="2"/>
  <c r="Q51" i="2"/>
  <c r="Q43" i="2"/>
  <c r="M6" i="1"/>
  <c r="M5" i="1"/>
  <c r="Q35" i="2"/>
  <c r="V26" i="2"/>
  <c r="U26" i="2"/>
  <c r="T26" i="2"/>
  <c r="S26" i="2"/>
  <c r="V24" i="2"/>
  <c r="V25" i="2" s="1"/>
  <c r="T24" i="2"/>
  <c r="T25" i="2" s="1"/>
  <c r="S24" i="2"/>
  <c r="S25" i="2" s="1"/>
  <c r="V23" i="2"/>
  <c r="T23" i="2"/>
  <c r="S23" i="2"/>
  <c r="S35" i="2" s="1"/>
  <c r="V22" i="2"/>
  <c r="U22" i="2"/>
  <c r="U38" i="2" s="1"/>
  <c r="T22" i="2"/>
  <c r="S22" i="2"/>
  <c r="S38" i="2" s="1"/>
  <c r="V38" i="2"/>
  <c r="T38" i="2"/>
  <c r="V37" i="2"/>
  <c r="U37" i="2"/>
  <c r="T37" i="2"/>
  <c r="S37" i="2"/>
  <c r="V36" i="2"/>
  <c r="U36" i="2"/>
  <c r="T36" i="2"/>
  <c r="S36" i="2"/>
  <c r="V35" i="2"/>
  <c r="T35" i="2"/>
  <c r="P89" i="2"/>
  <c r="P85" i="2"/>
  <c r="P87" i="2" s="1"/>
  <c r="P80" i="2"/>
  <c r="P75" i="2"/>
  <c r="P74" i="2"/>
  <c r="P55" i="2"/>
  <c r="P56" i="2"/>
  <c r="P59" i="2" s="1"/>
  <c r="P51" i="2"/>
  <c r="P36" i="2"/>
  <c r="O23" i="2"/>
  <c r="V2" i="2"/>
  <c r="U2" i="2"/>
  <c r="T2" i="2"/>
  <c r="S2" i="2"/>
  <c r="N69" i="2"/>
  <c r="M72" i="2"/>
  <c r="M57" i="2"/>
  <c r="M56" i="2"/>
  <c r="M43" i="2"/>
  <c r="M48" i="2"/>
  <c r="L86" i="2"/>
  <c r="M86" i="2" s="1"/>
  <c r="N86" i="2" s="1"/>
  <c r="L84" i="2"/>
  <c r="M84" i="2" s="1"/>
  <c r="N84" i="2" s="1"/>
  <c r="L82" i="2"/>
  <c r="M82" i="2" s="1"/>
  <c r="N82" i="2" s="1"/>
  <c r="O80" i="2"/>
  <c r="K80" i="2"/>
  <c r="L79" i="2"/>
  <c r="M79" i="2" s="1"/>
  <c r="N79" i="2" s="1"/>
  <c r="L77" i="2"/>
  <c r="M77" i="2" s="1"/>
  <c r="L73" i="2"/>
  <c r="M73" i="2" s="1"/>
  <c r="N73" i="2" s="1"/>
  <c r="L70" i="2"/>
  <c r="N70" i="2" s="1"/>
  <c r="L68" i="2"/>
  <c r="M68" i="2" s="1"/>
  <c r="N68" i="2" s="1"/>
  <c r="L65" i="2"/>
  <c r="M65" i="2" s="1"/>
  <c r="N65" i="2" s="1"/>
  <c r="L64" i="2"/>
  <c r="M64" i="2" s="1"/>
  <c r="N64" i="2" s="1"/>
  <c r="L63" i="2"/>
  <c r="M63" i="2" s="1"/>
  <c r="N63" i="2" s="1"/>
  <c r="L62" i="2"/>
  <c r="M62" i="2" s="1"/>
  <c r="N62" i="2" s="1"/>
  <c r="L55" i="2"/>
  <c r="L59" i="2" s="1"/>
  <c r="L43" i="2"/>
  <c r="L51" i="2" s="1"/>
  <c r="K83" i="2"/>
  <c r="K85" i="2" s="1"/>
  <c r="K74" i="2"/>
  <c r="K75" i="2" s="1"/>
  <c r="K89" i="2" s="1"/>
  <c r="K55" i="2"/>
  <c r="K56" i="2"/>
  <c r="K43" i="2"/>
  <c r="K51" i="2" s="1"/>
  <c r="AC35" i="2"/>
  <c r="AB25" i="2"/>
  <c r="AB27" i="2" s="1"/>
  <c r="AB29" i="2" s="1"/>
  <c r="AB31" i="2" s="1"/>
  <c r="AB32" i="2" s="1"/>
  <c r="AD35" i="2"/>
  <c r="AC25" i="2"/>
  <c r="AC27" i="2" s="1"/>
  <c r="AC29" i="2" s="1"/>
  <c r="AC31" i="2" s="1"/>
  <c r="AC32" i="2" s="1"/>
  <c r="AE35" i="2"/>
  <c r="AD25" i="2"/>
  <c r="AD27" i="2" s="1"/>
  <c r="AD29" i="2" s="1"/>
  <c r="AD31" i="2" s="1"/>
  <c r="AD32" i="2" s="1"/>
  <c r="AD2" i="2"/>
  <c r="AC2" i="2" s="1"/>
  <c r="AB2" i="2" s="1"/>
  <c r="AA2" i="2" s="1"/>
  <c r="AE25" i="2"/>
  <c r="AE27" i="2" s="1"/>
  <c r="AE29" i="2" s="1"/>
  <c r="AE31" i="2" s="1"/>
  <c r="AE32" i="2" s="1"/>
  <c r="AE5" i="2"/>
  <c r="AK21" i="2"/>
  <c r="AK20" i="2"/>
  <c r="AK22" i="2"/>
  <c r="AL22" i="2" s="1"/>
  <c r="AJ38" i="2"/>
  <c r="AI38" i="2"/>
  <c r="AG22" i="2"/>
  <c r="AH38" i="2" s="1"/>
  <c r="AF22" i="2"/>
  <c r="R37" i="2"/>
  <c r="Q37" i="2"/>
  <c r="P37" i="2"/>
  <c r="O37" i="2"/>
  <c r="N37" i="2"/>
  <c r="M37" i="2"/>
  <c r="L37" i="2"/>
  <c r="K37" i="2"/>
  <c r="R36" i="2"/>
  <c r="Q36" i="2"/>
  <c r="O36" i="2"/>
  <c r="N36" i="2"/>
  <c r="M36" i="2"/>
  <c r="L36" i="2"/>
  <c r="K36" i="2"/>
  <c r="R22" i="2"/>
  <c r="R38" i="2" s="1"/>
  <c r="Q38" i="2"/>
  <c r="P38" i="2"/>
  <c r="N38" i="2"/>
  <c r="M38" i="2"/>
  <c r="L38" i="2"/>
  <c r="K38" i="2"/>
  <c r="O38" i="2"/>
  <c r="AT75" i="2"/>
  <c r="AS75" i="2"/>
  <c r="AR75" i="2"/>
  <c r="AQ75" i="2"/>
  <c r="AP75" i="2"/>
  <c r="AO75" i="2"/>
  <c r="AN75" i="2"/>
  <c r="AM75" i="2"/>
  <c r="AL75" i="2"/>
  <c r="R28" i="2"/>
  <c r="S28" i="2" s="1"/>
  <c r="T28" i="2" s="1"/>
  <c r="U28" i="2" s="1"/>
  <c r="V28" i="2" s="1"/>
  <c r="R26" i="2"/>
  <c r="R33" i="2"/>
  <c r="S33" i="2" s="1"/>
  <c r="T33" i="2" s="1"/>
  <c r="U33" i="2" s="1"/>
  <c r="V33" i="2" s="1"/>
  <c r="AK33" i="2"/>
  <c r="AL33" i="2" s="1"/>
  <c r="AM33" i="2" s="1"/>
  <c r="AN33" i="2" s="1"/>
  <c r="AO33" i="2" s="1"/>
  <c r="AP33" i="2" s="1"/>
  <c r="AQ33" i="2" s="1"/>
  <c r="AR33" i="2" s="1"/>
  <c r="AS33" i="2" s="1"/>
  <c r="AT33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L2" i="2"/>
  <c r="AM2" i="2" s="1"/>
  <c r="AN2" i="2" s="1"/>
  <c r="AO2" i="2" s="1"/>
  <c r="AP2" i="2" s="1"/>
  <c r="AJ74" i="2"/>
  <c r="AJ75" i="2" s="1"/>
  <c r="AJ89" i="2" s="1"/>
  <c r="AF74" i="2"/>
  <c r="AF75" i="2" s="1"/>
  <c r="AF89" i="2" s="1"/>
  <c r="AI74" i="2"/>
  <c r="AI75" i="2" s="1"/>
  <c r="AI89" i="2" s="1"/>
  <c r="AH74" i="2"/>
  <c r="AH75" i="2" s="1"/>
  <c r="AH89" i="2" s="1"/>
  <c r="AK75" i="2"/>
  <c r="AG74" i="2"/>
  <c r="AG75" i="2" s="1"/>
  <c r="AG89" i="2" s="1"/>
  <c r="O98" i="2"/>
  <c r="N98" i="2"/>
  <c r="AF23" i="2"/>
  <c r="AF25" i="2" s="1"/>
  <c r="AF27" i="2" s="1"/>
  <c r="AF29" i="2" s="1"/>
  <c r="AF31" i="2" s="1"/>
  <c r="AF32" i="2" s="1"/>
  <c r="AG23" i="2"/>
  <c r="AG25" i="2" s="1"/>
  <c r="AG27" i="2" s="1"/>
  <c r="AH25" i="2"/>
  <c r="G23" i="2"/>
  <c r="G25" i="2" s="1"/>
  <c r="O25" i="2"/>
  <c r="O27" i="2" s="1"/>
  <c r="O29" i="2" s="1"/>
  <c r="O31" i="2" s="1"/>
  <c r="N23" i="2"/>
  <c r="R23" i="2" s="1"/>
  <c r="R24" i="2" s="1"/>
  <c r="R25" i="2" s="1"/>
  <c r="M23" i="2"/>
  <c r="M25" i="2" s="1"/>
  <c r="L23" i="2"/>
  <c r="K23" i="2"/>
  <c r="K25" i="2" s="1"/>
  <c r="K27" i="2" s="1"/>
  <c r="K29" i="2" s="1"/>
  <c r="K31" i="2" s="1"/>
  <c r="K32" i="2" s="1"/>
  <c r="J23" i="2"/>
  <c r="J25" i="2" s="1"/>
  <c r="J39" i="2" s="1"/>
  <c r="I23" i="2"/>
  <c r="I25" i="2" s="1"/>
  <c r="H23" i="2"/>
  <c r="AJ23" i="2"/>
  <c r="AI23" i="2"/>
  <c r="AI25" i="2" s="1"/>
  <c r="N55" i="2"/>
  <c r="N59" i="2" s="1"/>
  <c r="N43" i="2"/>
  <c r="N51" i="2" s="1"/>
  <c r="O55" i="2"/>
  <c r="O56" i="2"/>
  <c r="O43" i="2"/>
  <c r="O51" i="2" s="1"/>
  <c r="O85" i="2"/>
  <c r="O74" i="2"/>
  <c r="O75" i="2" s="1"/>
  <c r="O89" i="2" s="1"/>
  <c r="M4" i="1"/>
  <c r="M7" i="1" s="1"/>
  <c r="AK23" i="2" l="1"/>
  <c r="AL23" i="2" s="1"/>
  <c r="U23" i="2"/>
  <c r="U35" i="2" s="1"/>
  <c r="S39" i="2"/>
  <c r="S27" i="2"/>
  <c r="S29" i="2" s="1"/>
  <c r="T39" i="2"/>
  <c r="T27" i="2"/>
  <c r="T29" i="2" s="1"/>
  <c r="V39" i="2"/>
  <c r="V27" i="2"/>
  <c r="V29" i="2" s="1"/>
  <c r="P23" i="2"/>
  <c r="P25" i="2" s="1"/>
  <c r="P39" i="2" s="1"/>
  <c r="O39" i="2"/>
  <c r="M83" i="2"/>
  <c r="N83" i="2" s="1"/>
  <c r="N85" i="2" s="1"/>
  <c r="L80" i="2"/>
  <c r="L85" i="2"/>
  <c r="M80" i="2"/>
  <c r="N77" i="2"/>
  <c r="M85" i="2"/>
  <c r="M59" i="2"/>
  <c r="N80" i="2"/>
  <c r="M51" i="2"/>
  <c r="L74" i="2"/>
  <c r="K87" i="2"/>
  <c r="K61" i="2"/>
  <c r="K59" i="2"/>
  <c r="AE41" i="2"/>
  <c r="AF41" i="2"/>
  <c r="AB41" i="2"/>
  <c r="AE40" i="2"/>
  <c r="AB39" i="2"/>
  <c r="AB40" i="2"/>
  <c r="AF35" i="2"/>
  <c r="AC39" i="2"/>
  <c r="AC40" i="2"/>
  <c r="AE39" i="2"/>
  <c r="AC41" i="2"/>
  <c r="AD39" i="2"/>
  <c r="AD41" i="2"/>
  <c r="AD40" i="2"/>
  <c r="AK38" i="2"/>
  <c r="AM22" i="2"/>
  <c r="AN22" i="2" s="1"/>
  <c r="AO22" i="2" s="1"/>
  <c r="AP22" i="2" s="1"/>
  <c r="AQ22" i="2" s="1"/>
  <c r="AR22" i="2" s="1"/>
  <c r="AS22" i="2" s="1"/>
  <c r="AT22" i="2" s="1"/>
  <c r="AL38" i="2"/>
  <c r="K40" i="2"/>
  <c r="K41" i="2"/>
  <c r="O41" i="2"/>
  <c r="O40" i="2"/>
  <c r="AG38" i="2"/>
  <c r="AI43" i="2"/>
  <c r="AF40" i="2"/>
  <c r="P27" i="2"/>
  <c r="P29" i="2" s="1"/>
  <c r="R27" i="2"/>
  <c r="R29" i="2" s="1"/>
  <c r="R39" i="2"/>
  <c r="AQ2" i="2"/>
  <c r="AR2" i="2" s="1"/>
  <c r="AS2" i="2" s="1"/>
  <c r="AT2" i="2" s="1"/>
  <c r="AF61" i="2"/>
  <c r="R35" i="2"/>
  <c r="P35" i="2"/>
  <c r="AG35" i="2"/>
  <c r="AG39" i="2"/>
  <c r="AH35" i="2"/>
  <c r="AI35" i="2"/>
  <c r="N35" i="2"/>
  <c r="AF39" i="2"/>
  <c r="AH27" i="2"/>
  <c r="AH39" i="2"/>
  <c r="AJ35" i="2"/>
  <c r="K35" i="2"/>
  <c r="G39" i="2"/>
  <c r="G27" i="2"/>
  <c r="G29" i="2" s="1"/>
  <c r="L35" i="2"/>
  <c r="L25" i="2"/>
  <c r="L27" i="2" s="1"/>
  <c r="L29" i="2" s="1"/>
  <c r="H25" i="2"/>
  <c r="I39" i="2"/>
  <c r="I27" i="2"/>
  <c r="I29" i="2" s="1"/>
  <c r="M35" i="2"/>
  <c r="M27" i="2"/>
  <c r="M29" i="2" s="1"/>
  <c r="M39" i="2"/>
  <c r="AI27" i="2"/>
  <c r="AI39" i="2"/>
  <c r="AJ25" i="2"/>
  <c r="O35" i="2"/>
  <c r="J27" i="2"/>
  <c r="J29" i="2" s="1"/>
  <c r="N25" i="2"/>
  <c r="O87" i="2"/>
  <c r="O59" i="2"/>
  <c r="K39" i="2"/>
  <c r="O32" i="2"/>
  <c r="O61" i="2"/>
  <c r="U24" i="2" l="1"/>
  <c r="U25" i="2" s="1"/>
  <c r="V31" i="2"/>
  <c r="V32" i="2" s="1"/>
  <c r="V40" i="2"/>
  <c r="V41" i="2"/>
  <c r="S41" i="2"/>
  <c r="S31" i="2"/>
  <c r="S32" i="2" s="1"/>
  <c r="S40" i="2"/>
  <c r="T31" i="2"/>
  <c r="T32" i="2" s="1"/>
  <c r="T40" i="2"/>
  <c r="T41" i="2"/>
  <c r="L75" i="2"/>
  <c r="M74" i="2"/>
  <c r="AN38" i="2"/>
  <c r="AM38" i="2"/>
  <c r="P31" i="2"/>
  <c r="P61" i="2" s="1"/>
  <c r="P41" i="2"/>
  <c r="P40" i="2"/>
  <c r="L31" i="2"/>
  <c r="L41" i="2"/>
  <c r="L40" i="2"/>
  <c r="G31" i="2"/>
  <c r="G32" i="2" s="1"/>
  <c r="G40" i="2"/>
  <c r="G41" i="2"/>
  <c r="M31" i="2"/>
  <c r="M41" i="2"/>
  <c r="M40" i="2"/>
  <c r="J31" i="2"/>
  <c r="J32" i="2" s="1"/>
  <c r="J41" i="2"/>
  <c r="J40" i="2"/>
  <c r="I31" i="2"/>
  <c r="I32" i="2" s="1"/>
  <c r="I40" i="2"/>
  <c r="I41" i="2"/>
  <c r="R31" i="2"/>
  <c r="R32" i="2" s="1"/>
  <c r="R41" i="2"/>
  <c r="R40" i="2"/>
  <c r="AO38" i="2"/>
  <c r="AI29" i="2"/>
  <c r="AI40" i="2"/>
  <c r="AH29" i="2"/>
  <c r="AH40" i="2"/>
  <c r="Q25" i="2"/>
  <c r="Q27" i="2" s="1"/>
  <c r="Q29" i="2" s="1"/>
  <c r="L39" i="2"/>
  <c r="H27" i="2"/>
  <c r="H29" i="2" s="1"/>
  <c r="H39" i="2"/>
  <c r="AJ39" i="2"/>
  <c r="AJ27" i="2"/>
  <c r="N39" i="2"/>
  <c r="N27" i="2"/>
  <c r="N29" i="2" s="1"/>
  <c r="U27" i="2" l="1"/>
  <c r="U29" i="2" s="1"/>
  <c r="U39" i="2"/>
  <c r="N74" i="2"/>
  <c r="N75" i="2" s="1"/>
  <c r="M75" i="2"/>
  <c r="L89" i="2"/>
  <c r="L87" i="2"/>
  <c r="M32" i="2"/>
  <c r="M61" i="2"/>
  <c r="L32" i="2"/>
  <c r="L61" i="2"/>
  <c r="AH31" i="2"/>
  <c r="AH32" i="2" s="1"/>
  <c r="AH41" i="2"/>
  <c r="AI31" i="2"/>
  <c r="AI32" i="2" s="1"/>
  <c r="AI41" i="2"/>
  <c r="H31" i="2"/>
  <c r="H32" i="2" s="1"/>
  <c r="H40" i="2"/>
  <c r="H41" i="2"/>
  <c r="Q31" i="2"/>
  <c r="Q32" i="2" s="1"/>
  <c r="Q41" i="2"/>
  <c r="Q40" i="2"/>
  <c r="AK35" i="2"/>
  <c r="N31" i="2"/>
  <c r="N61" i="2" s="1"/>
  <c r="N40" i="2"/>
  <c r="N41" i="2"/>
  <c r="P32" i="2"/>
  <c r="AP38" i="2"/>
  <c r="AJ29" i="2"/>
  <c r="AJ40" i="2"/>
  <c r="AG29" i="2"/>
  <c r="AG40" i="2"/>
  <c r="Q39" i="2"/>
  <c r="AK24" i="2"/>
  <c r="AK25" i="2" s="1"/>
  <c r="AK27" i="2" s="1"/>
  <c r="U40" i="2" l="1"/>
  <c r="U31" i="2"/>
  <c r="U32" i="2" s="1"/>
  <c r="U41" i="2"/>
  <c r="M89" i="2"/>
  <c r="M87" i="2"/>
  <c r="AH61" i="2"/>
  <c r="AI61" i="2"/>
  <c r="N89" i="2"/>
  <c r="N87" i="2"/>
  <c r="N32" i="2"/>
  <c r="AG31" i="2"/>
  <c r="AG61" i="2" s="1"/>
  <c r="AG41" i="2"/>
  <c r="AJ31" i="2"/>
  <c r="AJ61" i="2" s="1"/>
  <c r="AJ41" i="2"/>
  <c r="R43" i="2"/>
  <c r="AM23" i="2"/>
  <c r="AL35" i="2"/>
  <c r="AQ38" i="2"/>
  <c r="AK40" i="2"/>
  <c r="AL24" i="2"/>
  <c r="AL25" i="2" s="1"/>
  <c r="AK39" i="2"/>
  <c r="AJ43" i="2" l="1"/>
  <c r="AK28" i="2" s="1"/>
  <c r="AK29" i="2" s="1"/>
  <c r="AK31" i="2" s="1"/>
  <c r="AK61" i="2" s="1"/>
  <c r="S43" i="2"/>
  <c r="T43" i="2" s="1"/>
  <c r="U43" i="2" s="1"/>
  <c r="V43" i="2" s="1"/>
  <c r="AJ32" i="2"/>
  <c r="AG32" i="2"/>
  <c r="AN23" i="2"/>
  <c r="AN24" i="2" s="1"/>
  <c r="AM24" i="2"/>
  <c r="AR38" i="2"/>
  <c r="AM35" i="2"/>
  <c r="AM25" i="2"/>
  <c r="AL39" i="2"/>
  <c r="AL27" i="2"/>
  <c r="AK32" i="2" l="1"/>
  <c r="AK43" i="2"/>
  <c r="AK41" i="2"/>
  <c r="AT38" i="2"/>
  <c r="AS38" i="2"/>
  <c r="AL28" i="2"/>
  <c r="AL29" i="2" s="1"/>
  <c r="AL31" i="2" s="1"/>
  <c r="AL43" i="2" s="1"/>
  <c r="AL40" i="2"/>
  <c r="AM27" i="2"/>
  <c r="AM39" i="2"/>
  <c r="AO23" i="2"/>
  <c r="AN25" i="2"/>
  <c r="AN35" i="2"/>
  <c r="AO35" i="2" l="1"/>
  <c r="AO24" i="2"/>
  <c r="AM28" i="2"/>
  <c r="AM29" i="2" s="1"/>
  <c r="AM41" i="2" s="1"/>
  <c r="AL32" i="2"/>
  <c r="AL61" i="2"/>
  <c r="AM40" i="2"/>
  <c r="AL41" i="2"/>
  <c r="AN27" i="2"/>
  <c r="AN39" i="2"/>
  <c r="AP23" i="2"/>
  <c r="AP24" i="2" s="1"/>
  <c r="AO25" i="2"/>
  <c r="AM31" i="2" l="1"/>
  <c r="AN40" i="2"/>
  <c r="AO39" i="2"/>
  <c r="AO27" i="2"/>
  <c r="AQ23" i="2"/>
  <c r="AQ24" i="2" s="1"/>
  <c r="AP35" i="2"/>
  <c r="AP25" i="2"/>
  <c r="AM32" i="2" l="1"/>
  <c r="AM43" i="2"/>
  <c r="AM61" i="2"/>
  <c r="AO40" i="2"/>
  <c r="AP27" i="2"/>
  <c r="AP39" i="2"/>
  <c r="AR23" i="2"/>
  <c r="AR24" i="2" s="1"/>
  <c r="AQ35" i="2"/>
  <c r="AQ25" i="2"/>
  <c r="AN28" i="2" l="1"/>
  <c r="AN29" i="2" s="1"/>
  <c r="AP40" i="2"/>
  <c r="AS23" i="2"/>
  <c r="AS24" i="2" s="1"/>
  <c r="AR25" i="2"/>
  <c r="AR35" i="2"/>
  <c r="AQ39" i="2"/>
  <c r="AQ27" i="2"/>
  <c r="AN31" i="2" l="1"/>
  <c r="AN41" i="2"/>
  <c r="AQ40" i="2"/>
  <c r="AR27" i="2"/>
  <c r="AR39" i="2"/>
  <c r="AT23" i="2"/>
  <c r="AT24" i="2" s="1"/>
  <c r="AS35" i="2"/>
  <c r="AS25" i="2"/>
  <c r="AN32" i="2" l="1"/>
  <c r="AN61" i="2"/>
  <c r="AN43" i="2"/>
  <c r="AR40" i="2"/>
  <c r="AS27" i="2"/>
  <c r="AS39" i="2"/>
  <c r="AT25" i="2"/>
  <c r="AT35" i="2"/>
  <c r="AO28" i="2" l="1"/>
  <c r="AO29" i="2" s="1"/>
  <c r="AS40" i="2"/>
  <c r="AT27" i="2"/>
  <c r="AT39" i="2"/>
  <c r="AO30" i="2" l="1"/>
  <c r="AO41" i="2" s="1"/>
  <c r="AT40" i="2"/>
  <c r="AO31" i="2" l="1"/>
  <c r="AO61" i="2" s="1"/>
  <c r="AO43" i="2" l="1"/>
  <c r="AP28" i="2" s="1"/>
  <c r="AP29" i="2" s="1"/>
  <c r="AO32" i="2"/>
  <c r="AP30" i="2" l="1"/>
  <c r="AP41" i="2" s="1"/>
  <c r="AP31" i="2" l="1"/>
  <c r="AP32" i="2" s="1"/>
  <c r="AP43" i="2" l="1"/>
  <c r="AQ28" i="2" s="1"/>
  <c r="AQ29" i="2" s="1"/>
  <c r="AP61" i="2"/>
  <c r="AQ30" i="2" l="1"/>
  <c r="AQ41" i="2" s="1"/>
  <c r="AQ31" i="2" l="1"/>
  <c r="AQ32" i="2" s="1"/>
  <c r="AQ43" i="2" l="1"/>
  <c r="AR28" i="2" s="1"/>
  <c r="AR29" i="2" s="1"/>
  <c r="AQ61" i="2"/>
  <c r="AR30" i="2" l="1"/>
  <c r="AR41" i="2" s="1"/>
  <c r="AR31" i="2" l="1"/>
  <c r="AR32" i="2" l="1"/>
  <c r="AR61" i="2"/>
  <c r="AR43" i="2"/>
  <c r="AS28" i="2" l="1"/>
  <c r="AS29" i="2" s="1"/>
  <c r="AS30" i="2" l="1"/>
  <c r="AS41" i="2" s="1"/>
  <c r="AS31" i="2" l="1"/>
  <c r="AS32" i="2" l="1"/>
  <c r="AS61" i="2"/>
  <c r="AS43" i="2"/>
  <c r="AT28" i="2" l="1"/>
  <c r="AT29" i="2" s="1"/>
  <c r="AT30" i="2" l="1"/>
  <c r="AT41" i="2" s="1"/>
  <c r="AT31" i="2" l="1"/>
  <c r="AT61" i="2" l="1"/>
  <c r="AT32" i="2"/>
  <c r="AU31" i="2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AX66" i="2" s="1"/>
  <c r="AX67" i="2" s="1"/>
  <c r="AX68" i="2" s="1"/>
  <c r="AT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tc={F23DBBCD-FC90-41B4-912A-05593D9AD727}</author>
  </authors>
  <commentList>
    <comment ref="O33" authorId="0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<sst xmlns="http://schemas.openxmlformats.org/spreadsheetml/2006/main" count="150" uniqueCount="131">
  <si>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</si>
  <si>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</si>
  <si>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</si>
  <si>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</si>
  <si>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</si>
  <si>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</si>
  <si>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</si>
  <si>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</si>
  <si>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</si>
  <si>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</si>
  <si>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</si>
  <si>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</si>
  <si>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</si>
  <si>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</si>
  <si>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</si>
  <si>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</si>
  <si>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</si>
  <si>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</si>
  <si>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</si>
  <si>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</si>
  <si>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</si>
  <si>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</si>
  <si>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</si>
  <si>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</si>
  <si>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</si>
  <si>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</si>
  <si>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</si>
  <si>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</si>
  <si>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</si>
  <si>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</si>
  <si>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</si>
  <si>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</si>
  <si>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</si>
  <si>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</si>
  <si>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</si>
  <si>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</si>
  <si>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</si>
  <si>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</si>
  <si>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</si>
  <si>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</si>
  <si>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</si>
  <si>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</si>
  <si>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</si>
  <si>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</si>
  <si>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</si>
  <si>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</si>
  <si>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</si>
  <si>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</si>
  <si>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</si>
  <si>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</si>
  <si>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</si>
  <si>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</si>
  <si>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</si>
  <si>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</si>
  <si>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</si>
  <si>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</si>
  <si>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</si>
  <si>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</si>
  <si>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</si>
  <si>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</si>
  <si>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</si>
  <si>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</si>
  <si>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</si>
  <si>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</si>
  <si>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</si>
  <si>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</si>
  <si>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</si>
  <si>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</si>
  <si>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</si>
  <si>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</si>
  <si>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</si>
  <si>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</si>
  <si>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</si>
  <si>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</si>
  <si>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</si>
  <si>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</si>
  <si>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</si>
  <si>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</si>
  <si>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</si>
  <si>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</si>
  <si>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</si>
  <si>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</si>
  <si>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</si>
  <si>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</si>
  <si>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</si>
  <si>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</si>
  <si>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</si>
  <si>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</si>
  <si>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</si>
  <si>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</si>
  <si>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</si>
  <si>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</si>
  <si>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</si>
  <si>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</si>
  <si>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</si>
  <si>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</si>
  <si>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</si>
  <si>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</si>
  <si>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</si>
  <si>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</si>
  <si>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</si>
  <si>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</si>
  <si>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</si>
  <si>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</si>
  <si>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</si>
  <si>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</si>
  <si>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</si>
  <si>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</si>
  <si>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</si>
  <si>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</si>
  <si>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</si>
  <si>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</si>
  <si>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Stores</t>
  </si>
  <si>
    <t xml:space="preserve">  US Stores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</si>
  <si>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</si>
  <si>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</si>
  <si>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</si>
  <si>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</si>
  <si>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</si>
  <si>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</si>
  <si>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</si>
  <si>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</si>
  <si>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</si>
  <si>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</si>
  <si>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</si>
  <si>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</si>
  <si>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</si>
  <si>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</si>
  <si>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</si>
  <si>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</si>
  <si>
    <t>https://nft.gamestop.com/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</si>
</sst>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75028</xdr:colOff>
      <xdr:row>0</xdr:row>
      <xdr:rowOff>13363</xdr:rowOff>
    </xdr:from>
    <xdr:to>
      <xdr:col>17</xdr:col>
      <xdr:colOff>75028</xdr:colOff>
      <xdr:row>112</xdr:row>
      <xdr:rowOff>70513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1665449" y="13363"/>
          <a:ext cx="0" cy="180243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38100</xdr:colOff>
      <xdr:row>96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15887700" y="0"/>
          <a:ext cx="9525" cy="10544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ft.gamesto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workbookViewId="0">
      <selection activeCell="N4" sqref="N4"/>
    </sheetView>
  </sheetViews>
  <sheetFormatPr defaultRowHeight="12.75" x14ac:dyDescent="0.2"/>
  <cols>
    <col min="14" max="14" width="10.42578125" customWidth="1"/>
  </cols>
  <sheetData>
    <row r="2" spans="2:14" x14ac:dyDescent="0.2">
      <c r="B2" t="s">
        <v>109</v>
      </c>
      <c r="L2" t="s">
        <v>0</v>
      </c>
      <c r="M2" s="1">
        <v>25.16</v>
      </c>
    </row>
    <row r="3" spans="2:14" x14ac:dyDescent="0.2">
      <c r="B3" t="s">
        <v>110</v>
      </c>
      <c r="L3" t="s">
        <v>1</v>
      </c>
      <c r="M3" s="2">
        <v>304.57807000000003</v>
      </c>
      <c r="N3" s="3">
        <v>44896</v>
      </c>
    </row>
    <row r="4" spans="2:14" x14ac:dyDescent="0.2">
      <c r="L4" t="s">
        <v>2</v>
      </c>
      <c r="M4" s="2">
        <f>M2*M3</f>
        <v>7663.1842412000005</v>
      </c>
    </row>
    <row r="5" spans="2:14" x14ac:dyDescent="0.2">
      <c r="B5" t="s">
        <v>123</v>
      </c>
      <c r="L5" t="s">
        <v>3</v>
      </c>
      <c r="M5" s="2">
        <f>803.8+238.3</f>
        <v>1042.0999999999999</v>
      </c>
      <c r="N5" s="4" t="s">
        <v>22</v>
      </c>
    </row>
    <row r="6" spans="2:14" x14ac:dyDescent="0.2">
      <c r="B6" t="s">
        <v>124</v>
      </c>
      <c r="L6" t="s">
        <v>4</v>
      </c>
      <c r="M6" s="2">
        <f>9.9+28.8</f>
        <v>38.700000000000003</v>
      </c>
      <c r="N6" s="4" t="s">
        <v>22</v>
      </c>
    </row>
    <row r="7" spans="2:14" x14ac:dyDescent="0.2">
      <c r="L7" t="s">
        <v>5</v>
      </c>
      <c r="M7" s="2">
        <f>M4-M5+M6</f>
        <v>6659.7842412</v>
      </c>
    </row>
    <row r="10" spans="2:14" x14ac:dyDescent="0.2">
      <c r="L10" t="s">
        <v>126</v>
      </c>
    </row>
    <row r="11" spans="2:14" x14ac:dyDescent="0.2">
      <c r="L11" t="s">
        <v>125</v>
      </c>
    </row>
    <row r="13" spans="2:14" x14ac:dyDescent="0.2">
      <c r="B13" t="s">
        <v>64</v>
      </c>
    </row>
    <row r="14" spans="2:14" x14ac:dyDescent="0.2">
      <c r="B14" t="s">
        <v>127</v>
      </c>
      <c r="J14" s="19" t="s">
        <v>130</v>
      </c>
    </row>
    <row r="15" spans="2:14" x14ac:dyDescent="0.2">
      <c r="B15" t="s">
        <v>128</v>
      </c>
    </row>
    <row r="16" spans="2:14" x14ac:dyDescent="0.2">
      <c r="B16" t="s">
        <v>129</v>
      </c>
    </row>
  </sheetData>
  <hyperlinks>
    <hyperlink ref="J14" r:id="rId1" xr:uid="{3222DACB-6DBB-4EB3-A3EE-2DD85D38697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CF98"/>
  <sheetViews>
    <sheetView tabSelected="1" zoomScale="130" zoomScaleNormal="130" workbookViewId="0">
      <pane xSplit="2" ySplit="3" topLeftCell="L31" activePane="bottomRight" state="frozen"/>
      <selection pane="topRight" activeCell="C1" sqref="C1"/>
      <selection pane="bottomLeft" activeCell="A4" sqref="A4"/>
      <selection pane="bottomRight" activeCell="Q62" sqref="Q62"/>
    </sheetView>
  </sheetViews>
  <sheetFormatPr defaultRowHeight="12.75" x14ac:dyDescent="0.2"/>
  <cols>
    <col min="1" max="1" width="5" bestFit="1" customWidth="1"/>
    <col min="2" max="2" width="22.5703125" customWidth="1"/>
    <col min="3" max="6" width="9.140625" style="4"/>
    <col min="7" max="12" width="9.85546875" style="4" customWidth="1"/>
    <col min="13" max="13" width="10.42578125" style="4" customWidth="1"/>
    <col min="14" max="15" width="9.85546875" style="4" customWidth="1"/>
    <col min="16" max="23" width="10.140625" style="4" customWidth="1"/>
    <col min="28" max="31" width="9.140625" style="4"/>
    <col min="35" max="37" width="9.140625" style="4"/>
    <col min="50" max="50" width="8.42578125" customWidth="1"/>
  </cols>
  <sheetData>
    <row r="1" spans="1:46" x14ac:dyDescent="0.2">
      <c r="A1" s="19" t="s">
        <v>7</v>
      </c>
    </row>
    <row r="2" spans="1:46" s="20" customFormat="1" x14ac:dyDescent="0.2">
      <c r="C2" s="21"/>
      <c r="D2" s="21"/>
      <c r="E2" s="21"/>
      <c r="F2" s="21"/>
      <c r="G2" s="21">
        <v>43953</v>
      </c>
      <c r="H2" s="21">
        <v>44044</v>
      </c>
      <c r="I2" s="21">
        <v>44135</v>
      </c>
      <c r="J2" s="21">
        <v>44226</v>
      </c>
      <c r="K2" s="21">
        <v>44317</v>
      </c>
      <c r="L2" s="21">
        <v>44408</v>
      </c>
      <c r="M2" s="21">
        <v>44499</v>
      </c>
      <c r="N2" s="21">
        <v>44590</v>
      </c>
      <c r="O2" s="21">
        <v>44681</v>
      </c>
      <c r="P2" s="21">
        <v>44773</v>
      </c>
      <c r="Q2" s="21">
        <v>44864</v>
      </c>
      <c r="R2" s="21">
        <v>44955</v>
      </c>
      <c r="S2" s="21">
        <f>O2+365</f>
        <v>45046</v>
      </c>
      <c r="T2" s="21">
        <f t="shared" ref="T2:V2" si="0">P2+365</f>
        <v>45138</v>
      </c>
      <c r="U2" s="21">
        <f t="shared" si="0"/>
        <v>45229</v>
      </c>
      <c r="V2" s="21">
        <f t="shared" si="0"/>
        <v>45320</v>
      </c>
      <c r="W2" s="21"/>
      <c r="AA2" s="21">
        <f t="shared" ref="AA2" si="1">AB2-365</f>
        <v>41303</v>
      </c>
      <c r="AB2" s="21">
        <f>AC2-365</f>
        <v>41668</v>
      </c>
      <c r="AC2" s="21">
        <f t="shared" ref="AC2" si="2">AD2-365</f>
        <v>42033</v>
      </c>
      <c r="AD2" s="21">
        <f>AE2-365</f>
        <v>42398</v>
      </c>
      <c r="AE2" s="21">
        <v>42763</v>
      </c>
      <c r="AF2" s="21">
        <v>43134</v>
      </c>
      <c r="AG2" s="21">
        <v>43498</v>
      </c>
      <c r="AH2" s="21">
        <v>43862</v>
      </c>
      <c r="AI2" s="21">
        <v>44226</v>
      </c>
      <c r="AJ2" s="21">
        <v>44590</v>
      </c>
      <c r="AK2" s="21">
        <v>44955</v>
      </c>
      <c r="AL2" s="20">
        <f>AK2+365</f>
        <v>45320</v>
      </c>
      <c r="AM2" s="20">
        <f>AL2+366</f>
        <v>45686</v>
      </c>
      <c r="AN2" s="20">
        <f t="shared" ref="AN2:AT2" si="3">AM2+365</f>
        <v>46051</v>
      </c>
      <c r="AO2" s="20">
        <f t="shared" si="3"/>
        <v>46416</v>
      </c>
      <c r="AP2" s="20">
        <f t="shared" si="3"/>
        <v>46781</v>
      </c>
      <c r="AQ2" s="20">
        <f>AP2+366</f>
        <v>47147</v>
      </c>
      <c r="AR2" s="20">
        <f t="shared" si="3"/>
        <v>47512</v>
      </c>
      <c r="AS2" s="20">
        <f t="shared" si="3"/>
        <v>47877</v>
      </c>
      <c r="AT2" s="20">
        <f t="shared" si="3"/>
        <v>48242</v>
      </c>
    </row>
    <row r="3" spans="1:46" x14ac:dyDescent="0.2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6</v>
      </c>
      <c r="P3" s="4" t="s">
        <v>21</v>
      </c>
      <c r="Q3" s="4" t="s">
        <v>22</v>
      </c>
      <c r="R3" s="4" t="s">
        <v>23</v>
      </c>
      <c r="S3" s="4" t="s">
        <v>119</v>
      </c>
      <c r="T3" s="4" t="s">
        <v>120</v>
      </c>
      <c r="U3" s="4" t="s">
        <v>121</v>
      </c>
      <c r="V3" s="4" t="s">
        <v>122</v>
      </c>
      <c r="AA3" s="4" t="s">
        <v>117</v>
      </c>
      <c r="AB3" s="4" t="s">
        <v>116</v>
      </c>
      <c r="AC3" s="4" t="s">
        <v>115</v>
      </c>
      <c r="AD3" s="4" t="s">
        <v>114</v>
      </c>
      <c r="AE3" s="4" t="s">
        <v>111</v>
      </c>
      <c r="AF3" s="4" t="s">
        <v>73</v>
      </c>
      <c r="AG3" s="4" t="s">
        <v>72</v>
      </c>
      <c r="AH3" s="4" t="s">
        <v>71</v>
      </c>
      <c r="AI3" s="4" t="s">
        <v>68</v>
      </c>
      <c r="AJ3" s="4" t="s">
        <v>69</v>
      </c>
      <c r="AK3" s="4" t="s">
        <v>70</v>
      </c>
      <c r="AL3" s="4" t="s">
        <v>86</v>
      </c>
      <c r="AM3" s="4" t="s">
        <v>87</v>
      </c>
      <c r="AN3" s="4" t="s">
        <v>88</v>
      </c>
      <c r="AO3" s="4" t="s">
        <v>89</v>
      </c>
      <c r="AP3" s="4" t="s">
        <v>90</v>
      </c>
      <c r="AQ3" s="4" t="s">
        <v>91</v>
      </c>
      <c r="AR3" s="4" t="s">
        <v>92</v>
      </c>
      <c r="AS3" s="4" t="s">
        <v>93</v>
      </c>
      <c r="AT3" s="4" t="s">
        <v>94</v>
      </c>
    </row>
    <row r="4" spans="1:46" s="2" customFormat="1" x14ac:dyDescent="0.2">
      <c r="B4" s="2" t="s">
        <v>112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>
        <v>4573</v>
      </c>
      <c r="P4" s="6"/>
      <c r="Q4" s="6"/>
      <c r="R4" s="6"/>
      <c r="S4" s="6"/>
      <c r="T4" s="6"/>
      <c r="U4" s="6"/>
      <c r="V4" s="6"/>
      <c r="W4" s="6"/>
      <c r="AB4" s="6"/>
      <c r="AC4" s="6"/>
      <c r="AD4" s="6"/>
      <c r="AE4" s="6">
        <v>7535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s="2" customFormat="1" x14ac:dyDescent="0.2">
      <c r="B5" s="2" t="s">
        <v>113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AB5" s="6"/>
      <c r="AC5" s="6"/>
      <c r="AD5" s="6"/>
      <c r="AE5" s="6">
        <f>AE4-2069</f>
        <v>5466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x14ac:dyDescent="0.2">
      <c r="AF6" s="4"/>
      <c r="AG6" s="4"/>
      <c r="AH6" s="4"/>
      <c r="AL6" s="4"/>
      <c r="AM6" s="4"/>
      <c r="AN6" s="4"/>
      <c r="AO6" s="4"/>
      <c r="AP6" s="4"/>
      <c r="AQ6" s="4"/>
      <c r="AR6" s="4"/>
      <c r="AS6" s="4"/>
      <c r="AT6" s="4"/>
    </row>
    <row r="7" spans="1:46" s="2" customFormat="1" x14ac:dyDescent="0.2">
      <c r="B7" s="2" t="s">
        <v>102</v>
      </c>
      <c r="C7" s="6"/>
      <c r="D7" s="6"/>
      <c r="E7" s="6"/>
      <c r="F7" s="6"/>
      <c r="G7" s="6"/>
      <c r="H7" s="6"/>
      <c r="I7" s="6"/>
      <c r="J7" s="6"/>
      <c r="K7" s="6">
        <v>966.3</v>
      </c>
      <c r="L7" s="6">
        <v>795.1</v>
      </c>
      <c r="M7" s="6"/>
      <c r="N7" s="6"/>
      <c r="O7" s="6">
        <v>995.3</v>
      </c>
      <c r="P7" s="6">
        <v>793.4</v>
      </c>
      <c r="Q7" s="6"/>
      <c r="R7" s="6"/>
      <c r="S7" s="6"/>
      <c r="T7" s="6"/>
      <c r="U7" s="6"/>
      <c r="V7" s="6"/>
      <c r="W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s="2" customFormat="1" x14ac:dyDescent="0.2">
      <c r="B8" s="2" t="s">
        <v>103</v>
      </c>
      <c r="C8" s="6"/>
      <c r="D8" s="6"/>
      <c r="E8" s="6"/>
      <c r="F8" s="6"/>
      <c r="G8" s="6"/>
      <c r="H8" s="6"/>
      <c r="I8" s="6"/>
      <c r="J8" s="6"/>
      <c r="K8" s="6">
        <v>61.9</v>
      </c>
      <c r="L8" s="6">
        <v>62.8</v>
      </c>
      <c r="M8" s="6"/>
      <c r="N8" s="6"/>
      <c r="O8" s="6">
        <v>76.900000000000006</v>
      </c>
      <c r="P8" s="6">
        <v>62.3</v>
      </c>
      <c r="Q8" s="6"/>
      <c r="R8" s="6"/>
      <c r="S8" s="6"/>
      <c r="T8" s="6"/>
      <c r="U8" s="6"/>
      <c r="V8" s="6"/>
      <c r="W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s="2" customFormat="1" x14ac:dyDescent="0.2">
      <c r="B9" s="2" t="s">
        <v>104</v>
      </c>
      <c r="C9" s="6"/>
      <c r="D9" s="6"/>
      <c r="E9" s="6"/>
      <c r="F9" s="6"/>
      <c r="G9" s="6"/>
      <c r="H9" s="6"/>
      <c r="I9" s="6"/>
      <c r="J9" s="6"/>
      <c r="K9" s="6">
        <v>114.8</v>
      </c>
      <c r="L9" s="6">
        <v>131.1</v>
      </c>
      <c r="M9" s="6"/>
      <c r="N9" s="6"/>
      <c r="O9" s="6">
        <v>126.7</v>
      </c>
      <c r="P9" s="6">
        <v>113.9</v>
      </c>
      <c r="Q9" s="6"/>
      <c r="R9" s="6"/>
      <c r="S9" s="6"/>
      <c r="T9" s="6"/>
      <c r="U9" s="6"/>
      <c r="V9" s="6"/>
      <c r="W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s="2" customFormat="1" x14ac:dyDescent="0.2">
      <c r="B10" s="2" t="s">
        <v>105</v>
      </c>
      <c r="C10" s="6"/>
      <c r="D10" s="6"/>
      <c r="E10" s="6"/>
      <c r="F10" s="6"/>
      <c r="G10" s="6"/>
      <c r="H10" s="6"/>
      <c r="I10" s="6"/>
      <c r="J10" s="6"/>
      <c r="K10" s="6">
        <v>133.80000000000001</v>
      </c>
      <c r="L10" s="6">
        <v>194.4</v>
      </c>
      <c r="M10" s="6"/>
      <c r="N10" s="6"/>
      <c r="O10" s="6">
        <v>179.5</v>
      </c>
      <c r="P10" s="6">
        <v>166.4</v>
      </c>
      <c r="Q10" s="6"/>
      <c r="R10" s="6"/>
      <c r="S10" s="6"/>
      <c r="T10" s="6"/>
      <c r="U10" s="6"/>
      <c r="V10" s="6"/>
      <c r="W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2">
      <c r="AF11" s="4"/>
      <c r="AG11" s="4"/>
      <c r="AH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s="2" customFormat="1" x14ac:dyDescent="0.2">
      <c r="B12" s="2" t="s">
        <v>74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AB12" s="6"/>
      <c r="AC12" s="6"/>
      <c r="AD12" s="6"/>
      <c r="AE12" s="6"/>
      <c r="AF12" s="6">
        <v>1791.8</v>
      </c>
      <c r="AG12" s="6">
        <v>1767.8</v>
      </c>
      <c r="AH12" s="6"/>
      <c r="AI12" s="6"/>
      <c r="AJ12" s="6"/>
      <c r="AK12" s="6"/>
    </row>
    <row r="13" spans="1:46" s="2" customFormat="1" x14ac:dyDescent="0.2">
      <c r="B13" s="2" t="s">
        <v>75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AB13" s="6"/>
      <c r="AC13" s="6"/>
      <c r="AD13" s="6"/>
      <c r="AE13" s="6"/>
      <c r="AF13" s="6">
        <v>2582</v>
      </c>
      <c r="AG13" s="6">
        <v>2449.6999999999998</v>
      </c>
      <c r="AH13" s="6"/>
      <c r="AI13" s="6"/>
      <c r="AJ13" s="6"/>
      <c r="AK13" s="6"/>
    </row>
    <row r="14" spans="1:46" s="2" customFormat="1" x14ac:dyDescent="0.2">
      <c r="B14" s="2" t="s">
        <v>76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AB14" s="6"/>
      <c r="AC14" s="6"/>
      <c r="AD14" s="6"/>
      <c r="AE14" s="6"/>
      <c r="AF14" s="6">
        <v>2149.6</v>
      </c>
      <c r="AG14" s="6">
        <v>1866.3</v>
      </c>
      <c r="AH14" s="6"/>
      <c r="AI14" s="6"/>
      <c r="AJ14" s="6"/>
      <c r="AK14" s="6"/>
    </row>
    <row r="15" spans="1:46" s="2" customFormat="1" x14ac:dyDescent="0.2">
      <c r="B15" s="2" t="s">
        <v>77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AB15" s="6"/>
      <c r="AC15" s="6"/>
      <c r="AD15" s="6"/>
      <c r="AE15" s="6"/>
      <c r="AF15" s="6">
        <v>784.3</v>
      </c>
      <c r="AG15" s="6">
        <v>956.5</v>
      </c>
      <c r="AH15" s="6"/>
      <c r="AI15" s="6"/>
      <c r="AJ15" s="6"/>
      <c r="AK15" s="6"/>
    </row>
    <row r="16" spans="1:46" s="2" customFormat="1" x14ac:dyDescent="0.2">
      <c r="B16" s="2" t="s">
        <v>78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AB16" s="6"/>
      <c r="AC16" s="6"/>
      <c r="AD16" s="6"/>
      <c r="AE16" s="6"/>
      <c r="AF16" s="6">
        <v>189.2</v>
      </c>
      <c r="AG16" s="6">
        <v>194</v>
      </c>
      <c r="AH16" s="6"/>
      <c r="AI16" s="6"/>
      <c r="AJ16" s="6"/>
      <c r="AK16" s="6"/>
    </row>
    <row r="17" spans="2:84" s="2" customFormat="1" x14ac:dyDescent="0.2">
      <c r="B17" s="2" t="s">
        <v>67</v>
      </c>
      <c r="C17" s="6"/>
      <c r="D17" s="6"/>
      <c r="E17" s="6"/>
      <c r="F17" s="6"/>
      <c r="G17" s="6"/>
      <c r="H17" s="6"/>
      <c r="I17" s="6"/>
      <c r="J17" s="6"/>
      <c r="K17" s="6">
        <v>175.4</v>
      </c>
      <c r="L17" s="6"/>
      <c r="M17" s="6"/>
      <c r="N17" s="6"/>
      <c r="O17" s="6">
        <v>220.9</v>
      </c>
      <c r="P17" s="6"/>
      <c r="Q17" s="6"/>
      <c r="R17" s="6"/>
      <c r="S17" s="6"/>
      <c r="T17" s="6"/>
      <c r="U17" s="6"/>
      <c r="V17" s="6"/>
      <c r="W17" s="6"/>
      <c r="AB17" s="6"/>
      <c r="AC17" s="6"/>
      <c r="AD17" s="6"/>
      <c r="AE17" s="6"/>
      <c r="AF17" s="6">
        <v>636.20000000000005</v>
      </c>
      <c r="AG17" s="6">
        <v>707.5</v>
      </c>
      <c r="AH17" s="6"/>
      <c r="AI17" s="6"/>
      <c r="AJ17" s="6"/>
      <c r="AK17" s="6"/>
    </row>
    <row r="18" spans="2:84" s="2" customFormat="1" x14ac:dyDescent="0.2">
      <c r="B18" s="2" t="s">
        <v>41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AB18" s="6"/>
      <c r="AC18" s="6"/>
      <c r="AD18" s="6"/>
      <c r="AE18" s="6"/>
      <c r="AF18" s="6">
        <v>414</v>
      </c>
      <c r="AG18" s="6">
        <v>343.5</v>
      </c>
      <c r="AH18" s="6"/>
      <c r="AI18" s="6"/>
      <c r="AJ18" s="6"/>
      <c r="AK18" s="6"/>
    </row>
    <row r="19" spans="2:84" x14ac:dyDescent="0.2">
      <c r="AF19" s="4"/>
      <c r="AG19" s="4"/>
      <c r="AH19" s="4"/>
    </row>
    <row r="20" spans="2:84" s="2" customFormat="1" x14ac:dyDescent="0.2">
      <c r="B20" s="2" t="s">
        <v>65</v>
      </c>
      <c r="C20" s="6"/>
      <c r="D20" s="6"/>
      <c r="E20" s="6"/>
      <c r="F20" s="6"/>
      <c r="G20" s="6">
        <v>513.1</v>
      </c>
      <c r="H20" s="6">
        <v>441.6</v>
      </c>
      <c r="I20" s="6">
        <v>413.4</v>
      </c>
      <c r="J20" s="6">
        <v>1162.7</v>
      </c>
      <c r="K20" s="6">
        <v>703.5</v>
      </c>
      <c r="L20" s="6">
        <v>609.6</v>
      </c>
      <c r="M20" s="6">
        <v>669.9</v>
      </c>
      <c r="N20" s="6">
        <v>1188.7</v>
      </c>
      <c r="O20" s="6">
        <v>673.8</v>
      </c>
      <c r="P20" s="6">
        <v>596.4</v>
      </c>
      <c r="Q20" s="6">
        <v>627</v>
      </c>
      <c r="R20" s="6"/>
      <c r="S20" s="6"/>
      <c r="T20" s="6"/>
      <c r="U20" s="6"/>
      <c r="V20" s="6"/>
      <c r="W20" s="6"/>
      <c r="AB20" s="6"/>
      <c r="AC20" s="6"/>
      <c r="AD20" s="6"/>
      <c r="AE20" s="6"/>
      <c r="AH20" s="6"/>
      <c r="AI20" s="6">
        <v>2530.8000000000002</v>
      </c>
      <c r="AJ20" s="6">
        <v>3171.7</v>
      </c>
      <c r="AK20" s="6">
        <f>AJ20*0.9</f>
        <v>2854.5299999999997</v>
      </c>
    </row>
    <row r="21" spans="2:84" s="2" customFormat="1" x14ac:dyDescent="0.2">
      <c r="B21" s="2" t="s">
        <v>66</v>
      </c>
      <c r="C21" s="6"/>
      <c r="D21" s="6"/>
      <c r="E21" s="6"/>
      <c r="F21" s="6"/>
      <c r="G21" s="6">
        <v>417</v>
      </c>
      <c r="H21" s="6">
        <v>386.5</v>
      </c>
      <c r="I21" s="6">
        <v>444.4</v>
      </c>
      <c r="J21" s="6">
        <v>731.2</v>
      </c>
      <c r="K21" s="6">
        <v>397.9</v>
      </c>
      <c r="L21" s="6">
        <v>396.6</v>
      </c>
      <c r="M21" s="6">
        <v>434.5</v>
      </c>
      <c r="N21" s="6">
        <v>785.9</v>
      </c>
      <c r="O21" s="6">
        <v>483.7</v>
      </c>
      <c r="P21" s="6">
        <v>316.39999999999998</v>
      </c>
      <c r="Q21" s="6">
        <v>352.1</v>
      </c>
      <c r="R21" s="6"/>
      <c r="S21" s="6"/>
      <c r="T21" s="6"/>
      <c r="U21" s="6"/>
      <c r="V21" s="6"/>
      <c r="W21" s="6"/>
      <c r="AB21" s="6"/>
      <c r="AC21" s="6"/>
      <c r="AD21" s="6"/>
      <c r="AE21" s="6"/>
      <c r="AG21" s="16"/>
      <c r="AH21" s="6"/>
      <c r="AI21" s="6">
        <v>1979.1</v>
      </c>
      <c r="AJ21" s="6">
        <v>2014.8</v>
      </c>
      <c r="AK21" s="6">
        <f>AJ21*1.03</f>
        <v>2075.2440000000001</v>
      </c>
      <c r="AL21" s="6"/>
      <c r="AM21" s="6"/>
      <c r="AN21" s="6"/>
      <c r="AO21" s="6"/>
      <c r="AP21" s="6"/>
      <c r="AQ21" s="6"/>
      <c r="AR21" s="6"/>
      <c r="AS21" s="6"/>
      <c r="AT21" s="6"/>
    </row>
    <row r="22" spans="2:84" s="2" customFormat="1" x14ac:dyDescent="0.2">
      <c r="B22" s="2" t="s">
        <v>67</v>
      </c>
      <c r="C22" s="6"/>
      <c r="D22" s="6"/>
      <c r="E22" s="6"/>
      <c r="F22" s="6"/>
      <c r="G22" s="6">
        <v>90.9</v>
      </c>
      <c r="H22" s="6">
        <v>113.9</v>
      </c>
      <c r="I22" s="6">
        <v>146.9</v>
      </c>
      <c r="J22" s="6">
        <v>228.2</v>
      </c>
      <c r="K22" s="6">
        <v>175.4</v>
      </c>
      <c r="L22" s="6">
        <v>177.2</v>
      </c>
      <c r="M22" s="6">
        <v>192.2</v>
      </c>
      <c r="N22" s="6">
        <v>279.3</v>
      </c>
      <c r="O22" s="6">
        <v>220.9</v>
      </c>
      <c r="P22" s="6">
        <v>223.2</v>
      </c>
      <c r="Q22" s="6">
        <v>207.3</v>
      </c>
      <c r="R22" s="6">
        <f t="shared" ref="R22" si="4">N22*1.2</f>
        <v>335.16</v>
      </c>
      <c r="S22" s="6">
        <f t="shared" ref="S22" si="5">O22*1.2</f>
        <v>265.08</v>
      </c>
      <c r="T22" s="6">
        <f t="shared" ref="T22" si="6">P22*1.2</f>
        <v>267.83999999999997</v>
      </c>
      <c r="U22" s="6">
        <f t="shared" ref="U22" si="7">Q22*1.2</f>
        <v>248.76</v>
      </c>
      <c r="V22" s="6">
        <f t="shared" ref="V22" si="8">R22*1.2</f>
        <v>402.19200000000001</v>
      </c>
      <c r="W22" s="6"/>
      <c r="AB22" s="6"/>
      <c r="AC22" s="6"/>
      <c r="AD22" s="6"/>
      <c r="AE22" s="6"/>
      <c r="AF22" s="2">
        <f>AF17</f>
        <v>636.20000000000005</v>
      </c>
      <c r="AG22" s="2">
        <f>AG17</f>
        <v>707.5</v>
      </c>
      <c r="AH22" s="6">
        <v>737.5</v>
      </c>
      <c r="AI22" s="6">
        <v>579.9</v>
      </c>
      <c r="AJ22" s="6">
        <v>824.2</v>
      </c>
      <c r="AK22" s="6">
        <f>AJ22*1.1</f>
        <v>906.62000000000012</v>
      </c>
      <c r="AL22" s="6">
        <f t="shared" ref="AL22:AT22" si="9">AK22*1.1</f>
        <v>997.28200000000027</v>
      </c>
      <c r="AM22" s="6">
        <f t="shared" si="9"/>
        <v>1097.0102000000004</v>
      </c>
      <c r="AN22" s="6">
        <f t="shared" si="9"/>
        <v>1206.7112200000006</v>
      </c>
      <c r="AO22" s="6">
        <f t="shared" si="9"/>
        <v>1327.3823420000008</v>
      </c>
      <c r="AP22" s="6">
        <f t="shared" si="9"/>
        <v>1460.1205762000011</v>
      </c>
      <c r="AQ22" s="6">
        <f t="shared" si="9"/>
        <v>1606.1326338200013</v>
      </c>
      <c r="AR22" s="6">
        <f t="shared" si="9"/>
        <v>1766.7458972020015</v>
      </c>
      <c r="AS22" s="6">
        <f t="shared" si="9"/>
        <v>1943.4204869222019</v>
      </c>
      <c r="AT22" s="6">
        <f t="shared" si="9"/>
        <v>2137.7625356144222</v>
      </c>
    </row>
    <row r="23" spans="2:84" s="7" customFormat="1" x14ac:dyDescent="0.2">
      <c r="B23" s="7" t="s">
        <v>8</v>
      </c>
      <c r="C23" s="8"/>
      <c r="D23" s="8"/>
      <c r="E23" s="8"/>
      <c r="F23" s="8"/>
      <c r="G23" s="8">
        <f>SUM(G20:G22)</f>
        <v>1021</v>
      </c>
      <c r="H23" s="8">
        <f>SUM(H20:H22)</f>
        <v>942</v>
      </c>
      <c r="I23" s="8">
        <f t="shared" ref="I23:N23" si="10">SUM(I20:I22)</f>
        <v>1004.6999999999999</v>
      </c>
      <c r="J23" s="8">
        <f t="shared" si="10"/>
        <v>2122.1</v>
      </c>
      <c r="K23" s="8">
        <f t="shared" si="10"/>
        <v>1276.8000000000002</v>
      </c>
      <c r="L23" s="8">
        <f t="shared" si="10"/>
        <v>1183.4000000000001</v>
      </c>
      <c r="M23" s="8">
        <f t="shared" si="10"/>
        <v>1296.6000000000001</v>
      </c>
      <c r="N23" s="8">
        <f t="shared" si="10"/>
        <v>2253.9</v>
      </c>
      <c r="O23" s="8">
        <f>SUM(O20:O22)</f>
        <v>1378.4</v>
      </c>
      <c r="P23" s="8">
        <f>SUM(P20:P22)</f>
        <v>1136</v>
      </c>
      <c r="Q23" s="8">
        <v>1186</v>
      </c>
      <c r="R23" s="8">
        <f>N23*1.05</f>
        <v>2366.5950000000003</v>
      </c>
      <c r="S23" s="8">
        <f t="shared" ref="S23:V23" si="11">O23*1.05</f>
        <v>1447.3200000000002</v>
      </c>
      <c r="T23" s="8">
        <f t="shared" si="11"/>
        <v>1192.8</v>
      </c>
      <c r="U23" s="8">
        <f t="shared" si="11"/>
        <v>1245.3</v>
      </c>
      <c r="V23" s="8">
        <f t="shared" si="11"/>
        <v>2484.9247500000006</v>
      </c>
      <c r="W23" s="8"/>
      <c r="AB23" s="8">
        <v>9039.5</v>
      </c>
      <c r="AC23" s="8">
        <v>9296</v>
      </c>
      <c r="AD23" s="8">
        <v>9363.7999999999993</v>
      </c>
      <c r="AE23" s="8">
        <v>8607.9</v>
      </c>
      <c r="AF23" s="8">
        <f>SUM(AF12:AF18)</f>
        <v>8547.0999999999985</v>
      </c>
      <c r="AG23" s="8">
        <f>SUM(AG12:AG18)</f>
        <v>8285.2999999999993</v>
      </c>
      <c r="AH23" s="8">
        <v>6466</v>
      </c>
      <c r="AI23" s="8">
        <f t="shared" ref="AI23:AJ23" si="12">SUM(AI20:AI22)</f>
        <v>5089.7999999999993</v>
      </c>
      <c r="AJ23" s="8">
        <f t="shared" si="12"/>
        <v>6010.7</v>
      </c>
      <c r="AK23" s="8">
        <f>SUM(O23:R23)</f>
        <v>6066.9950000000008</v>
      </c>
      <c r="AL23" s="7">
        <f>AK23*1.1</f>
        <v>6673.6945000000014</v>
      </c>
      <c r="AM23" s="7">
        <f>AL23*1.1</f>
        <v>7341.0639500000025</v>
      </c>
      <c r="AN23" s="7">
        <f>AM23*1.1</f>
        <v>8075.1703450000032</v>
      </c>
      <c r="AO23" s="7">
        <f t="shared" ref="AO23:AT23" si="13">AN23*1.05</f>
        <v>8478.9288622500044</v>
      </c>
      <c r="AP23" s="7">
        <f t="shared" si="13"/>
        <v>8902.8753053625042</v>
      </c>
      <c r="AQ23" s="7">
        <f t="shared" si="13"/>
        <v>9348.0190706306294</v>
      </c>
      <c r="AR23" s="7">
        <f t="shared" si="13"/>
        <v>9815.420024162162</v>
      </c>
      <c r="AS23" s="7">
        <f t="shared" si="13"/>
        <v>10306.19102537027</v>
      </c>
      <c r="AT23" s="7">
        <f t="shared" si="13"/>
        <v>10821.500576638784</v>
      </c>
    </row>
    <row r="24" spans="2:84" s="2" customFormat="1" x14ac:dyDescent="0.2">
      <c r="B24" s="2" t="s">
        <v>25</v>
      </c>
      <c r="C24" s="6"/>
      <c r="D24" s="6"/>
      <c r="E24" s="6"/>
      <c r="F24" s="6"/>
      <c r="G24" s="6">
        <v>738.6</v>
      </c>
      <c r="H24" s="6">
        <v>689.8</v>
      </c>
      <c r="I24" s="6">
        <v>728.4</v>
      </c>
      <c r="J24" s="6">
        <v>1673.5</v>
      </c>
      <c r="K24" s="6">
        <v>946.7</v>
      </c>
      <c r="L24" s="6">
        <v>862.5</v>
      </c>
      <c r="M24" s="6">
        <v>978</v>
      </c>
      <c r="N24" s="6">
        <v>1875.7</v>
      </c>
      <c r="O24" s="6">
        <v>1079.9000000000001</v>
      </c>
      <c r="P24" s="6">
        <v>853.8</v>
      </c>
      <c r="Q24" s="6">
        <v>894.8</v>
      </c>
      <c r="R24" s="6">
        <f>R23*0.78</f>
        <v>1845.9441000000002</v>
      </c>
      <c r="S24" s="6">
        <f t="shared" ref="S24:V24" si="14">S23*0.78</f>
        <v>1128.9096000000002</v>
      </c>
      <c r="T24" s="6">
        <f t="shared" si="14"/>
        <v>930.38400000000001</v>
      </c>
      <c r="U24" s="6">
        <f t="shared" si="14"/>
        <v>971.33399999999995</v>
      </c>
      <c r="V24" s="6">
        <f t="shared" si="14"/>
        <v>1938.2413050000005</v>
      </c>
      <c r="W24" s="6"/>
      <c r="AB24" s="6">
        <v>6378.4</v>
      </c>
      <c r="AC24" s="6">
        <v>6520.1</v>
      </c>
      <c r="AD24" s="6">
        <v>6445.5</v>
      </c>
      <c r="AE24" s="6">
        <v>5598.6</v>
      </c>
      <c r="AF24" s="6">
        <v>6062.2</v>
      </c>
      <c r="AG24" s="6">
        <v>5977.2</v>
      </c>
      <c r="AH24" s="6">
        <v>4557.3</v>
      </c>
      <c r="AI24" s="6">
        <v>3830.3</v>
      </c>
      <c r="AJ24" s="6">
        <v>4662.8999999999996</v>
      </c>
      <c r="AK24" s="6">
        <f>AK23*0.77</f>
        <v>4671.586150000001</v>
      </c>
      <c r="AL24" s="6">
        <f>AL23*0.76</f>
        <v>5072.0078200000007</v>
      </c>
      <c r="AM24" s="6">
        <f>AM23*0.76</f>
        <v>5579.2086020000015</v>
      </c>
      <c r="AN24" s="6">
        <f>AN23*0.75</f>
        <v>6056.3777587500026</v>
      </c>
      <c r="AO24" s="6">
        <f>AO23*0.75</f>
        <v>6359.1966466875037</v>
      </c>
      <c r="AP24" s="6">
        <f>AP23*0.74</f>
        <v>6588.1277259682529</v>
      </c>
      <c r="AQ24" s="6">
        <f>AQ23*0.74</f>
        <v>6917.5341122666659</v>
      </c>
      <c r="AR24" s="6">
        <f>AR23*0.73</f>
        <v>7165.256617638378</v>
      </c>
      <c r="AS24" s="6">
        <f>AS23*0.73</f>
        <v>7523.5194485202965</v>
      </c>
      <c r="AT24" s="6">
        <f>AT23*0.72</f>
        <v>7791.4804151799244</v>
      </c>
    </row>
    <row r="25" spans="2:84" s="2" customFormat="1" x14ac:dyDescent="0.2">
      <c r="B25" s="2" t="s">
        <v>24</v>
      </c>
      <c r="C25" s="6"/>
      <c r="D25" s="6"/>
      <c r="E25" s="6"/>
      <c r="F25" s="6"/>
      <c r="G25" s="6">
        <f t="shared" ref="G25" si="15">G23-G24</f>
        <v>282.39999999999998</v>
      </c>
      <c r="H25" s="6">
        <f>H23-H24</f>
        <v>252.20000000000005</v>
      </c>
      <c r="I25" s="6">
        <f>I23-I24</f>
        <v>276.29999999999995</v>
      </c>
      <c r="J25" s="6">
        <f>J23-J24</f>
        <v>448.59999999999991</v>
      </c>
      <c r="K25" s="6">
        <f>K23-K24</f>
        <v>330.10000000000014</v>
      </c>
      <c r="L25" s="6">
        <f t="shared" ref="L25" si="16">L23-L24</f>
        <v>320.90000000000009</v>
      </c>
      <c r="M25" s="6">
        <f t="shared" ref="M25" si="17">M23-M24</f>
        <v>318.60000000000014</v>
      </c>
      <c r="N25" s="6">
        <f>N23-N24</f>
        <v>378.20000000000005</v>
      </c>
      <c r="O25" s="6">
        <f>O23-O24</f>
        <v>298.5</v>
      </c>
      <c r="P25" s="6">
        <f>+P23-P24</f>
        <v>282.20000000000005</v>
      </c>
      <c r="Q25" s="6">
        <f t="shared" ref="Q25:R25" si="18">Q23-Q24</f>
        <v>291.20000000000005</v>
      </c>
      <c r="R25" s="6">
        <f t="shared" si="18"/>
        <v>520.65090000000009</v>
      </c>
      <c r="S25" s="6">
        <f t="shared" ref="S25:V25" si="19">S23-S24</f>
        <v>318.41039999999998</v>
      </c>
      <c r="T25" s="6">
        <f t="shared" si="19"/>
        <v>262.41599999999994</v>
      </c>
      <c r="U25" s="6">
        <f t="shared" si="19"/>
        <v>273.96600000000001</v>
      </c>
      <c r="V25" s="6">
        <f t="shared" si="19"/>
        <v>546.68344500000012</v>
      </c>
      <c r="W25" s="6"/>
      <c r="AB25" s="6">
        <f t="shared" ref="AB25" si="20">AB23-AB24</f>
        <v>2661.1000000000004</v>
      </c>
      <c r="AC25" s="6">
        <f t="shared" ref="AC25" si="21">AC23-AC24</f>
        <v>2775.8999999999996</v>
      </c>
      <c r="AD25" s="6">
        <f t="shared" ref="AD25" si="22">AD23-AD24</f>
        <v>2918.2999999999993</v>
      </c>
      <c r="AE25" s="6">
        <f t="shared" ref="AE25:AF25" si="23">AE23-AE24</f>
        <v>3009.2999999999993</v>
      </c>
      <c r="AF25" s="6">
        <f t="shared" si="23"/>
        <v>2484.8999999999987</v>
      </c>
      <c r="AG25" s="6">
        <f>AG23-AG24</f>
        <v>2308.0999999999995</v>
      </c>
      <c r="AH25" s="6">
        <f t="shared" ref="AH25" si="24">AH23-AH24</f>
        <v>1908.6999999999998</v>
      </c>
      <c r="AI25" s="6">
        <f>AI23-AI24</f>
        <v>1259.4999999999991</v>
      </c>
      <c r="AJ25" s="6">
        <f>AJ23-AJ24</f>
        <v>1347.8000000000002</v>
      </c>
      <c r="AK25" s="6">
        <f t="shared" ref="AK25:AT25" si="25">AK23-AK24</f>
        <v>1395.4088499999998</v>
      </c>
      <c r="AL25" s="6">
        <f t="shared" si="25"/>
        <v>1601.6866800000007</v>
      </c>
      <c r="AM25" s="6">
        <f t="shared" si="25"/>
        <v>1761.855348000001</v>
      </c>
      <c r="AN25" s="6">
        <f t="shared" si="25"/>
        <v>2018.7925862500006</v>
      </c>
      <c r="AO25" s="6">
        <f t="shared" si="25"/>
        <v>2119.7322155625006</v>
      </c>
      <c r="AP25" s="6">
        <f t="shared" si="25"/>
        <v>2314.7475793942513</v>
      </c>
      <c r="AQ25" s="6">
        <f t="shared" si="25"/>
        <v>2430.4849583639634</v>
      </c>
      <c r="AR25" s="6">
        <f t="shared" si="25"/>
        <v>2650.163406523784</v>
      </c>
      <c r="AS25" s="6">
        <f t="shared" si="25"/>
        <v>2782.6715768499735</v>
      </c>
      <c r="AT25" s="6">
        <f t="shared" si="25"/>
        <v>3030.0201614588595</v>
      </c>
    </row>
    <row r="26" spans="2:84" s="2" customFormat="1" x14ac:dyDescent="0.2">
      <c r="B26" s="2" t="s">
        <v>26</v>
      </c>
      <c r="C26" s="6"/>
      <c r="D26" s="6"/>
      <c r="E26" s="6"/>
      <c r="F26" s="6"/>
      <c r="G26" s="6">
        <v>386.5</v>
      </c>
      <c r="H26" s="6">
        <v>348.2</v>
      </c>
      <c r="I26" s="6">
        <v>360.4</v>
      </c>
      <c r="J26" s="6">
        <v>419.1</v>
      </c>
      <c r="K26" s="6">
        <v>370.3</v>
      </c>
      <c r="L26" s="6">
        <v>378.9</v>
      </c>
      <c r="M26" s="6">
        <v>421.5</v>
      </c>
      <c r="N26" s="6">
        <v>538.9</v>
      </c>
      <c r="O26" s="6">
        <v>452.2</v>
      </c>
      <c r="P26" s="6">
        <v>387.5</v>
      </c>
      <c r="Q26" s="6">
        <v>387.9</v>
      </c>
      <c r="R26" s="6">
        <f t="shared" ref="R26" si="26">N26</f>
        <v>538.9</v>
      </c>
      <c r="S26" s="6">
        <f t="shared" ref="S26" si="27">O26</f>
        <v>452.2</v>
      </c>
      <c r="T26" s="6">
        <f t="shared" ref="T26" si="28">P26</f>
        <v>387.5</v>
      </c>
      <c r="U26" s="6">
        <f t="shared" ref="U26" si="29">Q26</f>
        <v>387.9</v>
      </c>
      <c r="V26" s="6">
        <f t="shared" ref="V26" si="30">R26</f>
        <v>538.9</v>
      </c>
      <c r="W26" s="6"/>
      <c r="AB26" s="6">
        <v>1892.4</v>
      </c>
      <c r="AC26" s="6">
        <v>2001</v>
      </c>
      <c r="AD26" s="6">
        <v>2108.9</v>
      </c>
      <c r="AE26" s="6">
        <v>2252.6</v>
      </c>
      <c r="AF26" s="6">
        <v>1909.6</v>
      </c>
      <c r="AG26" s="6">
        <v>1994.2</v>
      </c>
      <c r="AH26" s="6">
        <v>1922.7</v>
      </c>
      <c r="AI26" s="6">
        <v>1514.2</v>
      </c>
      <c r="AJ26" s="6">
        <v>1709.6</v>
      </c>
      <c r="AK26" s="6">
        <f>AJ26*0.99</f>
        <v>1692.5039999999999</v>
      </c>
      <c r="AL26" s="6">
        <f t="shared" ref="AL26:AO26" si="31">AK26*0.99</f>
        <v>1675.5789599999998</v>
      </c>
      <c r="AM26" s="6">
        <f t="shared" si="31"/>
        <v>1658.8231703999998</v>
      </c>
      <c r="AN26" s="6">
        <f t="shared" si="31"/>
        <v>1642.2349386959997</v>
      </c>
      <c r="AO26" s="6">
        <f t="shared" si="31"/>
        <v>1625.8125893090398</v>
      </c>
      <c r="AP26" s="6">
        <f>AO26*1.03</f>
        <v>1674.5869669883111</v>
      </c>
      <c r="AQ26" s="6">
        <f t="shared" ref="AQ26:AT26" si="32">AP26*1.03</f>
        <v>1724.8245759979604</v>
      </c>
      <c r="AR26" s="6">
        <f t="shared" si="32"/>
        <v>1776.5693132778993</v>
      </c>
      <c r="AS26" s="6">
        <f t="shared" si="32"/>
        <v>1829.8663926762363</v>
      </c>
      <c r="AT26" s="6">
        <f t="shared" si="32"/>
        <v>1884.7623844565235</v>
      </c>
    </row>
    <row r="27" spans="2:84" s="2" customFormat="1" x14ac:dyDescent="0.2">
      <c r="B27" s="2" t="s">
        <v>27</v>
      </c>
      <c r="C27" s="6"/>
      <c r="D27" s="6"/>
      <c r="E27" s="6"/>
      <c r="F27" s="6"/>
      <c r="G27" s="6">
        <f t="shared" ref="G27" si="33">G25-G26</f>
        <v>-104.10000000000002</v>
      </c>
      <c r="H27" s="6">
        <f>H25-H26</f>
        <v>-95.999999999999943</v>
      </c>
      <c r="I27" s="6">
        <f>I25-I26</f>
        <v>-84.100000000000023</v>
      </c>
      <c r="J27" s="6">
        <f>J25-J26</f>
        <v>29.499999999999886</v>
      </c>
      <c r="K27" s="6">
        <f>K25-K26</f>
        <v>-40.199999999999875</v>
      </c>
      <c r="L27" s="6">
        <f t="shared" ref="L27" si="34">L25-L26</f>
        <v>-57.999999999999886</v>
      </c>
      <c r="M27" s="6">
        <f t="shared" ref="M27" si="35">M25-M26</f>
        <v>-102.89999999999986</v>
      </c>
      <c r="N27" s="6">
        <f>N25-N26</f>
        <v>-160.69999999999993</v>
      </c>
      <c r="O27" s="6">
        <f>O25-O26</f>
        <v>-153.69999999999999</v>
      </c>
      <c r="P27" s="6">
        <f t="shared" ref="P27:R27" si="36">P25-P26</f>
        <v>-105.29999999999995</v>
      </c>
      <c r="Q27" s="6">
        <f t="shared" si="36"/>
        <v>-96.699999999999932</v>
      </c>
      <c r="R27" s="6">
        <f t="shared" si="36"/>
        <v>-18.249099999999885</v>
      </c>
      <c r="S27" s="6">
        <f t="shared" ref="S27:V27" si="37">S25-S26</f>
        <v>-133.78960000000001</v>
      </c>
      <c r="T27" s="6">
        <f t="shared" si="37"/>
        <v>-125.08400000000006</v>
      </c>
      <c r="U27" s="6">
        <f t="shared" si="37"/>
        <v>-113.93399999999997</v>
      </c>
      <c r="V27" s="6">
        <f t="shared" si="37"/>
        <v>7.7834450000001425</v>
      </c>
      <c r="W27" s="6"/>
      <c r="AB27" s="6">
        <f t="shared" ref="AB27" si="38">AB25-AB26</f>
        <v>768.70000000000027</v>
      </c>
      <c r="AC27" s="6">
        <f t="shared" ref="AC27" si="39">AC25-AC26</f>
        <v>774.89999999999964</v>
      </c>
      <c r="AD27" s="6">
        <f t="shared" ref="AD27" si="40">AD25-AD26</f>
        <v>809.39999999999918</v>
      </c>
      <c r="AE27" s="6">
        <f t="shared" ref="AE27:AF27" si="41">AE25-AE26</f>
        <v>756.69999999999936</v>
      </c>
      <c r="AF27" s="6">
        <f t="shared" si="41"/>
        <v>575.29999999999882</v>
      </c>
      <c r="AG27" s="6">
        <f>AG25-AG26</f>
        <v>313.89999999999941</v>
      </c>
      <c r="AH27" s="6">
        <f t="shared" ref="AH27" si="42">AH25-AH26</f>
        <v>-14.000000000000227</v>
      </c>
      <c r="AI27" s="6">
        <f>AI25-AI26</f>
        <v>-254.70000000000095</v>
      </c>
      <c r="AJ27" s="6">
        <f>AJ25-AJ26</f>
        <v>-361.79999999999973</v>
      </c>
      <c r="AK27" s="6">
        <f t="shared" ref="AK27:AT27" si="43">AK25-AK26</f>
        <v>-297.0951500000001</v>
      </c>
      <c r="AL27" s="6">
        <f t="shared" si="43"/>
        <v>-73.892279999999118</v>
      </c>
      <c r="AM27" s="6">
        <f t="shared" si="43"/>
        <v>103.03217760000121</v>
      </c>
      <c r="AN27" s="6">
        <f t="shared" si="43"/>
        <v>376.55764755400082</v>
      </c>
      <c r="AO27" s="6">
        <f t="shared" si="43"/>
        <v>493.91962625346082</v>
      </c>
      <c r="AP27" s="6">
        <f t="shared" si="43"/>
        <v>640.16061240594013</v>
      </c>
      <c r="AQ27" s="6">
        <f t="shared" si="43"/>
        <v>705.66038236600298</v>
      </c>
      <c r="AR27" s="6">
        <f t="shared" si="43"/>
        <v>873.59409324588478</v>
      </c>
      <c r="AS27" s="6">
        <f t="shared" si="43"/>
        <v>952.80518417373719</v>
      </c>
      <c r="AT27" s="6">
        <f t="shared" si="43"/>
        <v>1145.2577770023361</v>
      </c>
    </row>
    <row r="28" spans="2:84" s="2" customFormat="1" x14ac:dyDescent="0.2">
      <c r="B28" s="2" t="s">
        <v>28</v>
      </c>
      <c r="C28" s="6"/>
      <c r="D28" s="6"/>
      <c r="E28" s="6"/>
      <c r="F28" s="6"/>
      <c r="G28" s="6">
        <v>-6.7</v>
      </c>
      <c r="H28" s="6">
        <v>-7.5</v>
      </c>
      <c r="I28" s="6">
        <v>-9.6999999999999993</v>
      </c>
      <c r="J28" s="6">
        <v>-8.1999999999999993</v>
      </c>
      <c r="K28" s="6">
        <v>-24.7</v>
      </c>
      <c r="L28" s="6">
        <v>-0.5</v>
      </c>
      <c r="M28" s="6">
        <v>-0.8</v>
      </c>
      <c r="N28" s="6">
        <v>-0.9</v>
      </c>
      <c r="O28" s="6">
        <v>-0.7</v>
      </c>
      <c r="P28" s="6">
        <v>0.3</v>
      </c>
      <c r="Q28" s="6">
        <v>3.7</v>
      </c>
      <c r="R28" s="6">
        <f t="shared" ref="R28" si="44">Q28</f>
        <v>3.7</v>
      </c>
      <c r="S28" s="6">
        <f t="shared" ref="S28" si="45">R28</f>
        <v>3.7</v>
      </c>
      <c r="T28" s="6">
        <f t="shared" ref="T28" si="46">S28</f>
        <v>3.7</v>
      </c>
      <c r="U28" s="6">
        <f t="shared" ref="U28" si="47">T28</f>
        <v>3.7</v>
      </c>
      <c r="V28" s="6">
        <f t="shared" ref="V28" si="48">U28</f>
        <v>3.7</v>
      </c>
      <c r="W28" s="6"/>
      <c r="AB28" s="6">
        <v>-4.7</v>
      </c>
      <c r="AC28" s="6">
        <v>-10</v>
      </c>
      <c r="AD28" s="6">
        <v>-23</v>
      </c>
      <c r="AE28" s="6">
        <v>-53</v>
      </c>
      <c r="AF28" s="6">
        <v>-55.3</v>
      </c>
      <c r="AG28" s="6">
        <v>-51.1</v>
      </c>
      <c r="AH28" s="6">
        <v>-27.2</v>
      </c>
      <c r="AI28" s="6">
        <v>-32.1</v>
      </c>
      <c r="AJ28" s="6">
        <v>-26.9</v>
      </c>
      <c r="AK28" s="6">
        <f t="shared" ref="AK28:AT28" si="49">AJ43*$AX$65</f>
        <v>20.551017999999999</v>
      </c>
      <c r="AL28" s="6">
        <f t="shared" si="49"/>
        <v>15.020135359999998</v>
      </c>
      <c r="AM28" s="6">
        <f t="shared" si="49"/>
        <v>13.842692467200015</v>
      </c>
      <c r="AN28" s="6">
        <f t="shared" si="49"/>
        <v>16.180189868544041</v>
      </c>
      <c r="AO28" s="6">
        <f t="shared" si="49"/>
        <v>24.03494661699494</v>
      </c>
      <c r="AP28" s="6">
        <f t="shared" si="49"/>
        <v>33.358128928663149</v>
      </c>
      <c r="AQ28" s="6">
        <f t="shared" si="49"/>
        <v>45.481466272686006</v>
      </c>
      <c r="AR28" s="6">
        <f t="shared" si="49"/>
        <v>57.499735850905026</v>
      </c>
      <c r="AS28" s="6">
        <f t="shared" si="49"/>
        <v>72.397237116453667</v>
      </c>
      <c r="AT28" s="6">
        <f t="shared" si="49"/>
        <v>87.775273435806525</v>
      </c>
    </row>
    <row r="29" spans="2:84" s="2" customFormat="1" x14ac:dyDescent="0.2">
      <c r="B29" s="2" t="s">
        <v>29</v>
      </c>
      <c r="C29" s="6"/>
      <c r="D29" s="6"/>
      <c r="E29" s="6"/>
      <c r="F29" s="6"/>
      <c r="G29" s="6">
        <f t="shared" ref="G29" si="50">G27+G28</f>
        <v>-110.80000000000003</v>
      </c>
      <c r="H29" s="6">
        <f>H27+H28</f>
        <v>-103.49999999999994</v>
      </c>
      <c r="I29" s="6">
        <f>I27+I28</f>
        <v>-93.800000000000026</v>
      </c>
      <c r="J29" s="6">
        <f>J27+J28</f>
        <v>21.299999999999887</v>
      </c>
      <c r="K29" s="6">
        <f>K27+K28</f>
        <v>-64.899999999999878</v>
      </c>
      <c r="L29" s="6">
        <f t="shared" ref="L29" si="51">L27+L28</f>
        <v>-58.499999999999886</v>
      </c>
      <c r="M29" s="6">
        <f t="shared" ref="M29" si="52">M27+M28</f>
        <v>-103.69999999999986</v>
      </c>
      <c r="N29" s="6">
        <f>N27+N28</f>
        <v>-161.59999999999994</v>
      </c>
      <c r="O29" s="6">
        <f>O27+O28</f>
        <v>-154.39999999999998</v>
      </c>
      <c r="P29" s="6">
        <f t="shared" ref="P29:R29" si="53">P27+P28</f>
        <v>-104.99999999999996</v>
      </c>
      <c r="Q29" s="6">
        <f t="shared" si="53"/>
        <v>-92.999999999999929</v>
      </c>
      <c r="R29" s="6">
        <f t="shared" si="53"/>
        <v>-14.549099999999886</v>
      </c>
      <c r="S29" s="6">
        <f t="shared" ref="S29:V29" si="54">S27+S28</f>
        <v>-130.08960000000002</v>
      </c>
      <c r="T29" s="6">
        <f t="shared" si="54"/>
        <v>-121.38400000000006</v>
      </c>
      <c r="U29" s="6">
        <f t="shared" si="54"/>
        <v>-110.23399999999997</v>
      </c>
      <c r="V29" s="6">
        <f t="shared" si="54"/>
        <v>11.483445000000142</v>
      </c>
      <c r="W29" s="6"/>
      <c r="AB29" s="6">
        <f t="shared" ref="AB29" si="55">AB27+AB28</f>
        <v>764.00000000000023</v>
      </c>
      <c r="AC29" s="6">
        <f t="shared" ref="AC29" si="56">AC27+AC28</f>
        <v>764.89999999999964</v>
      </c>
      <c r="AD29" s="6">
        <f t="shared" ref="AD29" si="57">AD27+AD28</f>
        <v>786.39999999999918</v>
      </c>
      <c r="AE29" s="6">
        <f t="shared" ref="AE29:AF29" si="58">AE27+AE28</f>
        <v>703.69999999999936</v>
      </c>
      <c r="AF29" s="6">
        <f t="shared" si="58"/>
        <v>519.99999999999886</v>
      </c>
      <c r="AG29" s="6">
        <f t="shared" ref="AG29:AH29" si="59">AG27+AG28</f>
        <v>262.79999999999939</v>
      </c>
      <c r="AH29" s="6">
        <f t="shared" si="59"/>
        <v>-41.20000000000023</v>
      </c>
      <c r="AI29" s="6">
        <f t="shared" ref="AI29:AJ29" si="60">AI27+AI28</f>
        <v>-286.80000000000098</v>
      </c>
      <c r="AJ29" s="6">
        <f t="shared" si="60"/>
        <v>-388.6999999999997</v>
      </c>
      <c r="AK29" s="6">
        <f t="shared" ref="AK29" si="61">AK27+AK28</f>
        <v>-276.5441320000001</v>
      </c>
      <c r="AL29" s="6">
        <f t="shared" ref="AL29" si="62">AL27+AL28</f>
        <v>-58.872144639999121</v>
      </c>
      <c r="AM29" s="6">
        <f t="shared" ref="AM29" si="63">AM27+AM28</f>
        <v>116.87487006720121</v>
      </c>
      <c r="AN29" s="6">
        <f t="shared" ref="AN29" si="64">AN27+AN28</f>
        <v>392.73783742254489</v>
      </c>
      <c r="AO29" s="6">
        <f t="shared" ref="AO29" si="65">AO27+AO28</f>
        <v>517.95457287045576</v>
      </c>
      <c r="AP29" s="6">
        <f t="shared" ref="AP29" si="66">AP27+AP28</f>
        <v>673.51874133460331</v>
      </c>
      <c r="AQ29" s="6">
        <f t="shared" ref="AQ29" si="67">AQ27+AQ28</f>
        <v>751.141848638689</v>
      </c>
      <c r="AR29" s="6">
        <f t="shared" ref="AR29" si="68">AR27+AR28</f>
        <v>931.09382909678982</v>
      </c>
      <c r="AS29" s="6">
        <f t="shared" ref="AS29" si="69">AS27+AS28</f>
        <v>1025.2024212901908</v>
      </c>
      <c r="AT29" s="6">
        <f t="shared" ref="AT29" si="70">AT27+AT28</f>
        <v>1233.0330504381427</v>
      </c>
    </row>
    <row r="30" spans="2:84" s="2" customFormat="1" x14ac:dyDescent="0.2">
      <c r="B30" s="2" t="s">
        <v>31</v>
      </c>
      <c r="C30" s="6"/>
      <c r="D30" s="6"/>
      <c r="E30" s="6"/>
      <c r="F30" s="6"/>
      <c r="G30" s="6">
        <v>50.4</v>
      </c>
      <c r="H30" s="6">
        <v>17.899999999999999</v>
      </c>
      <c r="I30" s="6">
        <v>-53.9</v>
      </c>
      <c r="J30" s="6">
        <v>-69.7</v>
      </c>
      <c r="K30" s="6">
        <v>1.3</v>
      </c>
      <c r="L30" s="6">
        <v>3.1</v>
      </c>
      <c r="M30" s="6">
        <v>1.7</v>
      </c>
      <c r="N30" s="6">
        <v>-20.2</v>
      </c>
      <c r="O30" s="6">
        <v>3.5</v>
      </c>
      <c r="P30" s="6">
        <v>1.2</v>
      </c>
      <c r="Q30" s="6">
        <v>2.1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/>
      <c r="AB30" s="6">
        <v>214.6</v>
      </c>
      <c r="AC30" s="6">
        <v>215.2</v>
      </c>
      <c r="AD30" s="6">
        <v>222.4</v>
      </c>
      <c r="AE30" s="6">
        <v>151.5</v>
      </c>
      <c r="AF30" s="6">
        <v>153.5</v>
      </c>
      <c r="AG30" s="6">
        <v>41.7</v>
      </c>
      <c r="AH30" s="6">
        <v>37.6</v>
      </c>
      <c r="AI30" s="6">
        <v>-55.3</v>
      </c>
      <c r="AJ30" s="6">
        <v>-14.1</v>
      </c>
      <c r="AK30" s="6">
        <v>0</v>
      </c>
      <c r="AL30" s="2">
        <v>0</v>
      </c>
      <c r="AM30" s="2">
        <v>0</v>
      </c>
      <c r="AN30" s="2">
        <v>0</v>
      </c>
      <c r="AO30" s="2">
        <f>AO29*0.1</f>
        <v>51.795457287045579</v>
      </c>
      <c r="AP30" s="2">
        <f t="shared" ref="AP30" si="71">AP29*0.1</f>
        <v>67.351874133460328</v>
      </c>
      <c r="AQ30" s="2">
        <f>AQ29*0.2</f>
        <v>150.2283697277378</v>
      </c>
      <c r="AR30" s="2">
        <f>AR29*0.2</f>
        <v>186.21876581935797</v>
      </c>
      <c r="AS30" s="2">
        <f>AS29*0.25</f>
        <v>256.30060532254771</v>
      </c>
      <c r="AT30" s="2">
        <f>AT29*0.25</f>
        <v>308.25826260953568</v>
      </c>
    </row>
    <row r="31" spans="2:84" s="2" customFormat="1" x14ac:dyDescent="0.2">
      <c r="B31" s="2" t="s">
        <v>30</v>
      </c>
      <c r="C31" s="6"/>
      <c r="D31" s="6"/>
      <c r="E31" s="6"/>
      <c r="F31" s="6"/>
      <c r="G31" s="6">
        <f t="shared" ref="G31" si="72">G29-G30</f>
        <v>-161.20000000000002</v>
      </c>
      <c r="H31" s="6">
        <f>H29-H30</f>
        <v>-121.39999999999995</v>
      </c>
      <c r="I31" s="6">
        <f>I29-I30</f>
        <v>-39.900000000000027</v>
      </c>
      <c r="J31" s="6">
        <f>J29-J30</f>
        <v>90.999999999999886</v>
      </c>
      <c r="K31" s="6">
        <f>K29-K30</f>
        <v>-66.199999999999875</v>
      </c>
      <c r="L31" s="6">
        <f t="shared" ref="L31" si="73">L29-L30</f>
        <v>-61.599999999999888</v>
      </c>
      <c r="M31" s="6">
        <f t="shared" ref="M31" si="74">M29-M30</f>
        <v>-105.39999999999986</v>
      </c>
      <c r="N31" s="6">
        <f>N29-N30</f>
        <v>-141.39999999999995</v>
      </c>
      <c r="O31" s="6">
        <f>O29-O30</f>
        <v>-157.89999999999998</v>
      </c>
      <c r="P31" s="6">
        <f t="shared" ref="P31:R31" si="75">P29-P30</f>
        <v>-106.19999999999996</v>
      </c>
      <c r="Q31" s="6">
        <f t="shared" si="75"/>
        <v>-95.099999999999923</v>
      </c>
      <c r="R31" s="6">
        <f t="shared" si="75"/>
        <v>-14.549099999999886</v>
      </c>
      <c r="S31" s="6">
        <f t="shared" ref="S31:V31" si="76">S29-S30</f>
        <v>-130.08960000000002</v>
      </c>
      <c r="T31" s="6">
        <f t="shared" si="76"/>
        <v>-121.38400000000006</v>
      </c>
      <c r="U31" s="6">
        <f t="shared" si="76"/>
        <v>-110.23399999999997</v>
      </c>
      <c r="V31" s="6">
        <f t="shared" si="76"/>
        <v>11.483445000000142</v>
      </c>
      <c r="W31" s="6"/>
      <c r="AB31" s="6">
        <f t="shared" ref="AB31" si="77">AB29-AB30</f>
        <v>549.4000000000002</v>
      </c>
      <c r="AC31" s="6">
        <f t="shared" ref="AC31" si="78">AC29-AC30</f>
        <v>549.69999999999959</v>
      </c>
      <c r="AD31" s="6">
        <f t="shared" ref="AD31" si="79">AD29-AD30</f>
        <v>563.9999999999992</v>
      </c>
      <c r="AE31" s="6">
        <f t="shared" ref="AE31:AF31" si="80">AE29-AE30</f>
        <v>552.19999999999936</v>
      </c>
      <c r="AF31" s="6">
        <f t="shared" si="80"/>
        <v>366.49999999999886</v>
      </c>
      <c r="AG31" s="6">
        <f t="shared" ref="AG31:AH31" si="81">AG29-AG30</f>
        <v>221.0999999999994</v>
      </c>
      <c r="AH31" s="6">
        <f t="shared" si="81"/>
        <v>-78.800000000000239</v>
      </c>
      <c r="AI31" s="6">
        <f>AI29-AI30</f>
        <v>-231.50000000000097</v>
      </c>
      <c r="AJ31" s="6">
        <f>AJ29-AJ30</f>
        <v>-374.59999999999968</v>
      </c>
      <c r="AK31" s="6">
        <f t="shared" ref="AK31:AT31" si="82">AK29-AK30</f>
        <v>-276.5441320000001</v>
      </c>
      <c r="AL31" s="6">
        <f t="shared" si="82"/>
        <v>-58.872144639999121</v>
      </c>
      <c r="AM31" s="6">
        <f t="shared" si="82"/>
        <v>116.87487006720121</v>
      </c>
      <c r="AN31" s="6">
        <f t="shared" si="82"/>
        <v>392.73783742254489</v>
      </c>
      <c r="AO31" s="6">
        <f t="shared" si="82"/>
        <v>466.1591155834102</v>
      </c>
      <c r="AP31" s="6">
        <f t="shared" si="82"/>
        <v>606.16686720114296</v>
      </c>
      <c r="AQ31" s="6">
        <f t="shared" si="82"/>
        <v>600.9134789109512</v>
      </c>
      <c r="AR31" s="6">
        <f t="shared" si="82"/>
        <v>744.87506327743188</v>
      </c>
      <c r="AS31" s="6">
        <f t="shared" si="82"/>
        <v>768.90181596764319</v>
      </c>
      <c r="AT31" s="6">
        <f t="shared" si="82"/>
        <v>924.77478782860703</v>
      </c>
      <c r="AU31" s="2">
        <f t="shared" ref="AU31:CF31" si="83">AT31*(1+$AX$64)</f>
        <v>924.77478782860703</v>
      </c>
      <c r="AV31" s="2">
        <f t="shared" si="83"/>
        <v>924.77478782860703</v>
      </c>
      <c r="AW31" s="2">
        <f t="shared" si="83"/>
        <v>924.77478782860703</v>
      </c>
      <c r="AX31" s="2">
        <f t="shared" si="83"/>
        <v>924.77478782860703</v>
      </c>
      <c r="AY31" s="2">
        <f t="shared" si="83"/>
        <v>924.77478782860703</v>
      </c>
      <c r="AZ31" s="2">
        <f t="shared" si="83"/>
        <v>924.77478782860703</v>
      </c>
      <c r="BA31" s="2">
        <f t="shared" si="83"/>
        <v>924.77478782860703</v>
      </c>
      <c r="BB31" s="2">
        <f t="shared" si="83"/>
        <v>924.77478782860703</v>
      </c>
      <c r="BC31" s="2">
        <f t="shared" si="83"/>
        <v>924.77478782860703</v>
      </c>
      <c r="BD31" s="2">
        <f t="shared" si="83"/>
        <v>924.77478782860703</v>
      </c>
      <c r="BE31" s="2">
        <f t="shared" si="83"/>
        <v>924.77478782860703</v>
      </c>
      <c r="BF31" s="2">
        <f t="shared" si="83"/>
        <v>924.77478782860703</v>
      </c>
      <c r="BG31" s="2">
        <f t="shared" si="83"/>
        <v>924.77478782860703</v>
      </c>
      <c r="BH31" s="2">
        <f t="shared" si="83"/>
        <v>924.77478782860703</v>
      </c>
      <c r="BI31" s="2">
        <f t="shared" si="83"/>
        <v>924.77478782860703</v>
      </c>
      <c r="BJ31" s="2">
        <f t="shared" si="83"/>
        <v>924.77478782860703</v>
      </c>
      <c r="BK31" s="2">
        <f t="shared" si="83"/>
        <v>924.77478782860703</v>
      </c>
      <c r="BL31" s="2">
        <f t="shared" si="83"/>
        <v>924.77478782860703</v>
      </c>
      <c r="BM31" s="2">
        <f t="shared" si="83"/>
        <v>924.77478782860703</v>
      </c>
      <c r="BN31" s="2">
        <f t="shared" si="83"/>
        <v>924.77478782860703</v>
      </c>
      <c r="BO31" s="2">
        <f t="shared" si="83"/>
        <v>924.77478782860703</v>
      </c>
      <c r="BP31" s="2">
        <f t="shared" si="83"/>
        <v>924.77478782860703</v>
      </c>
      <c r="BQ31" s="2">
        <f t="shared" si="83"/>
        <v>924.77478782860703</v>
      </c>
      <c r="BR31" s="2">
        <f t="shared" si="83"/>
        <v>924.77478782860703</v>
      </c>
      <c r="BS31" s="2">
        <f t="shared" si="83"/>
        <v>924.77478782860703</v>
      </c>
      <c r="BT31" s="2">
        <f t="shared" si="83"/>
        <v>924.77478782860703</v>
      </c>
      <c r="BU31" s="2">
        <f t="shared" si="83"/>
        <v>924.77478782860703</v>
      </c>
      <c r="BV31" s="2">
        <f t="shared" si="83"/>
        <v>924.77478782860703</v>
      </c>
      <c r="BW31" s="2">
        <f t="shared" si="83"/>
        <v>924.77478782860703</v>
      </c>
      <c r="BX31" s="2">
        <f t="shared" si="83"/>
        <v>924.77478782860703</v>
      </c>
      <c r="BY31" s="2">
        <f t="shared" si="83"/>
        <v>924.77478782860703</v>
      </c>
      <c r="BZ31" s="2">
        <f t="shared" si="83"/>
        <v>924.77478782860703</v>
      </c>
      <c r="CA31" s="2">
        <f t="shared" si="83"/>
        <v>924.77478782860703</v>
      </c>
      <c r="CB31" s="2">
        <f t="shared" si="83"/>
        <v>924.77478782860703</v>
      </c>
      <c r="CC31" s="2">
        <f t="shared" si="83"/>
        <v>924.77478782860703</v>
      </c>
      <c r="CD31" s="2">
        <f t="shared" si="83"/>
        <v>924.77478782860703</v>
      </c>
      <c r="CE31" s="2">
        <f t="shared" si="83"/>
        <v>924.77478782860703</v>
      </c>
      <c r="CF31" s="2">
        <f t="shared" si="83"/>
        <v>924.77478782860703</v>
      </c>
    </row>
    <row r="32" spans="2:84" x14ac:dyDescent="0.2">
      <c r="B32" t="s">
        <v>32</v>
      </c>
      <c r="G32" s="5">
        <f t="shared" ref="G32" si="84">G31/G33</f>
        <v>-2.4992248062015507</v>
      </c>
      <c r="H32" s="5">
        <f>H31/H33</f>
        <v>-1.8676923076923069</v>
      </c>
      <c r="I32" s="5">
        <f>I31/I33</f>
        <v>-0.61196319018404943</v>
      </c>
      <c r="J32" s="5">
        <f>J31/J33</f>
        <v>1.3421828908554556</v>
      </c>
      <c r="K32" s="5">
        <f>K31/K33</f>
        <v>-1.0030303030303012</v>
      </c>
      <c r="L32" s="5">
        <f t="shared" ref="L32" si="85">L31/L33</f>
        <v>-0.84848484848484695</v>
      </c>
      <c r="M32" s="5">
        <f t="shared" ref="M32" si="86">M31/M33</f>
        <v>-1.388669301712778</v>
      </c>
      <c r="N32" s="5">
        <f>N31/N33</f>
        <v>-1.862977602108036</v>
      </c>
      <c r="O32" s="5">
        <f>O31/O33</f>
        <v>-2.0803689064558624</v>
      </c>
      <c r="P32" s="5">
        <f t="shared" ref="P32:R32" si="87">P31/P33</f>
        <v>-0.34911242603550285</v>
      </c>
      <c r="Q32" s="5">
        <f t="shared" si="87"/>
        <v>-0.31262327416173546</v>
      </c>
      <c r="R32" s="5">
        <f t="shared" si="87"/>
        <v>-4.7827416173569642E-2</v>
      </c>
      <c r="S32" s="5">
        <f t="shared" ref="S32:V32" si="88">S31/S33</f>
        <v>-0.42764497041420124</v>
      </c>
      <c r="T32" s="5">
        <f t="shared" si="88"/>
        <v>-0.39902695595003307</v>
      </c>
      <c r="U32" s="5">
        <f t="shared" si="88"/>
        <v>-0.3623734385272846</v>
      </c>
      <c r="V32" s="5">
        <f t="shared" si="88"/>
        <v>3.7749654832347608E-2</v>
      </c>
      <c r="W32" s="5"/>
      <c r="AB32" s="5">
        <f t="shared" ref="AB32" si="89">AB31/AB33</f>
        <v>4.6402027027027044</v>
      </c>
      <c r="AC32" s="5">
        <f t="shared" ref="AC32" si="90">AC31/AC33</f>
        <v>4.8560070671378055</v>
      </c>
      <c r="AD32" s="5">
        <f t="shared" ref="AD32" si="91">AD31/AD33</f>
        <v>5.2858481724461033</v>
      </c>
      <c r="AE32" s="5">
        <f t="shared" ref="AE32:AF32" si="92">AE31/AE33</f>
        <v>5.3198458574181053</v>
      </c>
      <c r="AF32" s="5">
        <f t="shared" si="92"/>
        <v>3.6108374384236339</v>
      </c>
      <c r="AG32" s="5">
        <f t="shared" ref="AG32:AH32" si="93">AG31/AG33</f>
        <v>2.1655239960822663</v>
      </c>
      <c r="AH32" s="5">
        <f t="shared" si="93"/>
        <v>-0.90057142857143135</v>
      </c>
      <c r="AI32" s="5">
        <f>AI31/AI33</f>
        <v>-3.5615384615384764</v>
      </c>
      <c r="AJ32" s="5">
        <f>AJ31/AJ33</f>
        <v>-5.1597796143250649</v>
      </c>
      <c r="AK32" s="5">
        <f t="shared" ref="AK32:AT32" si="94">AK31/AK33</f>
        <v>-3.809147823691462</v>
      </c>
      <c r="AL32" s="5">
        <f t="shared" si="94"/>
        <v>-0.81091108319558025</v>
      </c>
      <c r="AM32" s="5">
        <f t="shared" si="94"/>
        <v>1.6098466951405128</v>
      </c>
      <c r="AN32" s="5">
        <f t="shared" si="94"/>
        <v>5.409612085709985</v>
      </c>
      <c r="AO32" s="5">
        <f t="shared" si="94"/>
        <v>6.4209244570717665</v>
      </c>
      <c r="AP32" s="5">
        <f t="shared" si="94"/>
        <v>8.3494058843132652</v>
      </c>
      <c r="AQ32" s="5">
        <f t="shared" si="94"/>
        <v>8.2770451640626899</v>
      </c>
      <c r="AR32" s="5">
        <f t="shared" si="94"/>
        <v>10.259987097485288</v>
      </c>
      <c r="AS32" s="5">
        <f t="shared" si="94"/>
        <v>10.59093410423751</v>
      </c>
      <c r="AT32" s="5">
        <f t="shared" si="94"/>
        <v>12.737944735931228</v>
      </c>
    </row>
    <row r="33" spans="2:46" s="2" customFormat="1" x14ac:dyDescent="0.2">
      <c r="B33" s="2" t="s">
        <v>1</v>
      </c>
      <c r="C33" s="6"/>
      <c r="D33" s="6"/>
      <c r="E33" s="6"/>
      <c r="F33" s="6"/>
      <c r="G33" s="6">
        <v>64.5</v>
      </c>
      <c r="H33" s="6">
        <v>65</v>
      </c>
      <c r="I33" s="6">
        <v>65.2</v>
      </c>
      <c r="J33" s="6">
        <v>67.8</v>
      </c>
      <c r="K33" s="6">
        <v>66</v>
      </c>
      <c r="L33" s="6">
        <v>72.599999999999994</v>
      </c>
      <c r="M33" s="6">
        <v>75.900000000000006</v>
      </c>
      <c r="N33" s="6">
        <v>75.900000000000006</v>
      </c>
      <c r="O33" s="6">
        <v>75.900000000000006</v>
      </c>
      <c r="P33" s="6">
        <v>304.2</v>
      </c>
      <c r="Q33" s="6">
        <v>304.2</v>
      </c>
      <c r="R33" s="6">
        <f>Q33</f>
        <v>304.2</v>
      </c>
      <c r="S33" s="6">
        <f t="shared" ref="S33:V33" si="95">R33</f>
        <v>304.2</v>
      </c>
      <c r="T33" s="6">
        <f t="shared" si="95"/>
        <v>304.2</v>
      </c>
      <c r="U33" s="6">
        <f t="shared" si="95"/>
        <v>304.2</v>
      </c>
      <c r="V33" s="6">
        <f t="shared" si="95"/>
        <v>304.2</v>
      </c>
      <c r="W33" s="6"/>
      <c r="AB33" s="6">
        <v>118.4</v>
      </c>
      <c r="AC33" s="6">
        <v>113.2</v>
      </c>
      <c r="AD33" s="6">
        <v>106.7</v>
      </c>
      <c r="AE33" s="6">
        <v>103.8</v>
      </c>
      <c r="AF33" s="6">
        <v>101.5</v>
      </c>
      <c r="AG33" s="6">
        <v>102.1</v>
      </c>
      <c r="AH33" s="6">
        <v>87.5</v>
      </c>
      <c r="AI33" s="6">
        <v>65</v>
      </c>
      <c r="AJ33" s="6">
        <v>72.599999999999994</v>
      </c>
      <c r="AK33" s="6">
        <f>AJ33</f>
        <v>72.599999999999994</v>
      </c>
      <c r="AL33" s="6">
        <f t="shared" ref="AL33:AT33" si="96">AK33</f>
        <v>72.599999999999994</v>
      </c>
      <c r="AM33" s="6">
        <f t="shared" si="96"/>
        <v>72.599999999999994</v>
      </c>
      <c r="AN33" s="6">
        <f t="shared" si="96"/>
        <v>72.599999999999994</v>
      </c>
      <c r="AO33" s="6">
        <f t="shared" si="96"/>
        <v>72.599999999999994</v>
      </c>
      <c r="AP33" s="6">
        <f t="shared" si="96"/>
        <v>72.599999999999994</v>
      </c>
      <c r="AQ33" s="6">
        <f t="shared" si="96"/>
        <v>72.599999999999994</v>
      </c>
      <c r="AR33" s="6">
        <f t="shared" si="96"/>
        <v>72.599999999999994</v>
      </c>
      <c r="AS33" s="6">
        <f t="shared" si="96"/>
        <v>72.599999999999994</v>
      </c>
      <c r="AT33" s="6">
        <f t="shared" si="96"/>
        <v>72.599999999999994</v>
      </c>
    </row>
    <row r="34" spans="2:46" x14ac:dyDescent="0.2">
      <c r="AF34" s="4"/>
      <c r="AG34" s="4"/>
      <c r="AH34" s="4"/>
    </row>
    <row r="35" spans="2:46" s="10" customFormat="1" x14ac:dyDescent="0.2">
      <c r="B35" s="7" t="s">
        <v>33</v>
      </c>
      <c r="C35" s="11"/>
      <c r="D35" s="11"/>
      <c r="E35" s="11"/>
      <c r="F35" s="11"/>
      <c r="G35" s="11"/>
      <c r="H35" s="11"/>
      <c r="I35" s="11"/>
      <c r="J35" s="11"/>
      <c r="K35" s="12">
        <f>K23/G23-1</f>
        <v>0.25053868756121478</v>
      </c>
      <c r="L35" s="12">
        <f>L23/H23-1</f>
        <v>0.25626326963906587</v>
      </c>
      <c r="M35" s="12">
        <f>M23/I23-1</f>
        <v>0.29053448790683811</v>
      </c>
      <c r="N35" s="12">
        <f>N23/J23-1</f>
        <v>6.2108288959050073E-2</v>
      </c>
      <c r="O35" s="12">
        <f>O23/K23-1</f>
        <v>7.9573934837092741E-2</v>
      </c>
      <c r="P35" s="12">
        <f t="shared" ref="P35:R35" si="97">P23/L23-1</f>
        <v>-4.0054081460199509E-2</v>
      </c>
      <c r="Q35" s="12">
        <f>Q23/M23-1</f>
        <v>-8.5300015424957687E-2</v>
      </c>
      <c r="R35" s="12">
        <f t="shared" si="97"/>
        <v>5.0000000000000044E-2</v>
      </c>
      <c r="S35" s="12">
        <f t="shared" ref="S35" si="98">S23/O23-1</f>
        <v>5.0000000000000044E-2</v>
      </c>
      <c r="T35" s="12">
        <f t="shared" ref="T35" si="99">T23/P23-1</f>
        <v>5.0000000000000044E-2</v>
      </c>
      <c r="U35" s="12">
        <f t="shared" ref="U35" si="100">U23/Q23-1</f>
        <v>5.0000000000000044E-2</v>
      </c>
      <c r="V35" s="12">
        <f t="shared" ref="V35" si="101">V23/R23-1</f>
        <v>5.0000000000000044E-2</v>
      </c>
      <c r="W35" s="12"/>
      <c r="AB35" s="11"/>
      <c r="AC35" s="12">
        <f t="shared" ref="AC35:AL35" si="102">AC23/AB23-1</f>
        <v>2.8375463244648458E-2</v>
      </c>
      <c r="AD35" s="12">
        <f t="shared" si="102"/>
        <v>7.293459552495607E-3</v>
      </c>
      <c r="AE35" s="12">
        <f t="shared" si="102"/>
        <v>-8.0725773724342642E-2</v>
      </c>
      <c r="AF35" s="12">
        <f t="shared" si="102"/>
        <v>-7.0632790808444756E-3</v>
      </c>
      <c r="AG35" s="12">
        <f t="shared" si="102"/>
        <v>-3.0630272256086832E-2</v>
      </c>
      <c r="AH35" s="12">
        <f t="shared" si="102"/>
        <v>-0.21958166873860929</v>
      </c>
      <c r="AI35" s="12">
        <f t="shared" si="102"/>
        <v>-0.21283637488400875</v>
      </c>
      <c r="AJ35" s="12">
        <f t="shared" si="102"/>
        <v>0.18093048842783621</v>
      </c>
      <c r="AK35" s="12">
        <f t="shared" si="102"/>
        <v>9.3657976608383375E-3</v>
      </c>
      <c r="AL35" s="12">
        <f t="shared" si="102"/>
        <v>0.10000000000000009</v>
      </c>
      <c r="AM35" s="12">
        <f t="shared" ref="AM35:AT35" si="103">AM23/AL23-1</f>
        <v>0.10000000000000009</v>
      </c>
      <c r="AN35" s="12">
        <f t="shared" si="103"/>
        <v>0.10000000000000009</v>
      </c>
      <c r="AO35" s="12">
        <f>AO23/AN23-1</f>
        <v>5.0000000000000044E-2</v>
      </c>
      <c r="AP35" s="12">
        <f t="shared" si="103"/>
        <v>5.0000000000000044E-2</v>
      </c>
      <c r="AQ35" s="12">
        <f t="shared" si="103"/>
        <v>5.0000000000000044E-2</v>
      </c>
      <c r="AR35" s="12">
        <f t="shared" si="103"/>
        <v>5.0000000000000044E-2</v>
      </c>
      <c r="AS35" s="12">
        <f t="shared" si="103"/>
        <v>5.0000000000000044E-2</v>
      </c>
      <c r="AT35" s="12">
        <f t="shared" si="103"/>
        <v>5.0000000000000044E-2</v>
      </c>
    </row>
    <row r="36" spans="2:46" x14ac:dyDescent="0.2">
      <c r="B36" s="2" t="s">
        <v>108</v>
      </c>
      <c r="K36" s="9">
        <f t="shared" ref="K36:K37" si="104">K20/G20-1</f>
        <v>0.37107776261937242</v>
      </c>
      <c r="L36" s="9">
        <f t="shared" ref="L36:L37" si="105">L20/H20-1</f>
        <v>0.38043478260869557</v>
      </c>
      <c r="M36" s="9">
        <f t="shared" ref="M36:M37" si="106">M20/I20-1</f>
        <v>0.62046444121915822</v>
      </c>
      <c r="N36" s="9">
        <f t="shared" ref="N36:O37" si="107">N20/J20-1</f>
        <v>2.2361744216048862E-2</v>
      </c>
      <c r="O36" s="9">
        <f t="shared" si="107"/>
        <v>-4.2217484008528872E-2</v>
      </c>
      <c r="P36" s="9">
        <f t="shared" ref="P36:P37" si="108">P20/L20-1</f>
        <v>-2.1653543307086687E-2</v>
      </c>
      <c r="Q36" s="9">
        <f t="shared" ref="Q36:Q37" si="109">Q20/M20-1</f>
        <v>-6.4039408866994996E-2</v>
      </c>
      <c r="R36" s="9">
        <f t="shared" ref="R36:R37" si="110">R20/N20-1</f>
        <v>-1</v>
      </c>
      <c r="S36" s="9">
        <f t="shared" ref="S36:S38" si="111">S20/O20-1</f>
        <v>-1</v>
      </c>
      <c r="T36" s="9">
        <f t="shared" ref="T36:T38" si="112">T20/P20-1</f>
        <v>-1</v>
      </c>
      <c r="U36" s="9">
        <f t="shared" ref="U36:U38" si="113">U20/Q20-1</f>
        <v>-1</v>
      </c>
      <c r="V36" s="9" t="e">
        <f t="shared" ref="V36:V38" si="114">V20/R20-1</f>
        <v>#DIV/0!</v>
      </c>
      <c r="W36" s="9"/>
      <c r="AF36" s="4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spans="2:46" x14ac:dyDescent="0.2">
      <c r="B37" s="2" t="s">
        <v>107</v>
      </c>
      <c r="K37" s="9">
        <f t="shared" si="104"/>
        <v>-4.5803357314148752E-2</v>
      </c>
      <c r="L37" s="9">
        <f t="shared" si="105"/>
        <v>2.6131953428201848E-2</v>
      </c>
      <c r="M37" s="9">
        <f t="shared" si="106"/>
        <v>-2.2277227722772186E-2</v>
      </c>
      <c r="N37" s="9">
        <f t="shared" si="107"/>
        <v>7.480853391684894E-2</v>
      </c>
      <c r="O37" s="9">
        <f t="shared" ref="O37" si="115">O21/K21-1</f>
        <v>0.21563206835888415</v>
      </c>
      <c r="P37" s="9">
        <f t="shared" si="108"/>
        <v>-0.20221886031265768</v>
      </c>
      <c r="Q37" s="9">
        <f t="shared" si="109"/>
        <v>-0.18964326812428078</v>
      </c>
      <c r="R37" s="9">
        <f t="shared" si="110"/>
        <v>-1</v>
      </c>
      <c r="S37" s="9">
        <f t="shared" si="111"/>
        <v>-1</v>
      </c>
      <c r="T37" s="9">
        <f t="shared" si="112"/>
        <v>-1</v>
      </c>
      <c r="U37" s="9">
        <f t="shared" si="113"/>
        <v>-1</v>
      </c>
      <c r="V37" s="9" t="e">
        <f t="shared" si="114"/>
        <v>#DIV/0!</v>
      </c>
      <c r="W37" s="9"/>
      <c r="AF37" s="4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</row>
    <row r="38" spans="2:46" x14ac:dyDescent="0.2">
      <c r="B38" s="2" t="s">
        <v>106</v>
      </c>
      <c r="K38" s="9">
        <f t="shared" ref="K38:N38" si="116">K22/G22-1</f>
        <v>0.92959295929592956</v>
      </c>
      <c r="L38" s="9">
        <f t="shared" si="116"/>
        <v>0.55575065847234395</v>
      </c>
      <c r="M38" s="9">
        <f t="shared" si="116"/>
        <v>0.30837304288631717</v>
      </c>
      <c r="N38" s="9">
        <f t="shared" si="116"/>
        <v>0.2239263803680982</v>
      </c>
      <c r="O38" s="9">
        <f>O22/K22-1</f>
        <v>0.25940706955530213</v>
      </c>
      <c r="P38" s="9">
        <f t="shared" ref="P38:R38" si="117">P22/L22-1</f>
        <v>0.25959367945823919</v>
      </c>
      <c r="Q38" s="9">
        <f t="shared" si="117"/>
        <v>7.8563995837669154E-2</v>
      </c>
      <c r="R38" s="9">
        <f t="shared" si="117"/>
        <v>0.19999999999999996</v>
      </c>
      <c r="S38" s="9">
        <f t="shared" si="111"/>
        <v>0.19999999999999996</v>
      </c>
      <c r="T38" s="9">
        <f t="shared" si="112"/>
        <v>0.19999999999999996</v>
      </c>
      <c r="U38" s="9">
        <f t="shared" si="113"/>
        <v>0.19999999999999996</v>
      </c>
      <c r="V38" s="9">
        <f t="shared" si="114"/>
        <v>0.19999999999999996</v>
      </c>
      <c r="W38" s="9"/>
      <c r="AF38" s="4"/>
      <c r="AG38" s="9">
        <f>AG22/AF22-1</f>
        <v>0.11207167557371878</v>
      </c>
      <c r="AH38" s="9">
        <f t="shared" ref="AH38:AT38" si="118">AH22/AG22-1</f>
        <v>4.2402826855123754E-2</v>
      </c>
      <c r="AI38" s="9">
        <f t="shared" si="118"/>
        <v>-0.21369491525423734</v>
      </c>
      <c r="AJ38" s="9">
        <f t="shared" si="118"/>
        <v>0.42127953095361281</v>
      </c>
      <c r="AK38" s="9">
        <f t="shared" si="118"/>
        <v>0.10000000000000009</v>
      </c>
      <c r="AL38" s="9">
        <f t="shared" si="118"/>
        <v>0.10000000000000009</v>
      </c>
      <c r="AM38" s="9">
        <f t="shared" si="118"/>
        <v>0.10000000000000009</v>
      </c>
      <c r="AN38" s="9">
        <f t="shared" si="118"/>
        <v>0.10000000000000009</v>
      </c>
      <c r="AO38" s="9">
        <f t="shared" si="118"/>
        <v>0.10000000000000009</v>
      </c>
      <c r="AP38" s="9">
        <f t="shared" si="118"/>
        <v>0.10000000000000009</v>
      </c>
      <c r="AQ38" s="9">
        <f t="shared" si="118"/>
        <v>0.10000000000000009</v>
      </c>
      <c r="AR38" s="9">
        <f t="shared" si="118"/>
        <v>0.10000000000000009</v>
      </c>
      <c r="AS38" s="9">
        <f t="shared" si="118"/>
        <v>0.10000000000000009</v>
      </c>
      <c r="AT38" s="9">
        <f t="shared" si="118"/>
        <v>0.10000000000000009</v>
      </c>
    </row>
    <row r="39" spans="2:46" x14ac:dyDescent="0.2">
      <c r="B39" t="s">
        <v>24</v>
      </c>
      <c r="G39" s="9">
        <f t="shared" ref="G39" si="119">G25/G23</f>
        <v>0.27659157688540642</v>
      </c>
      <c r="H39" s="9">
        <f t="shared" ref="H39:N39" si="120">H25/H23</f>
        <v>0.26772823779193211</v>
      </c>
      <c r="I39" s="9">
        <f t="shared" si="120"/>
        <v>0.27500746491489997</v>
      </c>
      <c r="J39" s="9">
        <f t="shared" si="120"/>
        <v>0.21139437349795012</v>
      </c>
      <c r="K39" s="9">
        <f t="shared" si="120"/>
        <v>0.25853696741854643</v>
      </c>
      <c r="L39" s="9">
        <f t="shared" si="120"/>
        <v>0.27116782153118141</v>
      </c>
      <c r="M39" s="9">
        <f t="shared" si="120"/>
        <v>0.24571957427117083</v>
      </c>
      <c r="N39" s="9">
        <f t="shared" si="120"/>
        <v>0.16779803895470075</v>
      </c>
      <c r="O39" s="9">
        <f>O25/O23</f>
        <v>0.21655542658154381</v>
      </c>
      <c r="P39" s="9">
        <f>P25/P23</f>
        <v>0.24841549295774651</v>
      </c>
      <c r="Q39" s="9">
        <f t="shared" ref="Q39:R39" si="121">Q25/Q23</f>
        <v>0.24553119730185502</v>
      </c>
      <c r="R39" s="9">
        <f t="shared" si="121"/>
        <v>0.22000000000000003</v>
      </c>
      <c r="S39" s="9">
        <f t="shared" ref="S39:V39" si="122">S25/S23</f>
        <v>0.21999999999999997</v>
      </c>
      <c r="T39" s="9">
        <f t="shared" si="122"/>
        <v>0.21999999999999995</v>
      </c>
      <c r="U39" s="9">
        <f t="shared" si="122"/>
        <v>0.22</v>
      </c>
      <c r="V39" s="9">
        <f t="shared" si="122"/>
        <v>0.22</v>
      </c>
      <c r="W39" s="9"/>
      <c r="AB39" s="9">
        <f t="shared" ref="AB39" si="123">AB25/AB23</f>
        <v>0.29438575142430451</v>
      </c>
      <c r="AC39" s="9">
        <f t="shared" ref="AC39" si="124">AC25/AC23</f>
        <v>0.29861230636833042</v>
      </c>
      <c r="AD39" s="9">
        <f t="shared" ref="AD39:AG39" si="125">AD25/AD23</f>
        <v>0.31165766035156661</v>
      </c>
      <c r="AE39" s="9">
        <f t="shared" si="125"/>
        <v>0.34959746279580378</v>
      </c>
      <c r="AF39" s="9">
        <f t="shared" si="125"/>
        <v>0.29073018918697557</v>
      </c>
      <c r="AG39" s="9">
        <f t="shared" si="125"/>
        <v>0.27857772198954772</v>
      </c>
      <c r="AH39" s="9">
        <f t="shared" ref="AH39" si="126">AH25/AH23</f>
        <v>0.29519022579647386</v>
      </c>
      <c r="AI39" s="9">
        <f t="shared" ref="AI39:AJ39" si="127">AI25/AI23</f>
        <v>0.24745569570513562</v>
      </c>
      <c r="AJ39" s="9">
        <f t="shared" si="127"/>
        <v>0.22423345034688144</v>
      </c>
      <c r="AK39" s="9">
        <f t="shared" ref="AK39:AT39" si="128">AK25/AK23</f>
        <v>0.22999999999999993</v>
      </c>
      <c r="AL39" s="9">
        <f t="shared" si="128"/>
        <v>0.24000000000000005</v>
      </c>
      <c r="AM39" s="9">
        <f t="shared" si="128"/>
        <v>0.24000000000000005</v>
      </c>
      <c r="AN39" s="9">
        <f t="shared" si="128"/>
        <v>0.24999999999999997</v>
      </c>
      <c r="AO39" s="9">
        <f t="shared" si="128"/>
        <v>0.24999999999999994</v>
      </c>
      <c r="AP39" s="9">
        <f t="shared" si="128"/>
        <v>0.26</v>
      </c>
      <c r="AQ39" s="9">
        <f t="shared" si="128"/>
        <v>0.25999999999999995</v>
      </c>
      <c r="AR39" s="9">
        <f t="shared" si="128"/>
        <v>0.27</v>
      </c>
      <c r="AS39" s="9">
        <f t="shared" si="128"/>
        <v>0.27000000000000007</v>
      </c>
      <c r="AT39" s="9">
        <f t="shared" si="128"/>
        <v>0.28000000000000003</v>
      </c>
    </row>
    <row r="40" spans="2:46" x14ac:dyDescent="0.2">
      <c r="B40" t="s">
        <v>100</v>
      </c>
      <c r="G40" s="9">
        <f t="shared" ref="G40:N40" si="129">G29/G23</f>
        <v>-0.10852105778648387</v>
      </c>
      <c r="H40" s="9">
        <f t="shared" si="129"/>
        <v>-0.10987261146496809</v>
      </c>
      <c r="I40" s="9">
        <f t="shared" si="129"/>
        <v>-9.3361202348959921E-2</v>
      </c>
      <c r="J40" s="9">
        <f t="shared" si="129"/>
        <v>1.003722727486918E-2</v>
      </c>
      <c r="K40" s="9">
        <f t="shared" si="129"/>
        <v>-5.0830200501253031E-2</v>
      </c>
      <c r="L40" s="9">
        <f t="shared" si="129"/>
        <v>-4.9433834713537163E-2</v>
      </c>
      <c r="M40" s="9">
        <f t="shared" si="129"/>
        <v>-7.9978405059385971E-2</v>
      </c>
      <c r="N40" s="9">
        <f t="shared" si="129"/>
        <v>-7.169794578286523E-2</v>
      </c>
      <c r="O40" s="9">
        <f>O29/O23</f>
        <v>-0.11201392919326754</v>
      </c>
      <c r="P40" s="9">
        <f t="shared" ref="P40:R40" si="130">P29/P23</f>
        <v>-9.2429577464788693E-2</v>
      </c>
      <c r="Q40" s="9">
        <f t="shared" si="130"/>
        <v>-7.8414839797639066E-2</v>
      </c>
      <c r="R40" s="9">
        <f t="shared" si="130"/>
        <v>-6.1476932047941808E-3</v>
      </c>
      <c r="S40" s="9">
        <f t="shared" ref="S40:V40" si="131">S29/S23</f>
        <v>-8.9883094270790151E-2</v>
      </c>
      <c r="T40" s="9">
        <f t="shared" si="131"/>
        <v>-0.10176391683433943</v>
      </c>
      <c r="U40" s="9">
        <f t="shared" si="131"/>
        <v>-8.8520035332851493E-2</v>
      </c>
      <c r="V40" s="9">
        <f t="shared" si="131"/>
        <v>4.621244566862694E-3</v>
      </c>
      <c r="W40" s="9"/>
      <c r="AB40" s="9">
        <f t="shared" ref="AB40" si="132">AB27/AB23</f>
        <v>8.5037889263786748E-2</v>
      </c>
      <c r="AC40" s="9">
        <f t="shared" ref="AC40" si="133">AC27/AC23</f>
        <v>8.3358433734939716E-2</v>
      </c>
      <c r="AD40" s="9">
        <f t="shared" ref="AD40:AJ40" si="134">AD27/AD23</f>
        <v>8.6439266109912566E-2</v>
      </c>
      <c r="AE40" s="9">
        <f t="shared" si="134"/>
        <v>8.7907619744653095E-2</v>
      </c>
      <c r="AF40" s="9">
        <f t="shared" si="134"/>
        <v>6.7309379789636123E-2</v>
      </c>
      <c r="AG40" s="9">
        <f t="shared" si="134"/>
        <v>3.7886377077474498E-2</v>
      </c>
      <c r="AH40" s="9">
        <f t="shared" si="134"/>
        <v>-2.1651716671822188E-3</v>
      </c>
      <c r="AI40" s="9">
        <f t="shared" si="134"/>
        <v>-5.0041258988565561E-2</v>
      </c>
      <c r="AJ40" s="9">
        <f t="shared" si="134"/>
        <v>-6.0192656429367587E-2</v>
      </c>
      <c r="AK40" s="9">
        <f>AK27/AK23</f>
        <v>-4.8969077772439251E-2</v>
      </c>
      <c r="AL40" s="9">
        <f t="shared" ref="AL40:AT40" si="135">AL27/AL23</f>
        <v>-1.1072169995195181E-2</v>
      </c>
      <c r="AM40" s="9">
        <f t="shared" si="135"/>
        <v>1.4035047004324376E-2</v>
      </c>
      <c r="AN40" s="9">
        <f t="shared" si="135"/>
        <v>4.6631542303891875E-2</v>
      </c>
      <c r="AO40" s="9">
        <f t="shared" si="135"/>
        <v>5.8252597029383756E-2</v>
      </c>
      <c r="AP40" s="9">
        <f t="shared" si="135"/>
        <v>7.1904928514538405E-2</v>
      </c>
      <c r="AQ40" s="9">
        <f t="shared" si="135"/>
        <v>7.5487691780928109E-2</v>
      </c>
      <c r="AR40" s="9">
        <f t="shared" si="135"/>
        <v>8.9002211937481937E-2</v>
      </c>
      <c r="AS40" s="9">
        <f t="shared" si="135"/>
        <v>9.2449788852958487E-2</v>
      </c>
      <c r="AT40" s="9">
        <f t="shared" si="135"/>
        <v>0.1058316976367116</v>
      </c>
    </row>
    <row r="41" spans="2:46" x14ac:dyDescent="0.2">
      <c r="B41" t="s">
        <v>99</v>
      </c>
      <c r="G41" s="9">
        <f t="shared" ref="G41:N41" si="136">G30/G29</f>
        <v>-0.45487364620938614</v>
      </c>
      <c r="H41" s="9">
        <f t="shared" si="136"/>
        <v>-0.17294685990338171</v>
      </c>
      <c r="I41" s="9">
        <f t="shared" si="136"/>
        <v>0.57462686567164167</v>
      </c>
      <c r="J41" s="9">
        <f t="shared" si="136"/>
        <v>-3.2723004694835858</v>
      </c>
      <c r="K41" s="9">
        <f t="shared" si="136"/>
        <v>-2.003081664098617E-2</v>
      </c>
      <c r="L41" s="9">
        <f t="shared" si="136"/>
        <v>-5.2991452991453095E-2</v>
      </c>
      <c r="M41" s="9">
        <f t="shared" si="136"/>
        <v>-1.6393442622950841E-2</v>
      </c>
      <c r="N41" s="9">
        <f t="shared" si="136"/>
        <v>0.12500000000000006</v>
      </c>
      <c r="O41" s="9">
        <f>O30/O29</f>
        <v>-2.2668393782383424E-2</v>
      </c>
      <c r="P41" s="9">
        <f t="shared" ref="P41:R41" si="137">P30/P29</f>
        <v>-1.1428571428571432E-2</v>
      </c>
      <c r="Q41" s="9">
        <f t="shared" si="137"/>
        <v>-2.2580645161290342E-2</v>
      </c>
      <c r="R41" s="9">
        <f t="shared" si="137"/>
        <v>0</v>
      </c>
      <c r="S41" s="9">
        <f t="shared" ref="S41:V41" si="138">S30/S29</f>
        <v>0</v>
      </c>
      <c r="T41" s="9">
        <f t="shared" si="138"/>
        <v>0</v>
      </c>
      <c r="U41" s="9">
        <f t="shared" si="138"/>
        <v>0</v>
      </c>
      <c r="V41" s="9">
        <f t="shared" si="138"/>
        <v>0</v>
      </c>
      <c r="W41" s="9"/>
      <c r="AB41" s="9">
        <f t="shared" ref="AB41" si="139">AB30/AB29</f>
        <v>0.28089005235602083</v>
      </c>
      <c r="AC41" s="9">
        <f t="shared" ref="AC41" si="140">AC30/AC29</f>
        <v>0.2813439665315729</v>
      </c>
      <c r="AD41" s="9">
        <f t="shared" ref="AD41:AJ41" si="141">AD30/AD29</f>
        <v>0.28280773143438481</v>
      </c>
      <c r="AE41" s="9">
        <f t="shared" si="141"/>
        <v>0.21529060679266754</v>
      </c>
      <c r="AF41" s="9">
        <f t="shared" si="141"/>
        <v>0.29519230769230836</v>
      </c>
      <c r="AG41" s="9">
        <f t="shared" si="141"/>
        <v>0.15867579908675838</v>
      </c>
      <c r="AH41" s="9">
        <f t="shared" si="141"/>
        <v>-0.9126213592232959</v>
      </c>
      <c r="AI41" s="9">
        <f t="shared" si="141"/>
        <v>0.19281729428172875</v>
      </c>
      <c r="AJ41" s="9">
        <f t="shared" si="141"/>
        <v>3.6274762027270417E-2</v>
      </c>
      <c r="AK41" s="9">
        <f>AK30/AK29</f>
        <v>0</v>
      </c>
      <c r="AL41" s="9">
        <f t="shared" ref="AL41:AT41" si="142">AL30/AL29</f>
        <v>0</v>
      </c>
      <c r="AM41" s="9">
        <f t="shared" si="142"/>
        <v>0</v>
      </c>
      <c r="AN41" s="9">
        <f t="shared" si="142"/>
        <v>0</v>
      </c>
      <c r="AO41" s="9">
        <f t="shared" si="142"/>
        <v>0.1</v>
      </c>
      <c r="AP41" s="9">
        <f t="shared" si="142"/>
        <v>9.9999999999999992E-2</v>
      </c>
      <c r="AQ41" s="9">
        <f t="shared" si="142"/>
        <v>0.2</v>
      </c>
      <c r="AR41" s="9">
        <f t="shared" si="142"/>
        <v>0.2</v>
      </c>
      <c r="AS41" s="9">
        <f t="shared" si="142"/>
        <v>0.25</v>
      </c>
      <c r="AT41" s="9">
        <f t="shared" si="142"/>
        <v>0.25</v>
      </c>
    </row>
    <row r="43" spans="2:46" x14ac:dyDescent="0.2">
      <c r="B43" s="2" t="s">
        <v>3</v>
      </c>
      <c r="K43" s="6">
        <f>694.7+57.4+18.7</f>
        <v>770.80000000000007</v>
      </c>
      <c r="L43" s="6">
        <f>1720.4+36.7+18.5</f>
        <v>1775.6000000000001</v>
      </c>
      <c r="M43" s="6">
        <f>1413+39.5+15.6</f>
        <v>1468.1</v>
      </c>
      <c r="N43" s="6">
        <f>1271.4+33.1+15.4</f>
        <v>1319.9</v>
      </c>
      <c r="O43" s="6">
        <f>1035+33.3+15.3</f>
        <v>1083.5999999999999</v>
      </c>
      <c r="P43" s="6">
        <v>908.9</v>
      </c>
      <c r="Q43" s="6">
        <f>803.8+238.3</f>
        <v>1042.0999999999999</v>
      </c>
      <c r="R43" s="6">
        <f>Q43+R31</f>
        <v>1027.5509</v>
      </c>
      <c r="S43" s="6">
        <f t="shared" ref="S43:V43" si="143">R43+S31</f>
        <v>897.46129999999994</v>
      </c>
      <c r="T43" s="6">
        <f t="shared" si="143"/>
        <v>776.07729999999992</v>
      </c>
      <c r="U43" s="6">
        <f t="shared" si="143"/>
        <v>665.8433</v>
      </c>
      <c r="V43" s="6">
        <f t="shared" si="143"/>
        <v>677.32674500000019</v>
      </c>
      <c r="W43" s="6"/>
      <c r="AI43" s="6">
        <f>N43</f>
        <v>1319.9</v>
      </c>
      <c r="AJ43" s="6">
        <f>R43</f>
        <v>1027.5509</v>
      </c>
      <c r="AK43" s="6">
        <f t="shared" ref="AK43:AT43" si="144">AJ43+AK31</f>
        <v>751.00676799999985</v>
      </c>
      <c r="AL43" s="6">
        <f t="shared" si="144"/>
        <v>692.13462336000077</v>
      </c>
      <c r="AM43" s="6">
        <f t="shared" si="144"/>
        <v>809.00949342720196</v>
      </c>
      <c r="AN43" s="6">
        <f t="shared" si="144"/>
        <v>1201.747330849747</v>
      </c>
      <c r="AO43" s="6">
        <f t="shared" si="144"/>
        <v>1667.9064464331573</v>
      </c>
      <c r="AP43" s="6">
        <f t="shared" si="144"/>
        <v>2274.0733136343001</v>
      </c>
      <c r="AQ43" s="6">
        <f t="shared" si="144"/>
        <v>2874.9867925452513</v>
      </c>
      <c r="AR43" s="6">
        <f t="shared" si="144"/>
        <v>3619.8618558226831</v>
      </c>
      <c r="AS43" s="6">
        <f t="shared" si="144"/>
        <v>4388.763671790326</v>
      </c>
      <c r="AT43" s="6">
        <f t="shared" si="144"/>
        <v>5313.5384596189333</v>
      </c>
    </row>
    <row r="44" spans="2:46" x14ac:dyDescent="0.2">
      <c r="B44" s="2" t="s">
        <v>51</v>
      </c>
      <c r="K44" s="6">
        <v>102.1</v>
      </c>
      <c r="L44" s="6">
        <v>68.5</v>
      </c>
      <c r="M44" s="6">
        <v>83.4</v>
      </c>
      <c r="N44" s="6">
        <v>141.1</v>
      </c>
      <c r="O44" s="6">
        <v>103.4</v>
      </c>
      <c r="P44" s="6">
        <v>99.6</v>
      </c>
      <c r="Q44" s="6">
        <v>125.3</v>
      </c>
    </row>
    <row r="45" spans="2:46" x14ac:dyDescent="0.2">
      <c r="B45" s="2" t="s">
        <v>54</v>
      </c>
      <c r="K45" s="6">
        <v>570.9</v>
      </c>
      <c r="L45" s="6">
        <v>596.4</v>
      </c>
      <c r="M45" s="6">
        <v>1140.9000000000001</v>
      </c>
      <c r="N45" s="6">
        <v>915</v>
      </c>
      <c r="O45" s="6">
        <v>917.6</v>
      </c>
      <c r="P45" s="6">
        <v>734.8</v>
      </c>
      <c r="Q45" s="6">
        <v>1131.3</v>
      </c>
    </row>
    <row r="46" spans="2:46" x14ac:dyDescent="0.2">
      <c r="B46" s="2" t="s">
        <v>55</v>
      </c>
      <c r="K46" s="6">
        <v>232.1</v>
      </c>
      <c r="L46" s="6">
        <v>235</v>
      </c>
      <c r="M46" s="6">
        <v>236.3</v>
      </c>
      <c r="N46" s="6">
        <v>238.2</v>
      </c>
      <c r="O46" s="6">
        <v>240.3</v>
      </c>
      <c r="P46" s="6">
        <v>275.89999999999998</v>
      </c>
      <c r="Q46" s="6">
        <v>283.10000000000002</v>
      </c>
    </row>
    <row r="47" spans="2:46" x14ac:dyDescent="0.2">
      <c r="B47" s="2" t="s">
        <v>56</v>
      </c>
      <c r="K47" s="6">
        <v>192.6</v>
      </c>
      <c r="L47" s="6">
        <v>186.6</v>
      </c>
      <c r="M47" s="6">
        <v>179.6</v>
      </c>
      <c r="N47" s="6">
        <v>163.6</v>
      </c>
      <c r="O47" s="6">
        <v>157.4</v>
      </c>
      <c r="P47" s="6">
        <v>146.80000000000001</v>
      </c>
      <c r="Q47" s="6">
        <v>138.5</v>
      </c>
    </row>
    <row r="48" spans="2:46" x14ac:dyDescent="0.2">
      <c r="B48" s="2" t="s">
        <v>57</v>
      </c>
      <c r="K48" s="6">
        <v>654.20000000000005</v>
      </c>
      <c r="L48" s="6">
        <v>645.20000000000005</v>
      </c>
      <c r="M48" s="6">
        <f>615.8</f>
        <v>615.79999999999995</v>
      </c>
      <c r="N48" s="6">
        <v>586.6</v>
      </c>
      <c r="O48" s="6">
        <v>568.70000000000005</v>
      </c>
      <c r="P48" s="6">
        <v>554.29999999999995</v>
      </c>
      <c r="Q48" s="6">
        <v>523.20000000000005</v>
      </c>
    </row>
    <row r="49" spans="2:50" x14ac:dyDescent="0.2">
      <c r="B49" s="2" t="s">
        <v>58</v>
      </c>
      <c r="K49" s="6">
        <v>0</v>
      </c>
      <c r="L49" s="6">
        <v>0</v>
      </c>
      <c r="M49" s="6">
        <v>0</v>
      </c>
      <c r="N49" s="6">
        <v>16.3</v>
      </c>
      <c r="O49" s="6">
        <v>16.7</v>
      </c>
      <c r="P49" s="6">
        <v>16.7</v>
      </c>
      <c r="Q49" s="6">
        <v>14.3</v>
      </c>
    </row>
    <row r="50" spans="2:50" x14ac:dyDescent="0.2">
      <c r="B50" t="s">
        <v>52</v>
      </c>
      <c r="K50" s="6">
        <v>40</v>
      </c>
      <c r="L50" s="6">
        <v>38.5</v>
      </c>
      <c r="M50" s="6">
        <v>37.9</v>
      </c>
      <c r="N50" s="6">
        <v>118.6</v>
      </c>
      <c r="O50" s="6">
        <v>37.799999999999997</v>
      </c>
      <c r="P50" s="6">
        <v>62.5</v>
      </c>
      <c r="Q50" s="6">
        <v>64.7</v>
      </c>
    </row>
    <row r="51" spans="2:50" x14ac:dyDescent="0.2">
      <c r="B51" t="s">
        <v>53</v>
      </c>
      <c r="K51" s="6">
        <f>SUM(K43:K50)</f>
        <v>2562.6999999999998</v>
      </c>
      <c r="L51" s="6">
        <f t="shared" ref="L51" si="145">SUM(L43:L50)</f>
        <v>3545.8</v>
      </c>
      <c r="M51" s="6">
        <f t="shared" ref="M51" si="146">SUM(M43:M50)</f>
        <v>3762.0000000000005</v>
      </c>
      <c r="N51" s="6">
        <f t="shared" ref="N51" si="147">SUM(N43:N50)</f>
        <v>3499.2999999999997</v>
      </c>
      <c r="O51" s="6">
        <f>SUM(O43:O50)</f>
        <v>3125.5</v>
      </c>
      <c r="P51" s="6">
        <f>SUM(P43:P50)</f>
        <v>2799.5</v>
      </c>
      <c r="Q51" s="6">
        <f>SUM(Q43:Q50)</f>
        <v>3322.5</v>
      </c>
    </row>
    <row r="52" spans="2:50" x14ac:dyDescent="0.2">
      <c r="K52" s="6"/>
    </row>
    <row r="53" spans="2:50" x14ac:dyDescent="0.2">
      <c r="B53" t="s">
        <v>59</v>
      </c>
      <c r="K53" s="6">
        <v>388.6</v>
      </c>
      <c r="L53" s="6">
        <v>409.7</v>
      </c>
      <c r="M53" s="6">
        <v>711.5</v>
      </c>
      <c r="N53" s="6">
        <v>471</v>
      </c>
      <c r="O53" s="6">
        <v>386.8</v>
      </c>
      <c r="P53" s="6">
        <v>217.4</v>
      </c>
      <c r="Q53" s="6">
        <v>888.4</v>
      </c>
    </row>
    <row r="54" spans="2:50" x14ac:dyDescent="0.2">
      <c r="B54" t="s">
        <v>60</v>
      </c>
      <c r="K54" s="6">
        <v>561.79999999999995</v>
      </c>
      <c r="L54" s="6">
        <v>563.1</v>
      </c>
      <c r="M54" s="6">
        <v>608.5</v>
      </c>
      <c r="N54" s="6">
        <v>668.9</v>
      </c>
      <c r="O54" s="6">
        <v>533.29999999999995</v>
      </c>
      <c r="P54" s="6">
        <v>512.1</v>
      </c>
      <c r="Q54" s="6">
        <v>504.2</v>
      </c>
    </row>
    <row r="55" spans="2:50" x14ac:dyDescent="0.2">
      <c r="B55" t="s">
        <v>57</v>
      </c>
      <c r="K55" s="6">
        <f>219.4+445</f>
        <v>664.4</v>
      </c>
      <c r="L55" s="6">
        <f>432+221.5</f>
        <v>653.5</v>
      </c>
      <c r="M55" s="6">
        <v>211.9</v>
      </c>
      <c r="N55" s="6">
        <f>210.7+393.7</f>
        <v>604.4</v>
      </c>
      <c r="O55" s="6">
        <f>200.3+374.5</f>
        <v>574.79999999999995</v>
      </c>
      <c r="P55" s="6">
        <f>194+367.4</f>
        <v>561.4</v>
      </c>
      <c r="Q55" s="6">
        <f>186.2+349.6</f>
        <v>535.79999999999995</v>
      </c>
    </row>
    <row r="56" spans="2:50" x14ac:dyDescent="0.2">
      <c r="B56" t="s">
        <v>4</v>
      </c>
      <c r="K56" s="6">
        <f>48.1</f>
        <v>48.1</v>
      </c>
      <c r="L56" s="6">
        <v>47.5</v>
      </c>
      <c r="M56" s="6">
        <f>1.4+44.8</f>
        <v>46.199999999999996</v>
      </c>
      <c r="N56" s="6">
        <v>44.6</v>
      </c>
      <c r="O56" s="6">
        <f>6.5+35.7</f>
        <v>42.2</v>
      </c>
      <c r="P56" s="6">
        <f>8.9+32.1</f>
        <v>41</v>
      </c>
      <c r="Q56" s="6">
        <f>9.9+28.8</f>
        <v>38.700000000000003</v>
      </c>
    </row>
    <row r="57" spans="2:50" x14ac:dyDescent="0.2">
      <c r="B57" t="s">
        <v>61</v>
      </c>
      <c r="K57" s="6">
        <v>20.3</v>
      </c>
      <c r="L57" s="6">
        <v>20</v>
      </c>
      <c r="M57" s="6">
        <f>19.3+409.7</f>
        <v>429</v>
      </c>
      <c r="N57" s="6">
        <v>107.9</v>
      </c>
      <c r="O57" s="6">
        <v>137.69999999999999</v>
      </c>
      <c r="P57" s="6">
        <v>124.1</v>
      </c>
      <c r="Q57" s="6">
        <v>110.4</v>
      </c>
    </row>
    <row r="58" spans="2:50" x14ac:dyDescent="0.2">
      <c r="B58" t="s">
        <v>62</v>
      </c>
      <c r="K58" s="6">
        <v>879.5</v>
      </c>
      <c r="L58" s="6">
        <v>1852</v>
      </c>
      <c r="M58" s="6">
        <v>1754.9</v>
      </c>
      <c r="N58" s="6">
        <v>1602.5</v>
      </c>
      <c r="O58" s="6">
        <v>1450.7</v>
      </c>
      <c r="P58" s="6">
        <v>1343.5</v>
      </c>
      <c r="Q58" s="6">
        <v>1245</v>
      </c>
    </row>
    <row r="59" spans="2:50" x14ac:dyDescent="0.2">
      <c r="B59" t="s">
        <v>63</v>
      </c>
      <c r="K59" s="6">
        <f>SUM(K53:K58)</f>
        <v>2562.6999999999998</v>
      </c>
      <c r="L59" s="6">
        <f>SUM(L53:L58)</f>
        <v>3545.8</v>
      </c>
      <c r="M59" s="6">
        <f>SUM(M53:M58)</f>
        <v>3762</v>
      </c>
      <c r="N59" s="6">
        <f t="shared" ref="N59" si="148">SUM(N53:N58)</f>
        <v>3499.3</v>
      </c>
      <c r="O59" s="6">
        <f>SUM(O53:O58)</f>
        <v>3125.5</v>
      </c>
      <c r="P59" s="6">
        <f>SUM(P53:P58)</f>
        <v>2799.5</v>
      </c>
      <c r="Q59" s="6">
        <f>SUM(Q53:Q58)</f>
        <v>3322.5</v>
      </c>
    </row>
    <row r="60" spans="2:50" x14ac:dyDescent="0.2">
      <c r="K60" s="6"/>
      <c r="N60" s="6"/>
      <c r="O60" s="6"/>
    </row>
    <row r="61" spans="2:50" s="2" customFormat="1" x14ac:dyDescent="0.2">
      <c r="B61" s="2" t="s">
        <v>34</v>
      </c>
      <c r="C61" s="6"/>
      <c r="D61" s="6"/>
      <c r="E61" s="6"/>
      <c r="F61" s="6"/>
      <c r="G61" s="6"/>
      <c r="H61" s="6"/>
      <c r="I61" s="6"/>
      <c r="J61" s="6"/>
      <c r="K61" s="6">
        <f t="shared" ref="K61:Q61" si="149">K31</f>
        <v>-66.199999999999875</v>
      </c>
      <c r="L61" s="6">
        <f t="shared" si="149"/>
        <v>-61.599999999999888</v>
      </c>
      <c r="M61" s="6">
        <f t="shared" si="149"/>
        <v>-105.39999999999986</v>
      </c>
      <c r="N61" s="6">
        <f t="shared" si="149"/>
        <v>-141.39999999999995</v>
      </c>
      <c r="O61" s="6">
        <f t="shared" si="149"/>
        <v>-157.89999999999998</v>
      </c>
      <c r="P61" s="6">
        <f t="shared" si="149"/>
        <v>-106.19999999999996</v>
      </c>
      <c r="Q61" s="6">
        <f t="shared" si="149"/>
        <v>-95.099999999999923</v>
      </c>
      <c r="R61" s="6"/>
      <c r="S61" s="6"/>
      <c r="T61" s="6"/>
      <c r="U61" s="6"/>
      <c r="V61" s="6"/>
      <c r="W61" s="6"/>
      <c r="AB61" s="6"/>
      <c r="AC61" s="6"/>
      <c r="AD61" s="6"/>
      <c r="AE61" s="6"/>
      <c r="AF61" s="6">
        <f t="shared" ref="AF61:AT61" si="150">AF31</f>
        <v>366.49999999999886</v>
      </c>
      <c r="AG61" s="6">
        <f t="shared" si="150"/>
        <v>221.0999999999994</v>
      </c>
      <c r="AH61" s="6">
        <f t="shared" si="150"/>
        <v>-78.800000000000239</v>
      </c>
      <c r="AI61" s="6">
        <f t="shared" si="150"/>
        <v>-231.50000000000097</v>
      </c>
      <c r="AJ61" s="6">
        <f t="shared" si="150"/>
        <v>-374.59999999999968</v>
      </c>
      <c r="AK61" s="6">
        <f t="shared" si="150"/>
        <v>-276.5441320000001</v>
      </c>
      <c r="AL61" s="6">
        <f t="shared" si="150"/>
        <v>-58.872144639999121</v>
      </c>
      <c r="AM61" s="6">
        <f t="shared" si="150"/>
        <v>116.87487006720121</v>
      </c>
      <c r="AN61" s="6">
        <f t="shared" si="150"/>
        <v>392.73783742254489</v>
      </c>
      <c r="AO61" s="6">
        <f t="shared" si="150"/>
        <v>466.1591155834102</v>
      </c>
      <c r="AP61" s="6">
        <f t="shared" si="150"/>
        <v>606.16686720114296</v>
      </c>
      <c r="AQ61" s="6">
        <f t="shared" si="150"/>
        <v>600.9134789109512</v>
      </c>
      <c r="AR61" s="6">
        <f t="shared" si="150"/>
        <v>744.87506327743188</v>
      </c>
      <c r="AS61" s="6">
        <f t="shared" si="150"/>
        <v>768.90181596764319</v>
      </c>
      <c r="AT61" s="6">
        <f t="shared" si="150"/>
        <v>924.77478782860703</v>
      </c>
    </row>
    <row r="62" spans="2:50" s="2" customFormat="1" x14ac:dyDescent="0.2">
      <c r="B62" s="2" t="s">
        <v>35</v>
      </c>
      <c r="C62" s="6"/>
      <c r="D62" s="6"/>
      <c r="E62" s="6"/>
      <c r="F62" s="6"/>
      <c r="G62" s="6"/>
      <c r="H62" s="6"/>
      <c r="I62" s="6"/>
      <c r="J62" s="6"/>
      <c r="K62" s="6">
        <v>-66.8</v>
      </c>
      <c r="L62" s="6">
        <f>-128.4-K62</f>
        <v>-61.600000000000009</v>
      </c>
      <c r="M62" s="6">
        <f>-233.8-L62-K62</f>
        <v>-105.39999999999999</v>
      </c>
      <c r="N62" s="6">
        <f>-383.3-M62-L62-K62</f>
        <v>-149.5</v>
      </c>
      <c r="O62" s="6">
        <v>-157.9</v>
      </c>
      <c r="P62" s="6">
        <v>-108.7</v>
      </c>
      <c r="Q62" s="6"/>
      <c r="R62" s="6"/>
      <c r="S62" s="6"/>
      <c r="T62" s="6"/>
      <c r="U62" s="6"/>
      <c r="V62" s="6"/>
      <c r="W62" s="6"/>
      <c r="AB62" s="6"/>
      <c r="AC62" s="6"/>
      <c r="AD62" s="6"/>
      <c r="AE62" s="6"/>
      <c r="AF62" s="2">
        <v>34.700000000000003</v>
      </c>
      <c r="AG62" s="2">
        <v>-673</v>
      </c>
      <c r="AH62" s="2">
        <v>-470.9</v>
      </c>
      <c r="AI62" s="6">
        <v>-215.3</v>
      </c>
      <c r="AJ62" s="6">
        <v>-381.3</v>
      </c>
      <c r="AK62" s="6"/>
    </row>
    <row r="63" spans="2:50" s="2" customFormat="1" x14ac:dyDescent="0.2">
      <c r="B63" s="2" t="s">
        <v>36</v>
      </c>
      <c r="C63" s="6"/>
      <c r="D63" s="6"/>
      <c r="E63" s="6"/>
      <c r="F63" s="6"/>
      <c r="G63" s="6"/>
      <c r="H63" s="6"/>
      <c r="I63" s="6"/>
      <c r="J63" s="6"/>
      <c r="K63" s="6">
        <v>18.7</v>
      </c>
      <c r="L63" s="6">
        <f>36.3-K63</f>
        <v>17.599999999999998</v>
      </c>
      <c r="M63" s="6">
        <f>53.2-L63-K63</f>
        <v>16.900000000000009</v>
      </c>
      <c r="N63" s="6">
        <f>77.2-M63-L63-K63</f>
        <v>24.000000000000004</v>
      </c>
      <c r="O63" s="6">
        <v>17.100000000000001</v>
      </c>
      <c r="P63" s="6">
        <v>15.3</v>
      </c>
      <c r="Q63" s="6"/>
      <c r="R63" s="6"/>
      <c r="S63" s="6"/>
      <c r="T63" s="6"/>
      <c r="U63" s="6"/>
      <c r="V63" s="6"/>
      <c r="W63" s="6"/>
      <c r="AB63" s="6"/>
      <c r="AC63" s="6"/>
      <c r="AD63" s="6"/>
      <c r="AE63" s="6"/>
      <c r="AF63" s="2">
        <v>151.9</v>
      </c>
      <c r="AG63" s="2">
        <v>126.9</v>
      </c>
      <c r="AH63" s="2">
        <v>96.2</v>
      </c>
      <c r="AI63" s="6">
        <v>80.7</v>
      </c>
      <c r="AJ63" s="6">
        <v>77.2</v>
      </c>
      <c r="AK63" s="6"/>
      <c r="AW63" s="10" t="s">
        <v>95</v>
      </c>
      <c r="AX63" s="15">
        <v>0.1</v>
      </c>
    </row>
    <row r="64" spans="2:50" s="2" customFormat="1" x14ac:dyDescent="0.2">
      <c r="B64" s="2" t="s">
        <v>84</v>
      </c>
      <c r="C64" s="6"/>
      <c r="D64" s="6"/>
      <c r="E64" s="6"/>
      <c r="F64" s="6"/>
      <c r="G64" s="6"/>
      <c r="H64" s="6"/>
      <c r="I64" s="6"/>
      <c r="J64" s="6"/>
      <c r="K64" s="6">
        <v>18.2</v>
      </c>
      <c r="L64" s="6">
        <f>18.2-K64</f>
        <v>0</v>
      </c>
      <c r="M64" s="6">
        <f>18.2-L64-K64</f>
        <v>0</v>
      </c>
      <c r="N64" s="6">
        <f>18.2-M64-L64-K64</f>
        <v>0</v>
      </c>
      <c r="O64" s="6">
        <v>0</v>
      </c>
      <c r="P64" s="6">
        <v>0</v>
      </c>
      <c r="Q64" s="6"/>
      <c r="R64" s="6"/>
      <c r="S64" s="6"/>
      <c r="T64" s="6"/>
      <c r="U64" s="6"/>
      <c r="V64" s="6"/>
      <c r="W64" s="6"/>
      <c r="AB64" s="6"/>
      <c r="AC64" s="6"/>
      <c r="AD64" s="6"/>
      <c r="AE64" s="6"/>
      <c r="AF64" s="2">
        <v>0</v>
      </c>
      <c r="AG64" s="2">
        <v>0</v>
      </c>
      <c r="AH64" s="2">
        <v>0</v>
      </c>
      <c r="AI64" s="6">
        <v>0</v>
      </c>
      <c r="AJ64" s="6">
        <v>18.2</v>
      </c>
      <c r="AK64" s="6"/>
      <c r="AW64" t="s">
        <v>96</v>
      </c>
      <c r="AX64" s="16">
        <v>0</v>
      </c>
    </row>
    <row r="65" spans="2:50" s="2" customFormat="1" x14ac:dyDescent="0.2">
      <c r="B65" s="2" t="s">
        <v>85</v>
      </c>
      <c r="C65" s="6"/>
      <c r="D65" s="6"/>
      <c r="E65" s="6"/>
      <c r="F65" s="6"/>
      <c r="G65" s="6"/>
      <c r="H65" s="6"/>
      <c r="I65" s="6"/>
      <c r="J65" s="6"/>
      <c r="K65" s="6">
        <v>0.6</v>
      </c>
      <c r="L65" s="6">
        <f>0.6-K65</f>
        <v>0</v>
      </c>
      <c r="M65" s="6">
        <f>0.6-L65-K65</f>
        <v>0</v>
      </c>
      <c r="N65" s="6">
        <f>6.7-M65-L65-K65</f>
        <v>6.1000000000000005</v>
      </c>
      <c r="O65" s="6">
        <v>0</v>
      </c>
      <c r="P65" s="6">
        <v>0</v>
      </c>
      <c r="Q65" s="6"/>
      <c r="R65" s="6"/>
      <c r="S65" s="6"/>
      <c r="T65" s="6"/>
      <c r="U65" s="6"/>
      <c r="V65" s="6"/>
      <c r="W65" s="6"/>
      <c r="AB65" s="6"/>
      <c r="AC65" s="6"/>
      <c r="AD65" s="6"/>
      <c r="AE65" s="6"/>
      <c r="AF65" s="2">
        <v>0</v>
      </c>
      <c r="AG65" s="2">
        <v>0</v>
      </c>
      <c r="AH65" s="2">
        <v>0</v>
      </c>
      <c r="AI65" s="6">
        <v>0</v>
      </c>
      <c r="AJ65" s="6">
        <v>6.7</v>
      </c>
      <c r="AK65" s="6"/>
      <c r="AW65" s="2" t="s">
        <v>101</v>
      </c>
      <c r="AX65" s="16">
        <v>0.02</v>
      </c>
    </row>
    <row r="66" spans="2:50" s="2" customFormat="1" x14ac:dyDescent="0.2">
      <c r="B66" s="2" t="s">
        <v>81</v>
      </c>
      <c r="C66" s="6"/>
      <c r="D66" s="6"/>
      <c r="E66" s="6"/>
      <c r="F66" s="6"/>
      <c r="G66" s="6"/>
      <c r="H66" s="6"/>
      <c r="I66" s="6"/>
      <c r="J66" s="6"/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/>
      <c r="R66" s="6"/>
      <c r="S66" s="6"/>
      <c r="T66" s="6"/>
      <c r="U66" s="6"/>
      <c r="V66" s="6"/>
      <c r="W66" s="6"/>
      <c r="AB66" s="6"/>
      <c r="AC66" s="6"/>
      <c r="AD66" s="6"/>
      <c r="AE66" s="6"/>
      <c r="AF66" s="2">
        <v>59.1</v>
      </c>
      <c r="AG66" s="2">
        <v>57.3</v>
      </c>
      <c r="AH66" s="2">
        <v>0</v>
      </c>
      <c r="AI66" s="6">
        <v>0</v>
      </c>
      <c r="AJ66" s="6">
        <v>0</v>
      </c>
      <c r="AK66" s="6"/>
      <c r="AW66" t="s">
        <v>97</v>
      </c>
      <c r="AX66" s="2">
        <f>NPV(AX63,AK31:CF31)+Main!M5-Main!M6</f>
        <v>6499.5801066161957</v>
      </c>
    </row>
    <row r="67" spans="2:50" s="2" customFormat="1" x14ac:dyDescent="0.2">
      <c r="B67" s="2" t="s">
        <v>82</v>
      </c>
      <c r="C67" s="6"/>
      <c r="D67" s="6"/>
      <c r="E67" s="6"/>
      <c r="F67" s="6"/>
      <c r="G67" s="6"/>
      <c r="H67" s="6"/>
      <c r="I67" s="6"/>
      <c r="J67" s="6"/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/>
      <c r="R67" s="6"/>
      <c r="S67" s="6"/>
      <c r="T67" s="6"/>
      <c r="U67" s="6"/>
      <c r="V67" s="6"/>
      <c r="W67" s="6"/>
      <c r="AB67" s="6"/>
      <c r="AC67" s="6"/>
      <c r="AD67" s="6"/>
      <c r="AE67" s="6"/>
      <c r="AF67" s="2">
        <v>395.1</v>
      </c>
      <c r="AG67" s="2">
        <v>1015.9</v>
      </c>
      <c r="AH67" s="2">
        <v>385.6</v>
      </c>
      <c r="AI67" s="6">
        <v>15.5</v>
      </c>
      <c r="AJ67" s="6">
        <v>0</v>
      </c>
      <c r="AK67" s="6"/>
      <c r="AW67" s="7" t="s">
        <v>0</v>
      </c>
      <c r="AX67" s="17">
        <f>AX66/Main!M3</f>
        <v>21.339619450002409</v>
      </c>
    </row>
    <row r="68" spans="2:50" s="2" customFormat="1" x14ac:dyDescent="0.2">
      <c r="B68" s="2" t="s">
        <v>37</v>
      </c>
      <c r="C68" s="6"/>
      <c r="D68" s="6"/>
      <c r="E68" s="6"/>
      <c r="F68" s="6"/>
      <c r="G68" s="6"/>
      <c r="H68" s="6"/>
      <c r="I68" s="6"/>
      <c r="J68" s="6"/>
      <c r="K68" s="6">
        <v>5.7</v>
      </c>
      <c r="L68" s="6">
        <f>14.5-K68</f>
        <v>8.8000000000000007</v>
      </c>
      <c r="M68" s="6">
        <f>20.7-L68-K68</f>
        <v>6.1999999999999984</v>
      </c>
      <c r="N68" s="6">
        <f>30.5-M68-L68-K68</f>
        <v>9.8000000000000007</v>
      </c>
      <c r="O68" s="6">
        <v>11.1</v>
      </c>
      <c r="P68" s="6">
        <v>7.8</v>
      </c>
      <c r="Q68" s="6"/>
      <c r="R68" s="6"/>
      <c r="S68" s="6"/>
      <c r="T68" s="6"/>
      <c r="U68" s="6"/>
      <c r="V68" s="6"/>
      <c r="W68" s="6"/>
      <c r="AB68" s="6"/>
      <c r="AC68" s="6"/>
      <c r="AD68" s="6"/>
      <c r="AE68" s="6"/>
      <c r="AF68" s="2">
        <v>25.6</v>
      </c>
      <c r="AG68" s="2">
        <v>10.7</v>
      </c>
      <c r="AH68" s="2">
        <v>8.9</v>
      </c>
      <c r="AI68" s="6">
        <v>7.9</v>
      </c>
      <c r="AJ68" s="6">
        <v>30.5</v>
      </c>
      <c r="AK68" s="6"/>
      <c r="AW68" s="2" t="s">
        <v>98</v>
      </c>
      <c r="AX68" s="16">
        <f>AX67/Main!M2-1</f>
        <v>-0.1518434240857548</v>
      </c>
    </row>
    <row r="69" spans="2:50" s="2" customFormat="1" x14ac:dyDescent="0.2">
      <c r="B69" s="2" t="s">
        <v>58</v>
      </c>
      <c r="C69" s="6"/>
      <c r="D69" s="6"/>
      <c r="E69" s="6"/>
      <c r="F69" s="6"/>
      <c r="G69" s="6"/>
      <c r="H69" s="6"/>
      <c r="I69" s="6"/>
      <c r="J69" s="6"/>
      <c r="K69" s="6">
        <v>0</v>
      </c>
      <c r="L69" s="6">
        <v>0</v>
      </c>
      <c r="M69" s="6">
        <v>0</v>
      </c>
      <c r="N69" s="6">
        <f>-16.3-M69-L69-K69</f>
        <v>-16.3</v>
      </c>
      <c r="O69" s="6">
        <v>0</v>
      </c>
      <c r="P69" s="6">
        <v>0</v>
      </c>
      <c r="Q69" s="6"/>
      <c r="R69" s="6"/>
      <c r="S69" s="6"/>
      <c r="T69" s="6"/>
      <c r="U69" s="6"/>
      <c r="V69" s="6"/>
      <c r="W69" s="6"/>
      <c r="AB69" s="6"/>
      <c r="AC69" s="6"/>
      <c r="AD69" s="6"/>
      <c r="AE69" s="6"/>
      <c r="AF69" s="2">
        <v>-107.9</v>
      </c>
      <c r="AG69" s="2">
        <v>-4.0999999999999996</v>
      </c>
      <c r="AH69" s="2">
        <v>61.4</v>
      </c>
      <c r="AI69" s="6">
        <v>80.3</v>
      </c>
      <c r="AJ69" s="6">
        <v>-16.3</v>
      </c>
      <c r="AK69" s="6"/>
    </row>
    <row r="70" spans="2:50" s="2" customFormat="1" x14ac:dyDescent="0.2">
      <c r="B70" s="2" t="s">
        <v>38</v>
      </c>
      <c r="C70" s="6"/>
      <c r="D70" s="6"/>
      <c r="E70" s="6"/>
      <c r="F70" s="6"/>
      <c r="G70" s="6"/>
      <c r="H70" s="6"/>
      <c r="I70" s="6"/>
      <c r="J70" s="6"/>
      <c r="K70" s="6">
        <v>0.4</v>
      </c>
      <c r="L70" s="6">
        <f>0.5-K70</f>
        <v>9.9999999999999978E-2</v>
      </c>
      <c r="M70" s="6">
        <v>0</v>
      </c>
      <c r="N70" s="6">
        <f>5.4-M70-L70-K70</f>
        <v>4.9000000000000004</v>
      </c>
      <c r="O70" s="6">
        <v>-6.9</v>
      </c>
      <c r="P70" s="6">
        <v>0</v>
      </c>
      <c r="Q70" s="6"/>
      <c r="R70" s="6"/>
      <c r="S70" s="6"/>
      <c r="T70" s="6"/>
      <c r="U70" s="6"/>
      <c r="V70" s="6"/>
      <c r="W70" s="6"/>
      <c r="AB70" s="6"/>
      <c r="AC70" s="6"/>
      <c r="AD70" s="6"/>
      <c r="AE70" s="6"/>
      <c r="AF70" s="2">
        <v>-6.4</v>
      </c>
      <c r="AG70" s="2">
        <v>-100.8</v>
      </c>
      <c r="AH70" s="2">
        <v>1.9</v>
      </c>
      <c r="AI70" s="6">
        <v>-27.3</v>
      </c>
      <c r="AJ70" s="6">
        <v>0</v>
      </c>
      <c r="AK70" s="6"/>
    </row>
    <row r="71" spans="2:50" s="2" customFormat="1" x14ac:dyDescent="0.2">
      <c r="B71" s="2" t="s">
        <v>39</v>
      </c>
      <c r="C71" s="6"/>
      <c r="D71" s="6"/>
      <c r="E71" s="6"/>
      <c r="F71" s="6"/>
      <c r="G71" s="6"/>
      <c r="H71" s="6"/>
      <c r="I71" s="6"/>
      <c r="J71" s="6"/>
      <c r="K71" s="6">
        <v>0</v>
      </c>
      <c r="L71" s="6">
        <v>0</v>
      </c>
      <c r="M71" s="6">
        <v>0</v>
      </c>
      <c r="N71" s="6">
        <v>0</v>
      </c>
      <c r="O71" s="6">
        <v>33.700000000000003</v>
      </c>
      <c r="P71" s="6">
        <v>2.5</v>
      </c>
      <c r="Q71" s="6"/>
      <c r="R71" s="6"/>
      <c r="S71" s="6"/>
      <c r="T71" s="6"/>
      <c r="U71" s="6"/>
      <c r="V71" s="6"/>
      <c r="W71" s="6"/>
      <c r="AB71" s="6"/>
      <c r="AC71" s="6"/>
      <c r="AD71" s="6"/>
      <c r="AE71" s="6"/>
      <c r="AF71" s="2">
        <v>0</v>
      </c>
      <c r="AG71" s="2">
        <v>0</v>
      </c>
      <c r="AH71" s="2">
        <v>0</v>
      </c>
      <c r="AI71" s="6">
        <v>0</v>
      </c>
      <c r="AJ71" s="6">
        <v>0</v>
      </c>
      <c r="AK71" s="6"/>
    </row>
    <row r="72" spans="2:50" s="2" customFormat="1" x14ac:dyDescent="0.2">
      <c r="B72" s="2" t="s">
        <v>40</v>
      </c>
      <c r="C72" s="6"/>
      <c r="D72" s="6"/>
      <c r="E72" s="6"/>
      <c r="F72" s="6"/>
      <c r="G72" s="6"/>
      <c r="H72" s="6"/>
      <c r="I72" s="6"/>
      <c r="J72" s="6"/>
      <c r="K72" s="6">
        <v>0</v>
      </c>
      <c r="L72" s="6">
        <v>0</v>
      </c>
      <c r="M72" s="6">
        <f>1.9-L72-K72</f>
        <v>1.9</v>
      </c>
      <c r="N72" s="6">
        <v>0</v>
      </c>
      <c r="O72" s="6">
        <v>0.4</v>
      </c>
      <c r="P72" s="6">
        <v>1.2</v>
      </c>
      <c r="Q72" s="6"/>
      <c r="R72" s="6"/>
      <c r="S72" s="6"/>
      <c r="T72" s="6"/>
      <c r="U72" s="6"/>
      <c r="V72" s="6"/>
      <c r="W72" s="6"/>
      <c r="AB72" s="6"/>
      <c r="AC72" s="6"/>
      <c r="AD72" s="6"/>
      <c r="AE72" s="6"/>
      <c r="AF72" s="2">
        <v>8.5</v>
      </c>
      <c r="AG72" s="2">
        <v>2</v>
      </c>
      <c r="AH72" s="2">
        <v>9.1</v>
      </c>
      <c r="AI72" s="6">
        <v>0</v>
      </c>
      <c r="AJ72" s="6">
        <v>5.4</v>
      </c>
      <c r="AK72" s="6"/>
    </row>
    <row r="73" spans="2:50" s="2" customFormat="1" x14ac:dyDescent="0.2">
      <c r="B73" s="2" t="s">
        <v>41</v>
      </c>
      <c r="C73" s="6"/>
      <c r="D73" s="6"/>
      <c r="E73" s="6"/>
      <c r="F73" s="6"/>
      <c r="G73" s="6"/>
      <c r="H73" s="6"/>
      <c r="I73" s="6"/>
      <c r="J73" s="6"/>
      <c r="K73" s="6">
        <v>-0.5</v>
      </c>
      <c r="L73" s="6">
        <f>-0.6-K73</f>
        <v>-9.9999999999999978E-2</v>
      </c>
      <c r="M73" s="6">
        <f>-1.4-L73-K73</f>
        <v>-0.79999999999999982</v>
      </c>
      <c r="N73" s="6">
        <f>-3.5-M73-L73-K73</f>
        <v>-2.1</v>
      </c>
      <c r="O73" s="6">
        <v>-4.8</v>
      </c>
      <c r="P73" s="6">
        <v>-0.2</v>
      </c>
      <c r="Q73" s="6"/>
      <c r="R73" s="6"/>
      <c r="S73" s="6"/>
      <c r="T73" s="6"/>
      <c r="U73" s="6"/>
      <c r="V73" s="6"/>
      <c r="W73" s="6"/>
      <c r="AB73" s="6"/>
      <c r="AC73" s="6"/>
      <c r="AD73" s="6"/>
      <c r="AE73" s="6"/>
      <c r="AF73" s="2">
        <v>-34.200000000000003</v>
      </c>
      <c r="AG73" s="2">
        <v>-36.200000000000003</v>
      </c>
      <c r="AH73" s="2">
        <v>4.0999999999999996</v>
      </c>
      <c r="AI73" s="6">
        <v>0.9</v>
      </c>
      <c r="AJ73" s="6">
        <v>-3.5</v>
      </c>
      <c r="AK73" s="6"/>
    </row>
    <row r="74" spans="2:50" s="2" customFormat="1" x14ac:dyDescent="0.2">
      <c r="B74" s="2" t="s">
        <v>42</v>
      </c>
      <c r="C74" s="6"/>
      <c r="D74" s="6"/>
      <c r="E74" s="6"/>
      <c r="F74" s="6"/>
      <c r="G74" s="6"/>
      <c r="H74" s="6"/>
      <c r="I74" s="6"/>
      <c r="J74" s="6"/>
      <c r="K74" s="6">
        <f>3.1+32.4-2.9-1.2-11.4-15-0.1</f>
        <v>4.9000000000000004</v>
      </c>
      <c r="L74" s="6">
        <f>36.2+1.2-4-13.8+25.2-16.1-0.1-K74</f>
        <v>23.700000000000003</v>
      </c>
      <c r="M74" s="6">
        <f>21-545.2-5.1-12.9+376.9-18.1-L74-K74</f>
        <v>-212.00000000000009</v>
      </c>
      <c r="N74" s="6">
        <f>-38.4-329.6-6.5-21.7+224.4-0.9+1.5-M74-L74-K74</f>
        <v>12.200000000000093</v>
      </c>
      <c r="O74" s="6">
        <f>36.3-9.9-30.3+3.5-179.8-16.4</f>
        <v>-196.60000000000002</v>
      </c>
      <c r="P74" s="6">
        <f>3+179.5+2.9-2.6-204.2+0.6-0.5</f>
        <v>-21.299999999999976</v>
      </c>
      <c r="Q74" s="6"/>
      <c r="R74" s="6"/>
      <c r="S74" s="6"/>
      <c r="T74" s="6"/>
      <c r="U74" s="6"/>
      <c r="V74" s="6"/>
      <c r="W74" s="6"/>
      <c r="AB74" s="6"/>
      <c r="AC74" s="6"/>
      <c r="AD74" s="6"/>
      <c r="AE74" s="6"/>
      <c r="AF74" s="2">
        <f>35.7-256.3-1.2-24.7+169.8-14.8</f>
        <v>-91.499999999999986</v>
      </c>
      <c r="AG74" s="2">
        <f>-34.4-44.7+2.2-18.7+17.1+4.9</f>
        <v>-73.599999999999994</v>
      </c>
      <c r="AH74" s="2">
        <f>-10.9+361.1+3.6-75.9-792.8+4.1</f>
        <v>-510.79999999999984</v>
      </c>
      <c r="AI74" s="6">
        <f>39.8+282.4+8.4-87-78.6+19-3</f>
        <v>180.99999999999997</v>
      </c>
      <c r="AJ74" s="6">
        <f>-38.4-329.6-6.5-21.7+224.4-0.9+1.5</f>
        <v>-171.2</v>
      </c>
      <c r="AK74" s="6"/>
    </row>
    <row r="75" spans="2:50" s="2" customFormat="1" x14ac:dyDescent="0.2">
      <c r="B75" s="2" t="s">
        <v>43</v>
      </c>
      <c r="C75" s="6"/>
      <c r="D75" s="6"/>
      <c r="E75" s="6"/>
      <c r="F75" s="6"/>
      <c r="G75" s="6"/>
      <c r="H75" s="6"/>
      <c r="I75" s="6"/>
      <c r="J75" s="6"/>
      <c r="K75" s="6">
        <f>SUM(K62:K74)</f>
        <v>-18.799999999999997</v>
      </c>
      <c r="L75" s="6">
        <f>SUM(L62:L74)</f>
        <v>-11.500000000000014</v>
      </c>
      <c r="M75" s="6">
        <f t="shared" ref="M75:N75" si="151">SUM(M62:M74)</f>
        <v>-293.20000000000005</v>
      </c>
      <c r="N75" s="6">
        <f t="shared" si="151"/>
        <v>-110.89999999999991</v>
      </c>
      <c r="O75" s="6">
        <f>SUM(O62:O74)</f>
        <v>-303.90000000000003</v>
      </c>
      <c r="P75" s="6">
        <f>SUM(P62:P74)</f>
        <v>-103.39999999999998</v>
      </c>
      <c r="Q75" s="6"/>
      <c r="R75" s="6"/>
      <c r="S75" s="6"/>
      <c r="T75" s="6"/>
      <c r="U75" s="6"/>
      <c r="V75" s="6"/>
      <c r="W75" s="6"/>
      <c r="AB75" s="6"/>
      <c r="AC75" s="6"/>
      <c r="AD75" s="6"/>
      <c r="AE75" s="6"/>
      <c r="AF75" s="18">
        <f>SUM(AF62:AF74)</f>
        <v>434.90000000000009</v>
      </c>
      <c r="AG75" s="18">
        <f>SUM(AG62:AG74)</f>
        <v>325.09999999999991</v>
      </c>
      <c r="AH75" s="18">
        <f t="shared" ref="AH75:AK75" si="152">SUM(AH62:AH74)</f>
        <v>-414.49999999999983</v>
      </c>
      <c r="AI75" s="18">
        <f t="shared" si="152"/>
        <v>123.69999999999996</v>
      </c>
      <c r="AJ75" s="18">
        <f t="shared" si="152"/>
        <v>-434.30000000000007</v>
      </c>
      <c r="AK75" s="18">
        <f t="shared" si="152"/>
        <v>0</v>
      </c>
      <c r="AL75" s="18">
        <f t="shared" ref="AL75" si="153">SUM(AL62:AL74)</f>
        <v>0</v>
      </c>
      <c r="AM75" s="18">
        <f t="shared" ref="AM75" si="154">SUM(AM62:AM74)</f>
        <v>0</v>
      </c>
      <c r="AN75" s="18">
        <f t="shared" ref="AN75" si="155">SUM(AN62:AN74)</f>
        <v>0</v>
      </c>
      <c r="AO75" s="18">
        <f t="shared" ref="AO75" si="156">SUM(AO62:AO74)</f>
        <v>0</v>
      </c>
      <c r="AP75" s="18">
        <f t="shared" ref="AP75" si="157">SUM(AP62:AP74)</f>
        <v>0</v>
      </c>
      <c r="AQ75" s="18">
        <f t="shared" ref="AQ75" si="158">SUM(AQ62:AQ74)</f>
        <v>0</v>
      </c>
      <c r="AR75" s="18">
        <f t="shared" ref="AR75" si="159">SUM(AR62:AR74)</f>
        <v>0</v>
      </c>
      <c r="AS75" s="18">
        <f t="shared" ref="AS75" si="160">SUM(AS62:AS74)</f>
        <v>0</v>
      </c>
      <c r="AT75" s="18">
        <f t="shared" ref="AT75" si="161">SUM(AT62:AT74)</f>
        <v>0</v>
      </c>
    </row>
    <row r="76" spans="2:50" s="2" customFormat="1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AB76" s="6"/>
      <c r="AC76" s="6"/>
      <c r="AD76" s="6"/>
      <c r="AE76" s="6"/>
      <c r="AI76" s="6"/>
      <c r="AJ76" s="6"/>
      <c r="AK76" s="6"/>
    </row>
    <row r="77" spans="2:50" s="2" customFormat="1" x14ac:dyDescent="0.2">
      <c r="B77" s="2" t="s">
        <v>44</v>
      </c>
      <c r="C77" s="6"/>
      <c r="D77" s="6"/>
      <c r="E77" s="6"/>
      <c r="F77" s="6"/>
      <c r="G77" s="6"/>
      <c r="H77" s="6"/>
      <c r="I77" s="6"/>
      <c r="J77" s="6"/>
      <c r="K77" s="6">
        <v>-14.7</v>
      </c>
      <c r="L77" s="6">
        <f>-28.2-K77</f>
        <v>-13.5</v>
      </c>
      <c r="M77" s="6">
        <f>-40.7-L77-K77</f>
        <v>-12.500000000000004</v>
      </c>
      <c r="N77" s="6">
        <f>-62-M77-L77-K77</f>
        <v>-21.3</v>
      </c>
      <c r="O77" s="6">
        <v>76.900000000000006</v>
      </c>
      <c r="P77" s="6">
        <v>-20.5</v>
      </c>
      <c r="Q77" s="6"/>
      <c r="R77" s="6"/>
      <c r="S77" s="6"/>
      <c r="T77" s="6"/>
      <c r="U77" s="6"/>
      <c r="V77" s="6"/>
      <c r="W77" s="6"/>
      <c r="AB77" s="6"/>
      <c r="AC77" s="6"/>
      <c r="AD77" s="6"/>
      <c r="AE77" s="6"/>
      <c r="AF77" s="13">
        <v>113.4</v>
      </c>
      <c r="AG77" s="13">
        <v>93.7</v>
      </c>
      <c r="AH77" s="13">
        <v>78.5</v>
      </c>
      <c r="AI77" s="14">
        <v>60</v>
      </c>
      <c r="AJ77" s="14">
        <v>62</v>
      </c>
      <c r="AK77" s="14"/>
    </row>
    <row r="78" spans="2:50" s="2" customFormat="1" x14ac:dyDescent="0.2">
      <c r="B78" s="2" t="s">
        <v>45</v>
      </c>
      <c r="C78" s="6"/>
      <c r="D78" s="6"/>
      <c r="E78" s="6"/>
      <c r="F78" s="6"/>
      <c r="G78" s="6"/>
      <c r="H78" s="6"/>
      <c r="I78" s="6"/>
      <c r="J78" s="6"/>
      <c r="K78" s="6">
        <v>0</v>
      </c>
      <c r="L78" s="6">
        <v>0</v>
      </c>
      <c r="M78" s="6">
        <v>0</v>
      </c>
      <c r="N78" s="6">
        <v>0</v>
      </c>
      <c r="O78" s="6">
        <v>-10.8</v>
      </c>
      <c r="P78" s="6">
        <v>0.4</v>
      </c>
      <c r="Q78" s="6"/>
      <c r="R78" s="6"/>
      <c r="S78" s="6"/>
      <c r="T78" s="6"/>
      <c r="U78" s="6"/>
      <c r="V78" s="6"/>
      <c r="W78" s="6"/>
      <c r="AB78" s="6"/>
      <c r="AC78" s="6"/>
      <c r="AD78" s="6"/>
      <c r="AE78" s="6"/>
      <c r="AI78" s="6"/>
      <c r="AJ78" s="6"/>
      <c r="AK78" s="6"/>
    </row>
    <row r="79" spans="2:50" s="2" customFormat="1" x14ac:dyDescent="0.2">
      <c r="B79" s="2" t="s">
        <v>41</v>
      </c>
      <c r="C79" s="6"/>
      <c r="D79" s="6"/>
      <c r="E79" s="6"/>
      <c r="F79" s="6"/>
      <c r="G79" s="6"/>
      <c r="H79" s="6"/>
      <c r="I79" s="6"/>
      <c r="J79" s="6"/>
      <c r="K79" s="6">
        <v>0</v>
      </c>
      <c r="L79" s="6">
        <f>-0.1-K79</f>
        <v>-0.1</v>
      </c>
      <c r="M79" s="6">
        <f>-0.4-L79-K79</f>
        <v>-0.30000000000000004</v>
      </c>
      <c r="N79" s="6">
        <f>-2.8-M79-L79-K79</f>
        <v>-2.4</v>
      </c>
      <c r="O79" s="6">
        <v>0</v>
      </c>
      <c r="P79" s="6">
        <v>0</v>
      </c>
      <c r="Q79" s="6"/>
      <c r="R79" s="6"/>
      <c r="S79" s="6"/>
      <c r="T79" s="6"/>
      <c r="U79" s="6"/>
      <c r="V79" s="6"/>
      <c r="W79" s="6"/>
      <c r="AB79" s="6"/>
      <c r="AC79" s="6"/>
      <c r="AD79" s="6"/>
      <c r="AE79" s="6"/>
      <c r="AI79" s="6"/>
      <c r="AJ79" s="6"/>
      <c r="AK79" s="6"/>
    </row>
    <row r="80" spans="2:50" s="2" customFormat="1" x14ac:dyDescent="0.2">
      <c r="B80" s="2" t="s">
        <v>46</v>
      </c>
      <c r="C80" s="6"/>
      <c r="D80" s="6"/>
      <c r="E80" s="6"/>
      <c r="F80" s="6"/>
      <c r="G80" s="6"/>
      <c r="H80" s="6"/>
      <c r="I80" s="6"/>
      <c r="J80" s="6"/>
      <c r="K80" s="6">
        <f>K77+K78+K79</f>
        <v>-14.7</v>
      </c>
      <c r="L80" s="6">
        <f>L77+L78+L79</f>
        <v>-13.6</v>
      </c>
      <c r="M80" s="6">
        <f t="shared" ref="M80:P80" si="162">M77+M78+M79</f>
        <v>-12.800000000000004</v>
      </c>
      <c r="N80" s="6">
        <f t="shared" si="162"/>
        <v>-23.7</v>
      </c>
      <c r="O80" s="6">
        <f t="shared" si="162"/>
        <v>66.100000000000009</v>
      </c>
      <c r="P80" s="6">
        <f t="shared" si="162"/>
        <v>-20.100000000000001</v>
      </c>
      <c r="Q80" s="6"/>
      <c r="R80" s="6"/>
      <c r="S80" s="6"/>
      <c r="T80" s="6"/>
      <c r="U80" s="6"/>
      <c r="V80" s="6"/>
      <c r="W80" s="6"/>
      <c r="AB80" s="6"/>
      <c r="AC80" s="6"/>
      <c r="AD80" s="6"/>
      <c r="AE80" s="6"/>
      <c r="AI80" s="6"/>
      <c r="AJ80" s="6"/>
      <c r="AK80" s="6"/>
    </row>
    <row r="81" spans="2:37" s="2" customFormat="1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AB81" s="6"/>
      <c r="AC81" s="6"/>
      <c r="AD81" s="6"/>
      <c r="AE81" s="6"/>
      <c r="AI81" s="6"/>
      <c r="AJ81" s="6"/>
      <c r="AK81" s="6"/>
    </row>
    <row r="82" spans="2:37" s="2" customFormat="1" x14ac:dyDescent="0.2">
      <c r="B82" s="2" t="s">
        <v>118</v>
      </c>
      <c r="C82" s="6"/>
      <c r="D82" s="6"/>
      <c r="E82" s="6"/>
      <c r="F82" s="6"/>
      <c r="G82" s="6"/>
      <c r="H82" s="6"/>
      <c r="I82" s="6"/>
      <c r="J82" s="6"/>
      <c r="K82" s="6">
        <v>551.70000000000005</v>
      </c>
      <c r="L82" s="6">
        <f>1672.8-K82</f>
        <v>1121.0999999999999</v>
      </c>
      <c r="M82" s="6">
        <f>1672.8-L82-K82</f>
        <v>0</v>
      </c>
      <c r="N82" s="6">
        <f>1672.8-M82-L82-K82</f>
        <v>0</v>
      </c>
      <c r="O82" s="6">
        <v>0</v>
      </c>
      <c r="P82" s="6">
        <v>0</v>
      </c>
      <c r="Q82" s="6"/>
      <c r="R82" s="6"/>
      <c r="S82" s="6"/>
      <c r="T82" s="6"/>
      <c r="U82" s="6"/>
      <c r="V82" s="6"/>
      <c r="W82" s="6"/>
      <c r="AB82" s="6"/>
      <c r="AC82" s="6"/>
      <c r="AD82" s="6"/>
      <c r="AE82" s="6"/>
      <c r="AI82" s="6"/>
      <c r="AJ82" s="6"/>
      <c r="AK82" s="6"/>
    </row>
    <row r="83" spans="2:37" s="2" customFormat="1" x14ac:dyDescent="0.2">
      <c r="B83" s="2" t="s">
        <v>4</v>
      </c>
      <c r="C83" s="6"/>
      <c r="D83" s="6"/>
      <c r="E83" s="6"/>
      <c r="F83" s="6"/>
      <c r="G83" s="6"/>
      <c r="H83" s="6"/>
      <c r="I83" s="6"/>
      <c r="J83" s="6"/>
      <c r="K83" s="6">
        <f>-25-307.4-0.1</f>
        <v>-332.5</v>
      </c>
      <c r="L83" s="6">
        <v>0</v>
      </c>
      <c r="M83" s="6">
        <f>-25-307.4-0.1-L83-K83</f>
        <v>0</v>
      </c>
      <c r="N83" s="6">
        <f>-307.4-25-M83-L83-K83-3</f>
        <v>-2.8999999999999773</v>
      </c>
      <c r="O83" s="6">
        <v>0</v>
      </c>
      <c r="P83" s="6">
        <v>0</v>
      </c>
      <c r="Q83" s="6"/>
      <c r="R83" s="6"/>
      <c r="S83" s="6"/>
      <c r="T83" s="6"/>
      <c r="U83" s="6"/>
      <c r="V83" s="6"/>
      <c r="W83" s="6"/>
      <c r="AB83" s="6"/>
      <c r="AC83" s="6"/>
      <c r="AD83" s="6"/>
      <c r="AE83" s="6"/>
      <c r="AI83" s="6"/>
      <c r="AJ83" s="6"/>
      <c r="AK83" s="6"/>
    </row>
    <row r="84" spans="2:37" s="2" customFormat="1" x14ac:dyDescent="0.2">
      <c r="B84" s="2" t="s">
        <v>47</v>
      </c>
      <c r="C84" s="6"/>
      <c r="D84" s="6"/>
      <c r="E84" s="6"/>
      <c r="F84" s="6"/>
      <c r="G84" s="6"/>
      <c r="H84" s="6"/>
      <c r="I84" s="6"/>
      <c r="J84" s="6"/>
      <c r="K84" s="6">
        <v>-49.9</v>
      </c>
      <c r="L84" s="6">
        <f>-136.6-K84</f>
        <v>-86.699999999999989</v>
      </c>
      <c r="M84" s="6">
        <f>-136.6-L84-K84</f>
        <v>0</v>
      </c>
      <c r="N84" s="6">
        <f>-136.8-M84-L84-K84</f>
        <v>-0.20000000000002416</v>
      </c>
      <c r="O84" s="6">
        <v>-1.1000000000000001</v>
      </c>
      <c r="P84" s="6">
        <v>-1.9</v>
      </c>
      <c r="Q84" s="6"/>
      <c r="R84" s="6"/>
      <c r="S84" s="6"/>
      <c r="T84" s="6"/>
      <c r="U84" s="6"/>
      <c r="V84" s="6"/>
      <c r="W84" s="6"/>
      <c r="AB84" s="6"/>
      <c r="AC84" s="6"/>
      <c r="AD84" s="6"/>
      <c r="AE84" s="6"/>
      <c r="AI84" s="6"/>
      <c r="AJ84" s="6"/>
      <c r="AK84" s="6"/>
    </row>
    <row r="85" spans="2:37" s="2" customFormat="1" x14ac:dyDescent="0.2">
      <c r="B85" s="2" t="s">
        <v>48</v>
      </c>
      <c r="C85" s="6"/>
      <c r="D85" s="6"/>
      <c r="E85" s="6"/>
      <c r="F85" s="6"/>
      <c r="G85" s="6"/>
      <c r="H85" s="6"/>
      <c r="I85" s="6"/>
      <c r="J85" s="6"/>
      <c r="K85" s="6">
        <f>SUM(K82:K84)</f>
        <v>169.30000000000004</v>
      </c>
      <c r="L85" s="6">
        <f>SUM(L82:L84)</f>
        <v>1034.3999999999999</v>
      </c>
      <c r="M85" s="6">
        <f>SUM(M82:M84)</f>
        <v>0</v>
      </c>
      <c r="N85" s="6">
        <f>SUM(N82:N84)</f>
        <v>-3.1000000000000014</v>
      </c>
      <c r="O85" s="6">
        <f>O84</f>
        <v>-1.1000000000000001</v>
      </c>
      <c r="P85" s="6">
        <f>P84</f>
        <v>-1.9</v>
      </c>
      <c r="Q85" s="6"/>
      <c r="R85" s="6"/>
      <c r="S85" s="6"/>
      <c r="T85" s="6"/>
      <c r="U85" s="6"/>
      <c r="V85" s="6"/>
      <c r="W85" s="6"/>
      <c r="AB85" s="6"/>
      <c r="AC85" s="6"/>
      <c r="AD85" s="6"/>
      <c r="AE85" s="6"/>
      <c r="AI85" s="6"/>
      <c r="AJ85" s="6"/>
      <c r="AK85" s="6"/>
    </row>
    <row r="86" spans="2:37" s="2" customFormat="1" x14ac:dyDescent="0.2">
      <c r="B86" s="2" t="s">
        <v>49</v>
      </c>
      <c r="C86" s="6"/>
      <c r="D86" s="6"/>
      <c r="E86" s="6"/>
      <c r="F86" s="6"/>
      <c r="G86" s="6"/>
      <c r="H86" s="6"/>
      <c r="I86" s="6"/>
      <c r="J86" s="6"/>
      <c r="K86" s="6">
        <v>0</v>
      </c>
      <c r="L86" s="6">
        <f>-4.5-K86</f>
        <v>-4.5</v>
      </c>
      <c r="M86" s="6">
        <f>-5.5-L86-K86</f>
        <v>-1</v>
      </c>
      <c r="N86" s="6">
        <f>-16.6-M86-L86-K86</f>
        <v>-11.100000000000001</v>
      </c>
      <c r="O86" s="6">
        <v>2.6</v>
      </c>
      <c r="P86" s="6">
        <v>-1.2</v>
      </c>
      <c r="Q86" s="6"/>
      <c r="R86" s="6"/>
      <c r="S86" s="6"/>
      <c r="T86" s="6"/>
      <c r="U86" s="6"/>
      <c r="V86" s="6"/>
      <c r="W86" s="6"/>
      <c r="AB86" s="6"/>
      <c r="AC86" s="6"/>
      <c r="AD86" s="6"/>
      <c r="AE86" s="6"/>
      <c r="AI86" s="6"/>
      <c r="AJ86" s="6"/>
      <c r="AK86" s="6"/>
    </row>
    <row r="87" spans="2:37" s="2" customFormat="1" x14ac:dyDescent="0.2">
      <c r="B87" s="2" t="s">
        <v>50</v>
      </c>
      <c r="C87" s="6"/>
      <c r="D87" s="6"/>
      <c r="E87" s="6"/>
      <c r="F87" s="6"/>
      <c r="G87" s="6"/>
      <c r="H87" s="6"/>
      <c r="I87" s="6"/>
      <c r="J87" s="6"/>
      <c r="K87" s="6">
        <f t="shared" ref="K87:P87" si="163">K85+K80+K75+K86</f>
        <v>135.80000000000007</v>
      </c>
      <c r="L87" s="6">
        <f t="shared" si="163"/>
        <v>1004.7999999999998</v>
      </c>
      <c r="M87" s="6">
        <f t="shared" si="163"/>
        <v>-307.00000000000006</v>
      </c>
      <c r="N87" s="6">
        <f t="shared" si="163"/>
        <v>-148.7999999999999</v>
      </c>
      <c r="O87" s="6">
        <f t="shared" si="163"/>
        <v>-236.30000000000004</v>
      </c>
      <c r="P87" s="6">
        <f t="shared" si="163"/>
        <v>-126.59999999999998</v>
      </c>
      <c r="Q87" s="6"/>
      <c r="R87" s="6"/>
      <c r="S87" s="6"/>
      <c r="T87" s="6"/>
      <c r="U87" s="6"/>
      <c r="V87" s="6"/>
      <c r="W87" s="6"/>
      <c r="AB87" s="6"/>
      <c r="AC87" s="6"/>
      <c r="AD87" s="6"/>
      <c r="AE87" s="6"/>
      <c r="AI87" s="6"/>
      <c r="AJ87" s="6"/>
      <c r="AK87" s="6"/>
    </row>
    <row r="88" spans="2:37" s="2" customFormat="1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AB88" s="6"/>
      <c r="AC88" s="6"/>
      <c r="AD88" s="6"/>
      <c r="AE88" s="6"/>
      <c r="AI88" s="6"/>
      <c r="AJ88" s="6"/>
      <c r="AK88" s="6"/>
    </row>
    <row r="89" spans="2:37" s="2" customFormat="1" x14ac:dyDescent="0.2">
      <c r="B89" s="2" t="s">
        <v>83</v>
      </c>
      <c r="C89" s="6"/>
      <c r="D89" s="6"/>
      <c r="E89" s="6"/>
      <c r="F89" s="6"/>
      <c r="G89" s="6"/>
      <c r="H89" s="6"/>
      <c r="I89" s="6"/>
      <c r="J89" s="6"/>
      <c r="K89" s="6">
        <f>K75+K77</f>
        <v>-33.5</v>
      </c>
      <c r="L89" s="6">
        <f>L75+L77</f>
        <v>-25.000000000000014</v>
      </c>
      <c r="M89" s="6">
        <f t="shared" ref="M89:P89" si="164">M75+M77</f>
        <v>-305.70000000000005</v>
      </c>
      <c r="N89" s="6">
        <f t="shared" si="164"/>
        <v>-132.1999999999999</v>
      </c>
      <c r="O89" s="6">
        <f t="shared" si="164"/>
        <v>-227.00000000000003</v>
      </c>
      <c r="P89" s="6">
        <f t="shared" si="164"/>
        <v>-123.89999999999998</v>
      </c>
      <c r="Q89" s="6"/>
      <c r="R89" s="6"/>
      <c r="S89" s="6"/>
      <c r="T89" s="6"/>
      <c r="U89" s="6"/>
      <c r="V89" s="6"/>
      <c r="W89" s="6"/>
      <c r="AB89" s="6"/>
      <c r="AC89" s="6"/>
      <c r="AD89" s="6"/>
      <c r="AE89" s="6"/>
      <c r="AF89" s="13">
        <f>AF75-AF77</f>
        <v>321.50000000000011</v>
      </c>
      <c r="AG89" s="13">
        <f>AG75-AG77</f>
        <v>231.39999999999992</v>
      </c>
      <c r="AH89" s="13">
        <f t="shared" ref="AH89:AJ89" si="165">AH75-AH77</f>
        <v>-492.99999999999983</v>
      </c>
      <c r="AI89" s="13">
        <f t="shared" si="165"/>
        <v>63.69999999999996</v>
      </c>
      <c r="AJ89" s="13">
        <f t="shared" si="165"/>
        <v>-496.30000000000007</v>
      </c>
      <c r="AK89" s="6"/>
    </row>
    <row r="90" spans="2:37" s="2" customFormat="1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P90" s="6"/>
      <c r="Q90" s="6"/>
      <c r="R90" s="6"/>
      <c r="S90" s="6"/>
      <c r="T90" s="6"/>
      <c r="U90" s="6"/>
      <c r="V90" s="6"/>
      <c r="W90" s="6"/>
      <c r="AB90" s="6"/>
      <c r="AC90" s="6"/>
      <c r="AD90" s="6"/>
      <c r="AE90" s="6"/>
      <c r="AI90" s="6"/>
      <c r="AJ90" s="6"/>
      <c r="AK90" s="6"/>
    </row>
    <row r="91" spans="2:37" s="2" customFormat="1" x14ac:dyDescent="0.2">
      <c r="B91" s="2" t="s">
        <v>79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>
        <v>163.1</v>
      </c>
      <c r="O91" s="6">
        <v>150</v>
      </c>
      <c r="P91" s="6"/>
      <c r="Q91" s="6"/>
      <c r="R91" s="6"/>
      <c r="S91" s="6"/>
      <c r="T91" s="6"/>
      <c r="U91" s="6"/>
      <c r="V91" s="6"/>
      <c r="W91" s="6"/>
      <c r="AB91" s="6"/>
      <c r="AC91" s="6"/>
      <c r="AD91" s="6"/>
      <c r="AE91" s="6"/>
      <c r="AI91" s="6"/>
      <c r="AJ91" s="6"/>
      <c r="AK91" s="6"/>
    </row>
    <row r="92" spans="2:37" s="2" customFormat="1" x14ac:dyDescent="0.2">
      <c r="B92" s="2" t="s">
        <v>66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>
        <v>590.29999999999995</v>
      </c>
      <c r="O92" s="6">
        <v>525.6</v>
      </c>
      <c r="P92" s="6"/>
      <c r="Q92" s="6"/>
      <c r="R92" s="6"/>
      <c r="S92" s="6"/>
      <c r="T92" s="6"/>
      <c r="U92" s="6"/>
      <c r="V92" s="6"/>
      <c r="W92" s="6"/>
      <c r="AB92" s="6"/>
      <c r="AC92" s="6"/>
      <c r="AD92" s="6"/>
      <c r="AE92" s="6"/>
      <c r="AI92" s="6"/>
      <c r="AJ92" s="6"/>
      <c r="AK92" s="6"/>
    </row>
    <row r="93" spans="2:37" s="2" customFormat="1" x14ac:dyDescent="0.2">
      <c r="B93" s="2" t="s">
        <v>76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>
        <v>977.1</v>
      </c>
      <c r="O93" s="6">
        <v>810.4</v>
      </c>
      <c r="P93" s="6"/>
      <c r="Q93" s="6"/>
      <c r="R93" s="6"/>
      <c r="S93" s="6"/>
      <c r="T93" s="6"/>
      <c r="U93" s="6"/>
      <c r="V93" s="6"/>
      <c r="W93" s="6"/>
      <c r="AB93" s="6"/>
      <c r="AC93" s="6"/>
      <c r="AD93" s="6"/>
      <c r="AE93" s="6"/>
      <c r="AI93" s="6"/>
      <c r="AJ93" s="6"/>
      <c r="AK93" s="6"/>
    </row>
    <row r="94" spans="2:37" s="2" customFormat="1" x14ac:dyDescent="0.2">
      <c r="B94" s="2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>
        <v>255</v>
      </c>
      <c r="O94" s="6">
        <v>312.5</v>
      </c>
      <c r="P94" s="6"/>
      <c r="Q94" s="6"/>
      <c r="R94" s="6"/>
      <c r="S94" s="6"/>
      <c r="T94" s="6"/>
      <c r="U94" s="6"/>
      <c r="V94" s="6"/>
      <c r="W94" s="6"/>
      <c r="AB94" s="6"/>
      <c r="AC94" s="6"/>
      <c r="AD94" s="6"/>
      <c r="AE94" s="6"/>
      <c r="AI94" s="6"/>
      <c r="AJ94" s="6"/>
      <c r="AK94" s="6"/>
    </row>
    <row r="95" spans="2:37" x14ac:dyDescent="0.2">
      <c r="B95" s="2" t="s">
        <v>78</v>
      </c>
      <c r="N95" s="6">
        <v>162.4</v>
      </c>
      <c r="O95" s="6">
        <v>171.6</v>
      </c>
    </row>
    <row r="96" spans="2:37" x14ac:dyDescent="0.2">
      <c r="B96" s="2" t="s">
        <v>67</v>
      </c>
      <c r="N96" s="6">
        <v>208.2</v>
      </c>
      <c r="O96" s="6">
        <v>233.3</v>
      </c>
    </row>
    <row r="97" spans="2:15" x14ac:dyDescent="0.2">
      <c r="B97" s="2" t="s">
        <v>41</v>
      </c>
      <c r="N97" s="6">
        <v>128.80000000000001</v>
      </c>
      <c r="O97" s="6">
        <v>104.7</v>
      </c>
    </row>
    <row r="98" spans="2:15" x14ac:dyDescent="0.2">
      <c r="B98" s="2" t="s">
        <v>80</v>
      </c>
      <c r="N98" s="6">
        <f>SUM(N91:N97)</f>
        <v>2484.9</v>
      </c>
      <c r="O98" s="6">
        <f>SUM(O91:O97)</f>
        <v>2308.1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2023-03-19T13:14:18Z</dcterms:modified>
</cp:coreProperties>
</file>