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13ED1B66-43DD-49B0-8B0C-E4A71EEF5369}" xr6:coauthVersionLast="47" xr6:coauthVersionMax="47" xr10:uidLastSave="{00000000-0000-0000-0000-000000000000}"/>
  <bookViews>
    <workbookView xWindow="-50895" yWindow="855" windowWidth="22605" windowHeight="19425" activeTab="1" xr2:uid="{AF5D6250-CC2E-478D-A72E-6EAEA79B8F65}"/>
  </bookViews>
  <sheets>
    <sheet name="Main" sheetId="1" r:id="rId1"/>
    <sheet name="Model" sheetId="2" r:id="rId2"/>
    <sheet name="Legac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F35" i="2" l="1"/>
  <c r="R82" i="2"/>
  <c r="R91" i="2"/>
  <c r="Q91" i="2"/>
  <c r="R90" i="2"/>
  <c r="Q90" i="2"/>
  <c r="Q88" i="2"/>
  <c r="Q86" i="2"/>
  <c r="R86" i="2"/>
  <c r="R88" i="2" s="1"/>
  <c r="R79" i="2"/>
  <c r="Q79" i="2"/>
  <c r="R77" i="2"/>
  <c r="R73" i="2"/>
  <c r="R72" i="2"/>
  <c r="R66" i="2"/>
  <c r="R58" i="2"/>
  <c r="R59" i="2"/>
  <c r="R56" i="2"/>
  <c r="R51" i="2"/>
  <c r="R53" i="2" s="1"/>
  <c r="R45" i="2"/>
  <c r="R35" i="2"/>
  <c r="R22" i="2"/>
  <c r="R21" i="2"/>
  <c r="AY103" i="2"/>
  <c r="AY99" i="2"/>
  <c r="AY98" i="2"/>
  <c r="AY97" i="2"/>
  <c r="AD39" i="2"/>
  <c r="AC39" i="2"/>
  <c r="AB39" i="2"/>
  <c r="AA39" i="2"/>
  <c r="Z39" i="2"/>
  <c r="Y39" i="2"/>
  <c r="AD38" i="2"/>
  <c r="AC38" i="2"/>
  <c r="AB38" i="2"/>
  <c r="AA38" i="2"/>
  <c r="Z38" i="2"/>
  <c r="Y38" i="2"/>
  <c r="AM39" i="2"/>
  <c r="AL39" i="2"/>
  <c r="AK39" i="2"/>
  <c r="AJ39" i="2"/>
  <c r="AI39" i="2"/>
  <c r="AH39" i="2"/>
  <c r="AG39" i="2"/>
  <c r="AF39" i="2"/>
  <c r="AE39" i="2"/>
  <c r="AM38" i="2"/>
  <c r="AL38" i="2"/>
  <c r="AK38" i="2"/>
  <c r="AJ38" i="2"/>
  <c r="AI38" i="2"/>
  <c r="AH38" i="2"/>
  <c r="AG38" i="2"/>
  <c r="AF38" i="2"/>
  <c r="AE38" i="2"/>
  <c r="AW39" i="2"/>
  <c r="AV39" i="2"/>
  <c r="AU39" i="2"/>
  <c r="AT39" i="2"/>
  <c r="AS39" i="2"/>
  <c r="AR39" i="2"/>
  <c r="AQ39" i="2"/>
  <c r="AP39" i="2"/>
  <c r="AO39" i="2"/>
  <c r="AN39" i="2"/>
  <c r="AW38" i="2"/>
  <c r="AV38" i="2"/>
  <c r="AU38" i="2"/>
  <c r="AT38" i="2"/>
  <c r="AS38" i="2"/>
  <c r="AR38" i="2"/>
  <c r="AQ38" i="2"/>
  <c r="AP38" i="2"/>
  <c r="AO38" i="2"/>
  <c r="AN38" i="2"/>
  <c r="AY41" i="2"/>
  <c r="AY40" i="2"/>
  <c r="AY39" i="2"/>
  <c r="AX39" i="2"/>
  <c r="AY38" i="2"/>
  <c r="AX38" i="2"/>
  <c r="AZ35" i="2"/>
  <c r="AY35" i="2"/>
  <c r="AY32" i="2"/>
  <c r="AY31" i="2"/>
  <c r="AY29" i="2"/>
  <c r="AY26" i="2"/>
  <c r="AY27" i="2" s="1"/>
  <c r="AY21" i="2"/>
  <c r="AY22" i="2" s="1"/>
  <c r="AY18" i="2"/>
  <c r="AY96" i="2"/>
  <c r="AX103" i="2"/>
  <c r="AX35" i="2"/>
  <c r="AX32" i="2"/>
  <c r="AX31" i="2"/>
  <c r="AX29" i="2"/>
  <c r="AX27" i="2"/>
  <c r="AX26" i="2"/>
  <c r="AX22" i="2"/>
  <c r="AX98" i="2"/>
  <c r="AX99" i="2" s="1"/>
  <c r="AX97" i="2"/>
  <c r="AX96" i="2"/>
  <c r="AW103" i="2"/>
  <c r="AV103" i="2"/>
  <c r="AW99" i="2"/>
  <c r="AW98" i="2"/>
  <c r="AW97" i="2"/>
  <c r="AW62" i="2"/>
  <c r="AW64" i="2"/>
  <c r="AW59" i="2"/>
  <c r="AW58" i="2"/>
  <c r="AW56" i="2"/>
  <c r="AW53" i="2"/>
  <c r="AW51" i="2"/>
  <c r="AW48" i="2"/>
  <c r="AW45" i="2"/>
  <c r="AW44" i="2" s="1"/>
  <c r="AW35" i="2"/>
  <c r="AW32" i="2"/>
  <c r="AW31" i="2"/>
  <c r="AW29" i="2"/>
  <c r="AW27" i="2"/>
  <c r="AW26" i="2"/>
  <c r="AW22" i="2"/>
  <c r="AW96" i="2"/>
  <c r="AV99" i="2"/>
  <c r="AV98" i="2"/>
  <c r="AV97" i="2"/>
  <c r="AV64" i="2"/>
  <c r="AV62" i="2"/>
  <c r="AV59" i="2"/>
  <c r="AV56" i="2"/>
  <c r="AV53" i="2"/>
  <c r="AV51" i="2"/>
  <c r="AV48" i="2"/>
  <c r="AV45" i="2"/>
  <c r="AV44" i="2"/>
  <c r="AV35" i="2"/>
  <c r="AV32" i="2"/>
  <c r="AV31" i="2"/>
  <c r="AV29" i="2"/>
  <c r="AV27" i="2"/>
  <c r="AV26" i="2"/>
  <c r="AV22" i="2"/>
  <c r="AV96" i="2"/>
  <c r="AU103" i="2"/>
  <c r="AU98" i="2"/>
  <c r="AU99" i="2"/>
  <c r="AU97" i="2"/>
  <c r="AU64" i="2"/>
  <c r="AU62" i="2"/>
  <c r="AU59" i="2"/>
  <c r="AU56" i="2"/>
  <c r="AU53" i="2"/>
  <c r="AU51" i="2"/>
  <c r="AU48" i="2"/>
  <c r="AU45" i="2"/>
  <c r="AU44" i="2" s="1"/>
  <c r="AU35" i="2"/>
  <c r="AU32" i="2"/>
  <c r="AU31" i="2"/>
  <c r="AU29" i="2"/>
  <c r="AU27" i="2"/>
  <c r="AU26" i="2"/>
  <c r="AU22" i="2"/>
  <c r="AU96" i="2"/>
  <c r="AT103" i="2"/>
  <c r="AS103" i="2"/>
  <c r="AT99" i="2"/>
  <c r="AT98" i="2"/>
  <c r="AT97" i="2"/>
  <c r="AT64" i="2"/>
  <c r="AT62" i="2"/>
  <c r="AT60" i="2"/>
  <c r="AT59" i="2"/>
  <c r="AT51" i="2"/>
  <c r="AT52" i="2"/>
  <c r="AT53" i="2"/>
  <c r="AT48" i="2"/>
  <c r="AT45" i="2"/>
  <c r="AT44" i="2"/>
  <c r="AT35" i="2"/>
  <c r="AT32" i="2"/>
  <c r="AT31" i="2"/>
  <c r="AT29" i="2"/>
  <c r="AT27" i="2"/>
  <c r="AT26" i="2"/>
  <c r="AT22" i="2"/>
  <c r="AT96" i="2"/>
  <c r="AS99" i="2"/>
  <c r="AS98" i="2"/>
  <c r="AS97" i="2"/>
  <c r="AS64" i="2"/>
  <c r="AS62" i="2"/>
  <c r="AS59" i="2"/>
  <c r="AS56" i="2"/>
  <c r="AS53" i="2"/>
  <c r="AS51" i="2"/>
  <c r="AS48" i="2"/>
  <c r="AS45" i="2"/>
  <c r="AS44" i="2"/>
  <c r="AS35" i="2"/>
  <c r="AS32" i="2"/>
  <c r="AS31" i="2"/>
  <c r="AS29" i="2"/>
  <c r="AS26" i="2"/>
  <c r="AS27" i="2" s="1"/>
  <c r="AS22" i="2"/>
  <c r="AS96" i="2"/>
  <c r="AR103" i="2"/>
  <c r="AR99" i="2"/>
  <c r="AR98" i="2"/>
  <c r="AR97" i="2"/>
  <c r="AR64" i="2"/>
  <c r="AR62" i="2"/>
  <c r="AR56" i="2"/>
  <c r="AR59" i="2"/>
  <c r="AR58" i="2"/>
  <c r="AR44" i="2"/>
  <c r="AR55" i="2"/>
  <c r="AR53" i="2"/>
  <c r="AR52" i="2"/>
  <c r="AR51" i="2"/>
  <c r="AR48" i="2"/>
  <c r="AR45" i="2"/>
  <c r="AR35" i="2"/>
  <c r="AR32" i="2"/>
  <c r="AR31" i="2"/>
  <c r="AR29" i="2"/>
  <c r="AR27" i="2"/>
  <c r="AR26" i="2"/>
  <c r="AR22" i="2"/>
  <c r="AR96" i="2"/>
  <c r="AQ103" i="2"/>
  <c r="AQ99" i="2"/>
  <c r="AQ98" i="2"/>
  <c r="AQ97" i="2"/>
  <c r="AQ64" i="2"/>
  <c r="AQ62" i="2"/>
  <c r="AQ59" i="2"/>
  <c r="AQ45" i="2"/>
  <c r="AQ53" i="2"/>
  <c r="AQ52" i="2"/>
  <c r="AQ51" i="2"/>
  <c r="AQ48" i="2"/>
  <c r="AQ44" i="2"/>
  <c r="AQ32" i="2"/>
  <c r="AQ31" i="2"/>
  <c r="AQ29" i="2"/>
  <c r="AQ27" i="2"/>
  <c r="AQ26" i="2"/>
  <c r="AQ22" i="2"/>
  <c r="AQ35" i="2"/>
  <c r="AQ96" i="2"/>
  <c r="AP103" i="2"/>
  <c r="AO103" i="2"/>
  <c r="AP99" i="2"/>
  <c r="AP98" i="2"/>
  <c r="AP97" i="2"/>
  <c r="AP62" i="2"/>
  <c r="AP64" i="2"/>
  <c r="AP59" i="2"/>
  <c r="AP53" i="2"/>
  <c r="AP52" i="2"/>
  <c r="AP51" i="2"/>
  <c r="AP48" i="2"/>
  <c r="AP45" i="2"/>
  <c r="AP44" i="2"/>
  <c r="AP32" i="2"/>
  <c r="AP31" i="2"/>
  <c r="AP29" i="2"/>
  <c r="AP27" i="2"/>
  <c r="AP26" i="2"/>
  <c r="AP22" i="2"/>
  <c r="AP35" i="2"/>
  <c r="AP96" i="2"/>
  <c r="AO99" i="2"/>
  <c r="AO62" i="2"/>
  <c r="AO64" i="2"/>
  <c r="AO59" i="2"/>
  <c r="AO53" i="2"/>
  <c r="AO52" i="2"/>
  <c r="AO51" i="2"/>
  <c r="AO48" i="2"/>
  <c r="AO45" i="2"/>
  <c r="AO44" i="2" s="1"/>
  <c r="AO98" i="2" s="1"/>
  <c r="AO97" i="2"/>
  <c r="AO32" i="2"/>
  <c r="AO31" i="2"/>
  <c r="AO29" i="2"/>
  <c r="AO27" i="2"/>
  <c r="AO26" i="2"/>
  <c r="AO22" i="2"/>
  <c r="AO35" i="2"/>
  <c r="AO96" i="2"/>
  <c r="AN103" i="2"/>
  <c r="AM103" i="2"/>
  <c r="AL103" i="2"/>
  <c r="AN99" i="2"/>
  <c r="AN98" i="2"/>
  <c r="AN97" i="2"/>
  <c r="AN64" i="2"/>
  <c r="AN59" i="2"/>
  <c r="AN58" i="2"/>
  <c r="AN53" i="2"/>
  <c r="AN52" i="2"/>
  <c r="AN51" i="2"/>
  <c r="AN48" i="2"/>
  <c r="AN45" i="2"/>
  <c r="AN44" i="2"/>
  <c r="AN32" i="2"/>
  <c r="AN31" i="2"/>
  <c r="AN29" i="2"/>
  <c r="AN27" i="2"/>
  <c r="AN26" i="2"/>
  <c r="AN22" i="2"/>
  <c r="AN35" i="2"/>
  <c r="AN96" i="2"/>
  <c r="AM99" i="2"/>
  <c r="AM98" i="2"/>
  <c r="AM97" i="2"/>
  <c r="AM64" i="2"/>
  <c r="AM59" i="2"/>
  <c r="AM53" i="2"/>
  <c r="AM52" i="2"/>
  <c r="AM51" i="2"/>
  <c r="AM48" i="2"/>
  <c r="AM45" i="2"/>
  <c r="AM44" i="2" s="1"/>
  <c r="AM32" i="2"/>
  <c r="AM31" i="2"/>
  <c r="AM29" i="2"/>
  <c r="AM27" i="2"/>
  <c r="AM26" i="2"/>
  <c r="AM22" i="2"/>
  <c r="AM35" i="2"/>
  <c r="AM96" i="2"/>
  <c r="AL99" i="2"/>
  <c r="AL98" i="2"/>
  <c r="AL97" i="2"/>
  <c r="AL64" i="2"/>
  <c r="AL62" i="2"/>
  <c r="AL59" i="2"/>
  <c r="AL53" i="2"/>
  <c r="AL51" i="2"/>
  <c r="AL45" i="2"/>
  <c r="AL48" i="2"/>
  <c r="AL44" i="2"/>
  <c r="AL32" i="2"/>
  <c r="AL31" i="2"/>
  <c r="AL29" i="2"/>
  <c r="AL27" i="2"/>
  <c r="AL26" i="2"/>
  <c r="AL22" i="2"/>
  <c r="AL35" i="2"/>
  <c r="AL96" i="2"/>
  <c r="AK103" i="2"/>
  <c r="AK99" i="2"/>
  <c r="AK98" i="2"/>
  <c r="AK97" i="2"/>
  <c r="AK64" i="2"/>
  <c r="AK62" i="2"/>
  <c r="AK59" i="2"/>
  <c r="AK53" i="2"/>
  <c r="AK51" i="2"/>
  <c r="AK45" i="2"/>
  <c r="AK48" i="2"/>
  <c r="AK44" i="2"/>
  <c r="AK35" i="2"/>
  <c r="AK32" i="2"/>
  <c r="AK31" i="2"/>
  <c r="AK29" i="2"/>
  <c r="AK27" i="2"/>
  <c r="AK26" i="2"/>
  <c r="AK22" i="2"/>
  <c r="AK96" i="2"/>
  <c r="AF103" i="2"/>
  <c r="AE103" i="2"/>
  <c r="AD103" i="2"/>
  <c r="AJ103" i="2"/>
  <c r="AI103" i="2"/>
  <c r="AH103" i="2"/>
  <c r="AJ99" i="2"/>
  <c r="AJ98" i="2"/>
  <c r="AJ97" i="2"/>
  <c r="AJ62" i="2"/>
  <c r="AJ64" i="2" s="1"/>
  <c r="AJ53" i="2"/>
  <c r="AJ48" i="2"/>
  <c r="AJ45" i="2"/>
  <c r="AJ44" i="2"/>
  <c r="AJ32" i="2"/>
  <c r="AJ31" i="2"/>
  <c r="AJ29" i="2"/>
  <c r="AJ27" i="2"/>
  <c r="AJ26" i="2"/>
  <c r="AJ22" i="2"/>
  <c r="AJ35" i="2"/>
  <c r="AJ96" i="2"/>
  <c r="AI99" i="2"/>
  <c r="AI98" i="2"/>
  <c r="AI97" i="2"/>
  <c r="AI64" i="2"/>
  <c r="AI53" i="2"/>
  <c r="AI48" i="2"/>
  <c r="AI45" i="2"/>
  <c r="AI44" i="2"/>
  <c r="AI32" i="2"/>
  <c r="AI31" i="2"/>
  <c r="AI29" i="2"/>
  <c r="AI28" i="2"/>
  <c r="AI27" i="2"/>
  <c r="AI26" i="2"/>
  <c r="AI22" i="2"/>
  <c r="AI35" i="2"/>
  <c r="AI96" i="2"/>
  <c r="AG102" i="2"/>
  <c r="AG103" i="2"/>
  <c r="AC103" i="2"/>
  <c r="AC102" i="2"/>
  <c r="AH32" i="2"/>
  <c r="AH97" i="2"/>
  <c r="AH98" i="2" s="1"/>
  <c r="AH99" i="2" s="1"/>
  <c r="AH64" i="2"/>
  <c r="AH53" i="2"/>
  <c r="AH45" i="2"/>
  <c r="AH44" i="2"/>
  <c r="AH31" i="2"/>
  <c r="AH29" i="2"/>
  <c r="AH28" i="2"/>
  <c r="AH27" i="2"/>
  <c r="AH26" i="2"/>
  <c r="AH22" i="2"/>
  <c r="AH35" i="2"/>
  <c r="AH96" i="2"/>
  <c r="AG97" i="2"/>
  <c r="AG64" i="2"/>
  <c r="AG53" i="2"/>
  <c r="AG45" i="2"/>
  <c r="AG44" i="2"/>
  <c r="AG35" i="2"/>
  <c r="AG22" i="2"/>
  <c r="AG29" i="2"/>
  <c r="AG30" i="2"/>
  <c r="AG28" i="2"/>
  <c r="AG26" i="2"/>
  <c r="AG96" i="2"/>
  <c r="AF97" i="2"/>
  <c r="AF98" i="2" s="1"/>
  <c r="AF96" i="2"/>
  <c r="AF63" i="2"/>
  <c r="AF64" i="2"/>
  <c r="AF53" i="2"/>
  <c r="AF45" i="2"/>
  <c r="AF44" i="2"/>
  <c r="AF28" i="2"/>
  <c r="AF35" i="2"/>
  <c r="AF26" i="2"/>
  <c r="AF22" i="2"/>
  <c r="AE97" i="2"/>
  <c r="AE98" i="2" s="1"/>
  <c r="AE64" i="2"/>
  <c r="AE62" i="2"/>
  <c r="AE53" i="2"/>
  <c r="AE44" i="2"/>
  <c r="AE28" i="2"/>
  <c r="AE27" i="2"/>
  <c r="AE29" i="2" s="1"/>
  <c r="AE31" i="2" s="1"/>
  <c r="AE32" i="2" s="1"/>
  <c r="AE26" i="2"/>
  <c r="AE22" i="2"/>
  <c r="AC35" i="2"/>
  <c r="AE35" i="2"/>
  <c r="AE96" i="2"/>
  <c r="AD99" i="2"/>
  <c r="AD98" i="2"/>
  <c r="AD97" i="2"/>
  <c r="AD64" i="2"/>
  <c r="AD62" i="2"/>
  <c r="AD53" i="2"/>
  <c r="AD44" i="2"/>
  <c r="AD32" i="2"/>
  <c r="AD31" i="2"/>
  <c r="AD29" i="2"/>
  <c r="AD28" i="2"/>
  <c r="AD27" i="2"/>
  <c r="AD26" i="2"/>
  <c r="AD22" i="2"/>
  <c r="AD35" i="2"/>
  <c r="AD96" i="2"/>
  <c r="AC99" i="2"/>
  <c r="AC98" i="2"/>
  <c r="AC44" i="2"/>
  <c r="AC97" i="2"/>
  <c r="AC96" i="2"/>
  <c r="Z32" i="2"/>
  <c r="Y32" i="2"/>
  <c r="Z31" i="2"/>
  <c r="Y31" i="2"/>
  <c r="Z29" i="2"/>
  <c r="Y29" i="2"/>
  <c r="Z28" i="2"/>
  <c r="Y28" i="2"/>
  <c r="Z26" i="2"/>
  <c r="Z27" i="2" s="1"/>
  <c r="Y26" i="2"/>
  <c r="Y27" i="2" s="1"/>
  <c r="Z22" i="2"/>
  <c r="Y22" i="2"/>
  <c r="AC64" i="2"/>
  <c r="AC53" i="2"/>
  <c r="AC45" i="2"/>
  <c r="AA28" i="2"/>
  <c r="AA26" i="2"/>
  <c r="AA22" i="2"/>
  <c r="AB28" i="2"/>
  <c r="AB26" i="2"/>
  <c r="AB22" i="2"/>
  <c r="AC32" i="2"/>
  <c r="AC31" i="2"/>
  <c r="AC29" i="2"/>
  <c r="AC28" i="2"/>
  <c r="AC27" i="2"/>
  <c r="AC26" i="2"/>
  <c r="AC22" i="2"/>
  <c r="AB35" i="2"/>
  <c r="AA35" i="2"/>
  <c r="Z35" i="2"/>
  <c r="Q58" i="2"/>
  <c r="Q59" i="2"/>
  <c r="Q56" i="2"/>
  <c r="Q51" i="2"/>
  <c r="Q45" i="2"/>
  <c r="Q44" i="2" s="1"/>
  <c r="Q21" i="2"/>
  <c r="Q18" i="2"/>
  <c r="Q41" i="2"/>
  <c r="BC41" i="2"/>
  <c r="BB41" i="2"/>
  <c r="BA41" i="2"/>
  <c r="BC40" i="2"/>
  <c r="BB40" i="2"/>
  <c r="BA40" i="2"/>
  <c r="AZ41" i="2"/>
  <c r="AZ40" i="2"/>
  <c r="R41" i="2"/>
  <c r="G41" i="2"/>
  <c r="F41" i="2"/>
  <c r="I40" i="2"/>
  <c r="H40" i="2"/>
  <c r="G40" i="2"/>
  <c r="F40" i="2"/>
  <c r="K41" i="2"/>
  <c r="J41" i="2"/>
  <c r="I41" i="2"/>
  <c r="H41" i="2"/>
  <c r="L40" i="2"/>
  <c r="K40" i="2"/>
  <c r="J40" i="2"/>
  <c r="O41" i="2"/>
  <c r="N41" i="2"/>
  <c r="M41" i="2"/>
  <c r="L41" i="2"/>
  <c r="P41" i="2"/>
  <c r="O40" i="2"/>
  <c r="N40" i="2"/>
  <c r="M40" i="2"/>
  <c r="P40" i="2"/>
  <c r="U16" i="2"/>
  <c r="T17" i="2"/>
  <c r="T16" i="2"/>
  <c r="T18" i="2" s="1"/>
  <c r="S16" i="2"/>
  <c r="S19" i="2" s="1"/>
  <c r="S17" i="2"/>
  <c r="S20" i="2" s="1"/>
  <c r="S41" i="2" s="1"/>
  <c r="T25" i="2"/>
  <c r="U24" i="2"/>
  <c r="T24" i="2"/>
  <c r="S24" i="2"/>
  <c r="T23" i="2"/>
  <c r="S23" i="2"/>
  <c r="S25" i="2"/>
  <c r="V17" i="2"/>
  <c r="V20" i="2" s="1"/>
  <c r="V41" i="2" s="1"/>
  <c r="V16" i="2"/>
  <c r="V19" i="2" s="1"/>
  <c r="Q14" i="2"/>
  <c r="Q13" i="2"/>
  <c r="Q12" i="2"/>
  <c r="P18" i="2"/>
  <c r="Q73" i="2"/>
  <c r="R64" i="2"/>
  <c r="R44" i="2"/>
  <c r="P83" i="2"/>
  <c r="P86" i="2" s="1"/>
  <c r="P77" i="2"/>
  <c r="P79" i="2" s="1"/>
  <c r="P72" i="2"/>
  <c r="P73" i="2" s="1"/>
  <c r="P90" i="2" s="1"/>
  <c r="P59" i="2"/>
  <c r="P58" i="2"/>
  <c r="P56" i="2"/>
  <c r="P51" i="2"/>
  <c r="P45" i="2"/>
  <c r="P26" i="2"/>
  <c r="P21" i="2"/>
  <c r="O21" i="2"/>
  <c r="S33" i="2"/>
  <c r="T33" i="2" s="1"/>
  <c r="U33" i="2" s="1"/>
  <c r="V33" i="2" s="1"/>
  <c r="S28" i="2"/>
  <c r="T28" i="2" s="1"/>
  <c r="U28" i="2" s="1"/>
  <c r="V25" i="2"/>
  <c r="BF25" i="2"/>
  <c r="BG25" i="2" s="1"/>
  <c r="BH25" i="2" s="1"/>
  <c r="BI25" i="2" s="1"/>
  <c r="BJ25" i="2" s="1"/>
  <c r="BK25" i="2" s="1"/>
  <c r="BL25" i="2" s="1"/>
  <c r="BM25" i="2" s="1"/>
  <c r="V24" i="2"/>
  <c r="V23" i="2"/>
  <c r="O83" i="2"/>
  <c r="O86" i="2" s="1"/>
  <c r="O77" i="2"/>
  <c r="O79" i="2" s="1"/>
  <c r="O72" i="2"/>
  <c r="O73" i="2" s="1"/>
  <c r="O90" i="2" s="1"/>
  <c r="AG98" i="2" l="1"/>
  <c r="AG27" i="2"/>
  <c r="AG31" i="2" s="1"/>
  <c r="AG32" i="2" s="1"/>
  <c r="AF27" i="2"/>
  <c r="AF29" i="2" s="1"/>
  <c r="AF31" i="2" s="1"/>
  <c r="AF32" i="2" s="1"/>
  <c r="AE99" i="2"/>
  <c r="AA27" i="2"/>
  <c r="AA29" i="2"/>
  <c r="AA31" i="2" s="1"/>
  <c r="AA32" i="2" s="1"/>
  <c r="AB27" i="2"/>
  <c r="AB29" i="2" s="1"/>
  <c r="AB31" i="2" s="1"/>
  <c r="AB32" i="2" s="1"/>
  <c r="BF23" i="2"/>
  <c r="BG23" i="2" s="1"/>
  <c r="BH23" i="2" s="1"/>
  <c r="BI23" i="2" s="1"/>
  <c r="BJ23" i="2" s="1"/>
  <c r="BK23" i="2" s="1"/>
  <c r="BL23" i="2" s="1"/>
  <c r="BM23" i="2" s="1"/>
  <c r="Q22" i="2"/>
  <c r="V26" i="2"/>
  <c r="BF24" i="2"/>
  <c r="BG24" i="2" s="1"/>
  <c r="BH24" i="2" s="1"/>
  <c r="BI24" i="2" s="1"/>
  <c r="BJ24" i="2" s="1"/>
  <c r="BK24" i="2" s="1"/>
  <c r="BL24" i="2" s="1"/>
  <c r="BM24" i="2" s="1"/>
  <c r="V18" i="2"/>
  <c r="V22" i="2" s="1"/>
  <c r="V38" i="2" s="1"/>
  <c r="Q53" i="2"/>
  <c r="BF19" i="2"/>
  <c r="Q64" i="2"/>
  <c r="T20" i="2"/>
  <c r="T41" i="2" s="1"/>
  <c r="T19" i="2"/>
  <c r="T40" i="2" s="1"/>
  <c r="S40" i="2"/>
  <c r="BF33" i="2"/>
  <c r="BG33" i="2"/>
  <c r="BH33" i="2" s="1"/>
  <c r="BI33" i="2" s="1"/>
  <c r="BJ33" i="2" s="1"/>
  <c r="BK33" i="2" s="1"/>
  <c r="BL33" i="2" s="1"/>
  <c r="BM33" i="2" s="1"/>
  <c r="U19" i="2"/>
  <c r="U40" i="2" s="1"/>
  <c r="U17" i="2"/>
  <c r="U18" i="2" s="1"/>
  <c r="U22" i="2" s="1"/>
  <c r="U38" i="2" s="1"/>
  <c r="BF20" i="2"/>
  <c r="BF21" i="2" s="1"/>
  <c r="V40" i="2"/>
  <c r="T26" i="2"/>
  <c r="Q40" i="2"/>
  <c r="U23" i="2"/>
  <c r="BF16" i="2"/>
  <c r="S18" i="2"/>
  <c r="S22" i="2" s="1"/>
  <c r="BF17" i="2"/>
  <c r="S26" i="2"/>
  <c r="Q38" i="2"/>
  <c r="T22" i="2"/>
  <c r="T35" i="2"/>
  <c r="U25" i="2"/>
  <c r="R18" i="2"/>
  <c r="R38" i="2" s="1"/>
  <c r="V28" i="2"/>
  <c r="P44" i="2"/>
  <c r="R26" i="2"/>
  <c r="Q26" i="2"/>
  <c r="P53" i="2"/>
  <c r="P64" i="2"/>
  <c r="P22" i="2"/>
  <c r="P88" i="2"/>
  <c r="O88" i="2"/>
  <c r="O59" i="2"/>
  <c r="O37" i="2" s="1"/>
  <c r="O58" i="2"/>
  <c r="O56" i="2"/>
  <c r="O51" i="2"/>
  <c r="O45" i="2"/>
  <c r="M44" i="2"/>
  <c r="O26" i="2"/>
  <c r="O18" i="2"/>
  <c r="F26" i="2"/>
  <c r="F21" i="2"/>
  <c r="F18" i="2"/>
  <c r="AZ26" i="2"/>
  <c r="AZ21" i="2"/>
  <c r="AZ18" i="2"/>
  <c r="BA26" i="2"/>
  <c r="BA21" i="2"/>
  <c r="BA18" i="2"/>
  <c r="BG2" i="2"/>
  <c r="BH2" i="2" s="1"/>
  <c r="BI2" i="2" s="1"/>
  <c r="BJ2" i="2" s="1"/>
  <c r="BK2" i="2" s="1"/>
  <c r="BL2" i="2" s="1"/>
  <c r="BM2" i="2" s="1"/>
  <c r="BE30" i="2"/>
  <c r="BE28" i="2"/>
  <c r="BE33" i="2"/>
  <c r="BD33" i="2"/>
  <c r="BD30" i="2"/>
  <c r="BD28" i="2"/>
  <c r="BC26" i="2"/>
  <c r="BB26" i="2"/>
  <c r="BC21" i="2"/>
  <c r="BB21" i="2"/>
  <c r="BB18" i="2"/>
  <c r="BB35" i="2" s="1"/>
  <c r="BC18" i="2"/>
  <c r="BD2" i="2"/>
  <c r="BE2" i="2"/>
  <c r="R2" i="2"/>
  <c r="Q2" i="2"/>
  <c r="P2" i="2"/>
  <c r="T2" i="2" s="1"/>
  <c r="O2" i="2"/>
  <c r="S2" i="2" s="1"/>
  <c r="BD25" i="2"/>
  <c r="BD24" i="2"/>
  <c r="BD23" i="2"/>
  <c r="BE25" i="2"/>
  <c r="BE24" i="2"/>
  <c r="BE23" i="2"/>
  <c r="BE20" i="2"/>
  <c r="BE19" i="2"/>
  <c r="BD20" i="2"/>
  <c r="BD19" i="2"/>
  <c r="BD12" i="2"/>
  <c r="BD13" i="2"/>
  <c r="BD14" i="2"/>
  <c r="BD17" i="2"/>
  <c r="BD41" i="2" s="1"/>
  <c r="BD16" i="2"/>
  <c r="BD40" i="2" s="1"/>
  <c r="BE17" i="2"/>
  <c r="BE41" i="2" s="1"/>
  <c r="BE16" i="2"/>
  <c r="BE40" i="2" s="1"/>
  <c r="BE14" i="2"/>
  <c r="BE13" i="2"/>
  <c r="BE12" i="2"/>
  <c r="N9" i="2"/>
  <c r="N83" i="2"/>
  <c r="N86" i="2" s="1"/>
  <c r="N77" i="2"/>
  <c r="N79" i="2" s="1"/>
  <c r="N72" i="2"/>
  <c r="N73" i="2" s="1"/>
  <c r="N90" i="2" s="1"/>
  <c r="N58" i="2"/>
  <c r="N59" i="2"/>
  <c r="N56" i="2"/>
  <c r="N45" i="2"/>
  <c r="N44" i="2" s="1"/>
  <c r="BE44" i="2" s="1"/>
  <c r="BF28" i="2" s="1"/>
  <c r="N51" i="2"/>
  <c r="N26" i="2"/>
  <c r="K83" i="2"/>
  <c r="K86" i="2" s="1"/>
  <c r="K77" i="2"/>
  <c r="K79" i="2" s="1"/>
  <c r="K72" i="2"/>
  <c r="K73" i="2" s="1"/>
  <c r="K90" i="2" s="1"/>
  <c r="K59" i="2"/>
  <c r="K58" i="2"/>
  <c r="K56" i="2"/>
  <c r="K51" i="2"/>
  <c r="K45" i="2"/>
  <c r="L83" i="2"/>
  <c r="L86" i="2" s="1"/>
  <c r="L77" i="2"/>
  <c r="L79" i="2" s="1"/>
  <c r="L72" i="2"/>
  <c r="L73" i="2" s="1"/>
  <c r="L90" i="2" s="1"/>
  <c r="L59" i="2"/>
  <c r="P37" i="2" s="1"/>
  <c r="L58" i="2"/>
  <c r="L56" i="2"/>
  <c r="L51" i="2"/>
  <c r="L45" i="2"/>
  <c r="M83" i="2"/>
  <c r="M86" i="2" s="1"/>
  <c r="M77" i="2"/>
  <c r="M79" i="2" s="1"/>
  <c r="M72" i="2"/>
  <c r="M73" i="2" s="1"/>
  <c r="M90" i="2" s="1"/>
  <c r="M58" i="2"/>
  <c r="M59" i="2"/>
  <c r="Q37" i="2" s="1"/>
  <c r="M56" i="2"/>
  <c r="M51" i="2"/>
  <c r="M45" i="2"/>
  <c r="L4" i="1"/>
  <c r="L7" i="1" s="1"/>
  <c r="L26" i="2"/>
  <c r="K26" i="2"/>
  <c r="J26" i="2"/>
  <c r="I26" i="2"/>
  <c r="H26" i="2"/>
  <c r="G26" i="2"/>
  <c r="M26" i="2"/>
  <c r="N21" i="2"/>
  <c r="N18" i="2"/>
  <c r="G18" i="2"/>
  <c r="H21" i="2"/>
  <c r="G21" i="2"/>
  <c r="M21" i="2"/>
  <c r="L21" i="2"/>
  <c r="K21" i="2"/>
  <c r="J21" i="2"/>
  <c r="I21" i="2"/>
  <c r="L18" i="2"/>
  <c r="P35" i="2" s="1"/>
  <c r="K18" i="2"/>
  <c r="J18" i="2"/>
  <c r="I18" i="2"/>
  <c r="H18" i="2"/>
  <c r="M18" i="2"/>
  <c r="Q35" i="2" s="1"/>
  <c r="BF40" i="2" l="1"/>
  <c r="R40" i="2"/>
  <c r="AG99" i="2"/>
  <c r="AF99" i="2"/>
  <c r="U35" i="2"/>
  <c r="T27" i="2"/>
  <c r="T29" i="2" s="1"/>
  <c r="T30" i="2" s="1"/>
  <c r="T39" i="2" s="1"/>
  <c r="S35" i="2"/>
  <c r="V27" i="2"/>
  <c r="V29" i="2" s="1"/>
  <c r="V30" i="2" s="1"/>
  <c r="U26" i="2"/>
  <c r="V21" i="2"/>
  <c r="U20" i="2"/>
  <c r="U41" i="2" s="1"/>
  <c r="U21" i="2"/>
  <c r="BG16" i="2"/>
  <c r="U27" i="2"/>
  <c r="U29" i="2" s="1"/>
  <c r="U30" i="2" s="1"/>
  <c r="U39" i="2" s="1"/>
  <c r="BF41" i="2"/>
  <c r="R27" i="2"/>
  <c r="R29" i="2" s="1"/>
  <c r="R39" i="2" s="1"/>
  <c r="V35" i="2"/>
  <c r="S21" i="2"/>
  <c r="S38" i="2"/>
  <c r="T21" i="2"/>
  <c r="T38" i="2"/>
  <c r="S27" i="2"/>
  <c r="S29" i="2" s="1"/>
  <c r="S30" i="2" s="1"/>
  <c r="T31" i="2"/>
  <c r="T32" i="2" s="1"/>
  <c r="Q27" i="2"/>
  <c r="Q29" i="2" s="1"/>
  <c r="Q31" i="2" s="1"/>
  <c r="Q32" i="2" s="1"/>
  <c r="J35" i="2"/>
  <c r="BD21" i="2"/>
  <c r="L44" i="2"/>
  <c r="O35" i="2"/>
  <c r="O22" i="2"/>
  <c r="O38" i="2" s="1"/>
  <c r="O53" i="2"/>
  <c r="O44" i="2"/>
  <c r="K44" i="2"/>
  <c r="P38" i="2"/>
  <c r="P27" i="2"/>
  <c r="P29" i="2" s="1"/>
  <c r="P39" i="2" s="1"/>
  <c r="P91" i="2"/>
  <c r="O91" i="2"/>
  <c r="N91" i="2"/>
  <c r="O64" i="2"/>
  <c r="BA22" i="2"/>
  <c r="BA27" i="2" s="1"/>
  <c r="BA29" i="2" s="1"/>
  <c r="F22" i="2"/>
  <c r="F27" i="2" s="1"/>
  <c r="F29" i="2" s="1"/>
  <c r="AZ22" i="2"/>
  <c r="AZ27" i="2" s="1"/>
  <c r="AZ29" i="2" s="1"/>
  <c r="AZ31" i="2" s="1"/>
  <c r="AZ32" i="2" s="1"/>
  <c r="BA35" i="2"/>
  <c r="BE26" i="2"/>
  <c r="BC35" i="2"/>
  <c r="BE18" i="2"/>
  <c r="BD26" i="2"/>
  <c r="BC22" i="2"/>
  <c r="BC38" i="2" s="1"/>
  <c r="BB22" i="2"/>
  <c r="BB38" i="2" s="1"/>
  <c r="BE21" i="2"/>
  <c r="BD18" i="2"/>
  <c r="N64" i="2"/>
  <c r="K64" i="2"/>
  <c r="N88" i="2"/>
  <c r="K53" i="2"/>
  <c r="N53" i="2"/>
  <c r="L35" i="2"/>
  <c r="K35" i="2"/>
  <c r="M64" i="2"/>
  <c r="K88" i="2"/>
  <c r="N35" i="2"/>
  <c r="L53" i="2"/>
  <c r="L88" i="2"/>
  <c r="G22" i="2"/>
  <c r="G38" i="2" s="1"/>
  <c r="L64" i="2"/>
  <c r="M22" i="2"/>
  <c r="M27" i="2" s="1"/>
  <c r="M29" i="2" s="1"/>
  <c r="I22" i="2"/>
  <c r="I38" i="2" s="1"/>
  <c r="M53" i="2"/>
  <c r="M88" i="2"/>
  <c r="M35" i="2"/>
  <c r="J22" i="2"/>
  <c r="J38" i="2" s="1"/>
  <c r="K22" i="2"/>
  <c r="K38" i="2" s="1"/>
  <c r="L22" i="2"/>
  <c r="L38" i="2" s="1"/>
  <c r="H22" i="2"/>
  <c r="N22" i="2"/>
  <c r="N38" i="2" s="1"/>
  <c r="AZ38" i="2" l="1"/>
  <c r="BB27" i="2"/>
  <c r="BB29" i="2" s="1"/>
  <c r="BD22" i="2"/>
  <c r="Q39" i="2"/>
  <c r="BH16" i="2"/>
  <c r="BG19" i="2"/>
  <c r="BG40" i="2" s="1"/>
  <c r="U31" i="2"/>
  <c r="U32" i="2" s="1"/>
  <c r="R31" i="2"/>
  <c r="S31" i="2"/>
  <c r="S32" i="2" s="1"/>
  <c r="S39" i="2"/>
  <c r="O27" i="2"/>
  <c r="O29" i="2" s="1"/>
  <c r="O39" i="2" s="1"/>
  <c r="V31" i="2"/>
  <c r="V32" i="2" s="1"/>
  <c r="V39" i="2"/>
  <c r="BA38" i="2"/>
  <c r="BH26" i="2"/>
  <c r="R32" i="2"/>
  <c r="BF26" i="2"/>
  <c r="BE22" i="2"/>
  <c r="BG26" i="2"/>
  <c r="P31" i="2"/>
  <c r="BE38" i="2"/>
  <c r="BE27" i="2"/>
  <c r="BE29" i="2" s="1"/>
  <c r="BE39" i="2" s="1"/>
  <c r="BC27" i="2"/>
  <c r="BC29" i="2" s="1"/>
  <c r="BC31" i="2" s="1"/>
  <c r="BC32" i="2" s="1"/>
  <c r="M38" i="2"/>
  <c r="F38" i="2"/>
  <c r="F39" i="2"/>
  <c r="F31" i="2"/>
  <c r="F32" i="2" s="1"/>
  <c r="AZ39" i="2"/>
  <c r="BA31" i="2"/>
  <c r="BA32" i="2" s="1"/>
  <c r="BA39" i="2"/>
  <c r="BD38" i="2"/>
  <c r="BD27" i="2"/>
  <c r="BD29" i="2" s="1"/>
  <c r="BB31" i="2"/>
  <c r="BB32" i="2" s="1"/>
  <c r="BB39" i="2"/>
  <c r="BF18" i="2"/>
  <c r="BF22" i="2" s="1"/>
  <c r="BG17" i="2"/>
  <c r="M31" i="2"/>
  <c r="M32" i="2" s="1"/>
  <c r="M39" i="2"/>
  <c r="BI26" i="2"/>
  <c r="BD35" i="2"/>
  <c r="BE35" i="2"/>
  <c r="N27" i="2"/>
  <c r="N29" i="2" s="1"/>
  <c r="I27" i="2"/>
  <c r="I29" i="2" s="1"/>
  <c r="G27" i="2"/>
  <c r="G29" i="2" s="1"/>
  <c r="H27" i="2"/>
  <c r="H29" i="2" s="1"/>
  <c r="H38" i="2"/>
  <c r="L27" i="2"/>
  <c r="L29" i="2" s="1"/>
  <c r="K27" i="2"/>
  <c r="K29" i="2" s="1"/>
  <c r="J27" i="2"/>
  <c r="J29" i="2" s="1"/>
  <c r="O31" i="2" l="1"/>
  <c r="BI16" i="2"/>
  <c r="BH19" i="2"/>
  <c r="BH40" i="2" s="1"/>
  <c r="BG20" i="2"/>
  <c r="BG41" i="2" s="1"/>
  <c r="BE31" i="2"/>
  <c r="BE32" i="2" s="1"/>
  <c r="Q66" i="2"/>
  <c r="BC39" i="2"/>
  <c r="P32" i="2"/>
  <c r="P66" i="2"/>
  <c r="O66" i="2"/>
  <c r="O32" i="2"/>
  <c r="N31" i="2"/>
  <c r="N66" i="2" s="1"/>
  <c r="N39" i="2"/>
  <c r="M66" i="2"/>
  <c r="G31" i="2"/>
  <c r="G32" i="2" s="1"/>
  <c r="G39" i="2"/>
  <c r="K31" i="2"/>
  <c r="K32" i="2" s="1"/>
  <c r="K39" i="2"/>
  <c r="H31" i="2"/>
  <c r="H32" i="2" s="1"/>
  <c r="H39" i="2"/>
  <c r="BG18" i="2"/>
  <c r="BH17" i="2"/>
  <c r="BD31" i="2"/>
  <c r="BD32" i="2" s="1"/>
  <c r="BD39" i="2"/>
  <c r="I31" i="2"/>
  <c r="I32" i="2" s="1"/>
  <c r="I39" i="2"/>
  <c r="J31" i="2"/>
  <c r="J32" i="2" s="1"/>
  <c r="J39" i="2"/>
  <c r="L31" i="2"/>
  <c r="L32" i="2" s="1"/>
  <c r="L39" i="2"/>
  <c r="BJ26" i="2"/>
  <c r="BJ16" i="2" l="1"/>
  <c r="BI19" i="2"/>
  <c r="BI40" i="2"/>
  <c r="BH20" i="2"/>
  <c r="BH41" i="2" s="1"/>
  <c r="BG22" i="2"/>
  <c r="BG21" i="2" s="1"/>
  <c r="K66" i="2"/>
  <c r="BG35" i="2"/>
  <c r="BF38" i="2"/>
  <c r="BF27" i="2"/>
  <c r="BF29" i="2" s="1"/>
  <c r="BI17" i="2"/>
  <c r="BH18" i="2"/>
  <c r="L66" i="2"/>
  <c r="N32" i="2"/>
  <c r="BK26" i="2"/>
  <c r="BK16" i="2" l="1"/>
  <c r="BJ19" i="2"/>
  <c r="BJ40" i="2"/>
  <c r="BH22" i="2"/>
  <c r="BH21" i="2" s="1"/>
  <c r="BI20" i="2"/>
  <c r="BI41" i="2" s="1"/>
  <c r="BF30" i="2"/>
  <c r="BF39" i="2" s="1"/>
  <c r="BH35" i="2"/>
  <c r="BG27" i="2"/>
  <c r="BG38" i="2"/>
  <c r="BJ17" i="2"/>
  <c r="BI18" i="2"/>
  <c r="BI22" i="2" s="1"/>
  <c r="BM26" i="2"/>
  <c r="BL26" i="2"/>
  <c r="BL16" i="2" l="1"/>
  <c r="BK19" i="2"/>
  <c r="BK40" i="2" s="1"/>
  <c r="BJ20" i="2"/>
  <c r="BJ41" i="2"/>
  <c r="BF31" i="2"/>
  <c r="BI35" i="2"/>
  <c r="BK17" i="2"/>
  <c r="BJ18" i="2"/>
  <c r="BJ22" i="2" s="1"/>
  <c r="BH38" i="2"/>
  <c r="BH27" i="2"/>
  <c r="BM16" i="2" l="1"/>
  <c r="BL19" i="2"/>
  <c r="BL40" i="2"/>
  <c r="BK20" i="2"/>
  <c r="BK41" i="2" s="1"/>
  <c r="BF44" i="2"/>
  <c r="BG28" i="2" s="1"/>
  <c r="BG29" i="2" s="1"/>
  <c r="BG30" i="2" s="1"/>
  <c r="BG39" i="2" s="1"/>
  <c r="BF32" i="2"/>
  <c r="BJ35" i="2"/>
  <c r="BL17" i="2"/>
  <c r="BK18" i="2"/>
  <c r="BK22" i="2" s="1"/>
  <c r="BI21" i="2"/>
  <c r="BI38" i="2"/>
  <c r="BI27" i="2"/>
  <c r="BG31" i="2" l="1"/>
  <c r="BG32" i="2" s="1"/>
  <c r="BM19" i="2"/>
  <c r="BM40" i="2" s="1"/>
  <c r="BL20" i="2"/>
  <c r="BL41" i="2" s="1"/>
  <c r="BK35" i="2"/>
  <c r="BJ38" i="2"/>
  <c r="BJ27" i="2"/>
  <c r="BJ21" i="2"/>
  <c r="BM17" i="2"/>
  <c r="BL18" i="2"/>
  <c r="BL22" i="2" s="1"/>
  <c r="BG44" i="2" l="1"/>
  <c r="BH28" i="2" s="1"/>
  <c r="BH29" i="2" s="1"/>
  <c r="BH30" i="2" s="1"/>
  <c r="BH39" i="2" s="1"/>
  <c r="BM18" i="2"/>
  <c r="BM22" i="2" s="1"/>
  <c r="BM20" i="2"/>
  <c r="BM41" i="2"/>
  <c r="BL35" i="2"/>
  <c r="BK27" i="2"/>
  <c r="BK21" i="2"/>
  <c r="BK38" i="2"/>
  <c r="BM35" i="2" l="1"/>
  <c r="BH31" i="2"/>
  <c r="BH44" i="2" s="1"/>
  <c r="BM38" i="2"/>
  <c r="BM21" i="2"/>
  <c r="BM27" i="2"/>
  <c r="BL21" i="2"/>
  <c r="BL38" i="2"/>
  <c r="BL27" i="2"/>
  <c r="BH32" i="2" l="1"/>
  <c r="BI28" i="2"/>
  <c r="BI29" i="2" s="1"/>
  <c r="BI30" i="2" l="1"/>
  <c r="BI39" i="2" s="1"/>
  <c r="BI31" i="2" l="1"/>
  <c r="BI44" i="2" l="1"/>
  <c r="BJ28" i="2" s="1"/>
  <c r="BJ29" i="2" s="1"/>
  <c r="BI32" i="2"/>
  <c r="BJ30" i="2" l="1"/>
  <c r="BJ39" i="2" s="1"/>
  <c r="BJ31" i="2" l="1"/>
  <c r="BJ32" i="2" l="1"/>
  <c r="BJ44" i="2"/>
  <c r="BK28" i="2"/>
  <c r="BK29" i="2" s="1"/>
  <c r="BK30" i="2" l="1"/>
  <c r="BK39" i="2" s="1"/>
  <c r="BK31" i="2" l="1"/>
  <c r="BK32" i="2" l="1"/>
  <c r="BK44" i="2"/>
  <c r="BL28" i="2" s="1"/>
  <c r="BL29" i="2" s="1"/>
  <c r="BL30" i="2" l="1"/>
  <c r="BL39" i="2" s="1"/>
  <c r="BL31" i="2" l="1"/>
  <c r="BL32" i="2" l="1"/>
  <c r="BL44" i="2"/>
  <c r="BM28" i="2" s="1"/>
  <c r="BM29" i="2" s="1"/>
  <c r="BM30" i="2" l="1"/>
  <c r="BM39" i="2" s="1"/>
  <c r="BM31" i="2" l="1"/>
  <c r="BN31" i="2" s="1"/>
  <c r="BO31" i="2" s="1"/>
  <c r="BP31" i="2" s="1"/>
  <c r="BQ31" i="2" s="1"/>
  <c r="BR31" i="2" s="1"/>
  <c r="BS31" i="2" s="1"/>
  <c r="BT31" i="2" s="1"/>
  <c r="BU31" i="2" s="1"/>
  <c r="BV31" i="2" s="1"/>
  <c r="BW31" i="2" s="1"/>
  <c r="BX31" i="2" s="1"/>
  <c r="BY31" i="2" s="1"/>
  <c r="BZ31" i="2" s="1"/>
  <c r="CA31" i="2" s="1"/>
  <c r="CB31" i="2" s="1"/>
  <c r="CC31" i="2" s="1"/>
  <c r="CD31" i="2" s="1"/>
  <c r="CE31" i="2" s="1"/>
  <c r="CF31" i="2" s="1"/>
  <c r="CG31" i="2" s="1"/>
  <c r="CH31" i="2" s="1"/>
  <c r="CI31" i="2" s="1"/>
  <c r="CJ31" i="2" s="1"/>
  <c r="CK31" i="2" s="1"/>
  <c r="CL31" i="2" s="1"/>
  <c r="CM31" i="2" s="1"/>
  <c r="CN31" i="2" s="1"/>
  <c r="CO31" i="2" s="1"/>
  <c r="CP31" i="2" s="1"/>
  <c r="CQ31" i="2" s="1"/>
  <c r="CR31" i="2" s="1"/>
  <c r="CS31" i="2" s="1"/>
  <c r="CT31" i="2" s="1"/>
  <c r="CU31" i="2" s="1"/>
  <c r="CV31" i="2" s="1"/>
  <c r="CW31" i="2" s="1"/>
  <c r="CX31" i="2" s="1"/>
  <c r="CY31" i="2" s="1"/>
  <c r="CZ31" i="2" s="1"/>
  <c r="DA31" i="2" s="1"/>
  <c r="DB31" i="2" s="1"/>
  <c r="DC31" i="2" s="1"/>
  <c r="DD31" i="2" s="1"/>
  <c r="DE31" i="2" s="1"/>
  <c r="DF31" i="2" s="1"/>
  <c r="DG31" i="2" s="1"/>
  <c r="DH31" i="2" s="1"/>
  <c r="DI31" i="2" s="1"/>
  <c r="DJ31" i="2" s="1"/>
  <c r="DK31" i="2" s="1"/>
  <c r="DL31" i="2" s="1"/>
  <c r="DM31" i="2" s="1"/>
  <c r="DN31" i="2" s="1"/>
  <c r="DO31" i="2" s="1"/>
  <c r="DP31" i="2" s="1"/>
  <c r="DQ31" i="2" s="1"/>
  <c r="DR31" i="2" s="1"/>
  <c r="DS31" i="2" s="1"/>
  <c r="BP38" i="2" s="1"/>
  <c r="BP39" i="2" s="1"/>
  <c r="BM44" i="2" l="1"/>
  <c r="BM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tc={ECADAB22-36B1-41A2-AD23-FFF1F2EAB8AC}</author>
    <author>tc={2883B5CB-9CE6-4897-A415-6E91690048D2}</author>
    <author>tc={6A5307CC-CCBA-4CAC-BF0C-55B40FBD45DC}</author>
    <author>tc={8F896F81-6E53-40A7-B585-0CF468064875}</author>
    <author>tc={1194B53B-11DF-4936-8FD7-77F49319A1C9}</author>
    <author>tc={B7D8227E-9C6A-4B9D-BCEB-E38F55E93FBB}</author>
    <author>tc={C7BC1CA5-759B-43A0-833B-88C4CD54B000}</author>
    <author>tc={21797C47-1950-4375-853A-A1712EF01174}</author>
    <author>tc={F728FAC2-51F0-4023-AB40-41F83CEF5C89}</author>
    <author>tc={A9249A39-B9EC-4BC7-B87E-1B27108C92D8}</author>
    <author>tc={246E0C01-DF1D-4F91-A337-4DE00EFEDDC8}</author>
    <author>tc={730404D6-8355-478B-BCFF-9D938DC1FD29}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tc={207240C6-AA0E-47C1-A8DC-C70F3CF7F6CF}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P9" authorId="1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P12" authorId="2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12" authorId="3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12" authorId="4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K13" authorId="5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13" authorId="6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13" authorId="7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13" authorId="8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K14" authorId="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14" authorId="1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14" authorId="1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14" authorId="1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</t>
      </text>
    </comment>
    <comment ref="AA14" authorId="13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14" authorId="14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14" authorId="15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18" authorId="16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18" authorId="17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18" authorId="18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P36" authorId="19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</commentList>
</comments>
</file>

<file path=xl/sharedStrings.xml><?xml version="1.0" encoding="utf-8"?>
<sst xmlns="http://schemas.openxmlformats.org/spreadsheetml/2006/main" count="520" uniqueCount="412">
  <si>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</si>
  <si>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</si>
  <si>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</si>
  <si>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</si>
  <si>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</si>
  <si>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</si>
  <si>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</si>
  <si>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</si>
  <si>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</si>
  <si>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</si>
  <si>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</si>
  <si>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</si>
  <si>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</si>
  <si>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</si>
  <si>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</si>
  <si>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</si>
  <si>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</si>
  <si>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</si>
  <si>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</si>
  <si>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</si>
  <si>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</si>
  <si>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</si>
  <si>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</si>
  <si>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</si>
  <si>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</si>
  <si>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</si>
  <si>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</si>
  <si>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</si>
  <si>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</si>
  <si>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</si>
  <si>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</si>
  <si>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</si>
  <si>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</si>
  <si>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</si>
  <si>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</si>
  <si>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</si>
  <si>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</si>
  <si>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</si>
  <si>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</si>
  <si>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</si>
  <si>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</si>
  <si>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</si>
  <si>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</si>
  <si>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</si>
  <si>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</si>
  <si>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</si>
  <si>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</si>
  <si>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</si>
  <si>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</si>
  <si>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</si>
  <si>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</si>
  <si>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</si>
  <si>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</si>
  <si>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</si>
  <si>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</si>
  <si>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</si>
  <si>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</si>
  <si>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</si>
  <si>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</si>
  <si>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</si>
  <si>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</si>
  <si>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</si>
  <si>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</si>
  <si>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</si>
  <si>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</si>
  <si>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</si>
  <si>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</si>
  <si>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</si>
  <si>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</si>
  <si>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</si>
  <si>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</si>
  <si>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</si>
  <si>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</si>
  <si>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</si>
  <si>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</si>
  <si>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</si>
  <si>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</si>
  <si>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</si>
  <si>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</si>
  <si>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</si>
  <si>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</si>
  <si>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</si>
  <si>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</si>
  <si>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</si>
  <si>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</si>
  <si>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</si>
  <si>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</si>
  <si>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</si>
  <si>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</si>
  <si>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</si>
  <si>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</si>
  <si>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</si>
  <si>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</si>
  <si>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</si>
  <si>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</si>
  <si>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</si>
  <si>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</si>
  <si>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</si>
  <si>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</si>
  <si>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</si>
  <si>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</si>
  <si>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</si>
  <si>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</si>
  <si>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</si>
  <si>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</si>
  <si>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</si>
  <si>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</si>
  <si>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</si>
  <si>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</si>
  <si>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</si>
  <si>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</si>
  <si>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</si>
  <si>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</si>
  <si>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</si>
  <si>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</si>
  <si>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</si>
  <si>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</si>
  <si>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</si>
  <si>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</si>
  <si>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</si>
  <si>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</si>
  <si>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</si>
  <si>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</si>
  <si>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</si>
  <si>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</si>
  <si>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</si>
  <si>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</si>
  <si>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</si>
  <si>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</si>
  <si>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</si>
  <si>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</si>
  <si>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</si>
  <si>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</si>
  <si>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</si>
  <si>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</si>
  <si>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</si>
  <si>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</si>
  <si>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</si>
  <si>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</si>
  <si>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</si>
  <si>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</si>
  <si>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</si>
  <si>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</si>
  <si>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</si>
  <si>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</si>
  <si>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</si>
  <si>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</si>
  <si>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</si>
  <si>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</si>
  <si>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</si>
  <si>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</si>
  <si>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</si>
  <si>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</si>
  <si>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</si>
  <si>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</si>
  <si>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</si>
  <si>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</si>
  <si>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</si>
  <si>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Q422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</si>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</sst>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%"/>
    <numFmt numFmtId="165" formatCode="m/d/yy;@"/>
    <numFmt numFmtId="166" formatCode="0\x"/>
  </numFmts>
  <fonts count="12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30038</xdr:colOff>
      <xdr:row>0</xdr:row>
      <xdr:rowOff>22430</xdr:rowOff>
    </xdr:from>
    <xdr:to>
      <xdr:col>18</xdr:col>
      <xdr:colOff>30038</xdr:colOff>
      <xdr:row>99</xdr:row>
      <xdr:rowOff>51005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2217392" y="2243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65745</xdr:colOff>
      <xdr:row>0</xdr:row>
      <xdr:rowOff>0</xdr:rowOff>
    </xdr:from>
    <xdr:to>
      <xdr:col>58</xdr:col>
      <xdr:colOff>65745</xdr:colOff>
      <xdr:row>99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P9" dT="2023-04-25T17:43:15.37" personId="{2ADAC7E3-86EF-4E60-96A3-ED0BEE011F1E}" id="{ECADAB22-36B1-41A2-AD23-FFF1F2EAB8AC}">
    <text>+14% CC</text>
  </threadedComment>
  <threadedComment ref="P12" dT="2023-04-25T17:42:46.88" personId="{2ADAC7E3-86EF-4E60-96A3-ED0BEE011F1E}" id="{2883B5CB-9CE6-4897-A415-6E91690048D2}">
    <text>Dynamics +20%</text>
  </threadedComment>
  <threadedComment ref="Q12" dT="2023-04-25T17:51:08.94" personId="{2ADAC7E3-86EF-4E60-96A3-ED0BEE011F1E}" id="{6A5307CC-CCBA-4CAC-BF0C-55B40FBD45DC}">
    <text>+11-13%
16.9-17.2B</text>
  </threadedComment>
  <threadedComment ref="R12" dT="2023-04-25T22:13:26.39" personId="{2ADAC7E3-86EF-4E60-96A3-ED0BEE011F1E}" id="{8F896F81-6E53-40A7-B585-0CF468064875}">
    <text>Guidance: 17.9-18.2B</text>
  </threadedComment>
  <threadedComment ref="K13" dT="2023-01-12T14:11:54.08" personId="{2ADAC7E3-86EF-4E60-96A3-ED0BEE011F1E}" id="{1194B53B-11DF-4936-8FD7-77F49319A1C9}">
    <text>16964 old</text>
  </threadedComment>
  <threadedComment ref="P13" dT="2023-04-25T17:30:58.20" personId="{2ADAC7E3-86EF-4E60-96A3-ED0BEE011F1E}" id="{B7D8227E-9C6A-4B9D-BCEB-E38F55E93FBB}">
    <text>Azure growth moderated
Grew from Nuance</text>
  </threadedComment>
  <threadedComment ref="Q13" dT="2023-04-25T17:52:22.56" personId="{2ADAC7E3-86EF-4E60-96A3-ED0BEE011F1E}" id="{C7BC1CA5-759B-43A0-833B-88C4CD54B000}">
    <text>Q223 guidance: 21.7-22.0B</text>
  </threadedComment>
  <threadedComment ref="R13" dT="2023-04-25T22:13:34.93" personId="{2ADAC7E3-86EF-4E60-96A3-ED0BEE011F1E}" id="{21797C47-1950-4375-853A-A1712EF01174}">
    <text>Guidance: 23.6-23.9B</text>
  </threadedComment>
  <threadedComment ref="K14" dT="2023-01-12T14:11:37.67" personId="{2ADAC7E3-86EF-4E60-96A3-ED0BEE011F1E}" id="{F728FAC2-51F0-4023-AB40-41F83CEF5C89}">
    <text>13314 prior</text>
  </threadedComment>
  <threadedComment ref="P14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14" dT="2023-04-25T17:53:27.39" personId="{2ADAC7E3-86EF-4E60-96A3-ED0BEE011F1E}" id="{246E0C01-DF1D-4F91-A337-4DE00EFEDDC8}">
    <text>FQ223 guidance: 11.9-12.3B</text>
  </threadedComment>
  <threadedComment ref="R14" dT="2023-04-25T22:13:46.70" personId="{2ADAC7E3-86EF-4E60-96A3-ED0BEE011F1E}" id="{730404D6-8355-478B-BCFF-9D938DC1FD29}">
    <text>Guidance: 13.35-13.75B</text>
  </threadedComment>
  <threadedComment ref="AA14" dT="2023-04-30T03:57:38.72" personId="{2ADAC7E3-86EF-4E60-96A3-ED0BEE011F1E}" id="{1C31850E-87A1-42A5-A544-D7C66ECB0D78}">
    <text>Hardware 254m</text>
  </threadedComment>
  <threadedComment ref="AB14" dT="2023-04-30T03:57:32.74" personId="{2ADAC7E3-86EF-4E60-96A3-ED0BEE011F1E}" id="{6CD6DA57-15E4-4617-9E8A-DE627D4291F4}">
    <text>Hardware 233m</text>
  </threadedComment>
  <threadedComment ref="AC14" dT="2023-04-30T03:57:25.69" personId="{2ADAC7E3-86EF-4E60-96A3-ED0BEE011F1E}" id="{530E3A34-4790-4FEE-B8A2-EEE361836B57}">
    <text>Hardware 203m</text>
  </threadedComment>
  <threadedComment ref="P18" dT="2023-04-25T17:28:33.19" personId="{2ADAC7E3-86EF-4E60-96A3-ED0BEE011F1E}" id="{6550F107-B2DD-468B-9840-A88B103B8C6E}">
    <text>Saw weakening in December
US weaker than expected</text>
  </threadedComment>
  <threadedComment ref="Q18" dT="2023-04-25T17:53:49.93" personId="{2ADAC7E3-86EF-4E60-96A3-ED0BEE011F1E}" id="{B0B4B47A-77DB-4469-A3F3-BA8FF53995B8}">
    <text>4/25/23 Consensus: 51.02B
Q223 guidance: 50.5-51.5B</text>
  </threadedComment>
  <threadedComment ref="R18" dT="2023-04-25T17:54:04.57" personId="{2ADAC7E3-86EF-4E60-96A3-ED0BEE011F1E}" id="{672EF133-CF99-4F62-BC53-D74F59EFAF45}">
    <text>4/24/23: 54.84B consensus
FQ323 Guidance: 54.850-55.80B</text>
  </threadedComment>
  <threadedComment ref="P36" dT="2023-04-25T17:32:36.53" personId="{2ADAC7E3-86EF-4E60-96A3-ED0BEE011F1E}" id="{207240C6-AA0E-47C1-A8DC-C70F3CF7F6CF}">
    <text>Bookings +4% y/y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38"/>
  <sheetViews>
    <sheetView zoomScale="190" zoomScaleNormal="190" workbookViewId="0"/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324</v>
      </c>
    </row>
    <row r="3" spans="2:13">
      <c r="B3" t="s">
        <v>110</v>
      </c>
      <c r="C3" t="s">
        <v>113</v>
      </c>
      <c r="K3" t="s">
        <v>1</v>
      </c>
      <c r="L3" s="4">
        <v>7473</v>
      </c>
      <c r="M3" s="2" t="s">
        <v>158</v>
      </c>
    </row>
    <row r="4" spans="2:13">
      <c r="B4" t="s">
        <v>109</v>
      </c>
      <c r="C4" t="s">
        <v>114</v>
      </c>
      <c r="K4" t="s">
        <v>2</v>
      </c>
      <c r="L4" s="4">
        <f>L2*L3</f>
        <v>2421252</v>
      </c>
    </row>
    <row r="5" spans="2:13">
      <c r="B5" t="s">
        <v>116</v>
      </c>
      <c r="K5" t="s">
        <v>3</v>
      </c>
      <c r="L5" s="4">
        <v>106605</v>
      </c>
      <c r="M5" s="2" t="s">
        <v>158</v>
      </c>
    </row>
    <row r="6" spans="2:13">
      <c r="B6" t="s">
        <v>131</v>
      </c>
      <c r="K6" t="s">
        <v>4</v>
      </c>
      <c r="L6" s="4">
        <v>48116</v>
      </c>
      <c r="M6" s="2" t="s">
        <v>158</v>
      </c>
    </row>
    <row r="7" spans="2:13">
      <c r="K7" t="s">
        <v>5</v>
      </c>
      <c r="L7" s="4">
        <f>L4-L5+L6</f>
        <v>2362763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7</v>
      </c>
    </row>
    <row r="24" spans="2:8">
      <c r="B24" t="s">
        <v>411</v>
      </c>
    </row>
    <row r="25" spans="2:8">
      <c r="B25" t="s">
        <v>397</v>
      </c>
    </row>
    <row r="26" spans="2:8">
      <c r="B26" t="s">
        <v>225</v>
      </c>
    </row>
    <row r="27" spans="2:8">
      <c r="B27" t="s">
        <v>117</v>
      </c>
    </row>
    <row r="28" spans="2:8">
      <c r="B28" t="s">
        <v>188</v>
      </c>
    </row>
    <row r="29" spans="2:8">
      <c r="B29" t="s">
        <v>162</v>
      </c>
    </row>
    <row r="30" spans="2:8">
      <c r="B30" t="s">
        <v>187</v>
      </c>
    </row>
    <row r="31" spans="2:8">
      <c r="B31" t="s">
        <v>189</v>
      </c>
    </row>
    <row r="32" spans="2:8">
      <c r="B32" t="s">
        <v>186</v>
      </c>
    </row>
    <row r="33" spans="2:2">
      <c r="B33" t="s">
        <v>160</v>
      </c>
    </row>
    <row r="34" spans="2:2">
      <c r="B34" t="s">
        <v>161</v>
      </c>
    </row>
    <row r="35" spans="2:2">
      <c r="B35" t="s">
        <v>121</v>
      </c>
    </row>
    <row r="36" spans="2:2">
      <c r="B36" t="s">
        <v>119</v>
      </c>
    </row>
    <row r="37" spans="2:2">
      <c r="B37" t="s">
        <v>120</v>
      </c>
    </row>
    <row r="38" spans="2:2">
      <c r="B38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04"/>
  <sheetViews>
    <sheetView tabSelected="1" zoomScale="205" zoomScaleNormal="205" workbookViewId="0">
      <pane xSplit="2" ySplit="3" topLeftCell="BA28" activePane="bottomRight" state="frozen"/>
      <selection pane="topRight" activeCell="C1" sqref="C1"/>
      <selection pane="bottomLeft" activeCell="A4" sqref="A4"/>
      <selection pane="bottomRight" activeCell="BF36" sqref="BF36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</v>
      </c>
    </row>
    <row r="2" spans="1:65" s="15" customFormat="1">
      <c r="C2" s="16"/>
      <c r="D2" s="16"/>
      <c r="E2" s="16"/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X3" s="2"/>
      <c r="Y3" s="2" t="s">
        <v>220</v>
      </c>
      <c r="Z3" s="2" t="s">
        <v>221</v>
      </c>
      <c r="AA3" s="2" t="s">
        <v>222</v>
      </c>
      <c r="AB3" s="2" t="s">
        <v>223</v>
      </c>
      <c r="AC3" s="2" t="s">
        <v>184</v>
      </c>
      <c r="AD3" s="2" t="s">
        <v>185</v>
      </c>
      <c r="AE3" s="2" t="s">
        <v>181</v>
      </c>
      <c r="AF3" s="2" t="s">
        <v>182</v>
      </c>
      <c r="AG3" s="2" t="s">
        <v>183</v>
      </c>
      <c r="AH3" s="2" t="s">
        <v>174</v>
      </c>
      <c r="AI3" s="2" t="s">
        <v>175</v>
      </c>
      <c r="AJ3" s="2" t="s">
        <v>176</v>
      </c>
      <c r="AK3" s="2" t="s">
        <v>177</v>
      </c>
      <c r="AL3" s="2" t="s">
        <v>178</v>
      </c>
      <c r="AM3" s="2" t="s">
        <v>179</v>
      </c>
      <c r="AN3" s="2" t="s">
        <v>180</v>
      </c>
      <c r="AO3" s="2" t="s">
        <v>170</v>
      </c>
      <c r="AP3" s="2" t="s">
        <v>171</v>
      </c>
      <c r="AQ3" s="2" t="s">
        <v>172</v>
      </c>
      <c r="AR3" s="2" t="s">
        <v>173</v>
      </c>
      <c r="AS3" s="2" t="s">
        <v>164</v>
      </c>
      <c r="AT3" s="2" t="s">
        <v>165</v>
      </c>
      <c r="AU3" s="2" t="s">
        <v>166</v>
      </c>
      <c r="AV3" s="2" t="s">
        <v>167</v>
      </c>
      <c r="AW3" s="2" t="s">
        <v>168</v>
      </c>
      <c r="AX3" s="2" t="s">
        <v>169</v>
      </c>
      <c r="AY3" s="2" t="s">
        <v>163</v>
      </c>
      <c r="AZ3" s="2" t="s">
        <v>102</v>
      </c>
      <c r="BA3" s="2" t="s">
        <v>101</v>
      </c>
      <c r="BB3" s="2" t="s">
        <v>88</v>
      </c>
      <c r="BC3" s="2" t="s">
        <v>77</v>
      </c>
      <c r="BD3" s="2" t="s">
        <v>74</v>
      </c>
      <c r="BE3" s="2" t="s">
        <v>75</v>
      </c>
      <c r="BF3" s="2" t="s">
        <v>76</v>
      </c>
      <c r="BG3" s="2" t="s">
        <v>90</v>
      </c>
      <c r="BH3" s="2" t="s">
        <v>91</v>
      </c>
      <c r="BI3" s="2" t="s">
        <v>92</v>
      </c>
      <c r="BJ3" s="2" t="s">
        <v>93</v>
      </c>
      <c r="BK3" s="2" t="s">
        <v>94</v>
      </c>
      <c r="BL3" s="2" t="s">
        <v>95</v>
      </c>
      <c r="BM3" s="2" t="s">
        <v>96</v>
      </c>
    </row>
    <row r="4" spans="1:65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/>
      <c r="R4" s="2"/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v>0.04</v>
      </c>
      <c r="Q5" s="20"/>
      <c r="R5" s="20"/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152</v>
      </c>
      <c r="C7" s="20"/>
      <c r="D7" s="20"/>
      <c r="E7" s="20"/>
      <c r="F7" s="20"/>
      <c r="G7" s="20"/>
      <c r="H7" s="20"/>
      <c r="I7" s="20"/>
      <c r="J7" s="20"/>
      <c r="K7" s="20"/>
      <c r="L7" s="7">
        <v>22000</v>
      </c>
      <c r="M7" s="7">
        <v>23400</v>
      </c>
      <c r="N7" s="7">
        <v>25100</v>
      </c>
      <c r="O7" s="7">
        <v>25700</v>
      </c>
      <c r="P7" s="7">
        <v>27100</v>
      </c>
      <c r="Q7" s="20"/>
      <c r="R7" s="20"/>
      <c r="S7" s="20"/>
      <c r="T7" s="20"/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</row>
    <row r="8" spans="1:65" s="19" customFormat="1">
      <c r="C8" s="20"/>
      <c r="D8" s="20"/>
      <c r="E8" s="20"/>
      <c r="F8" s="20"/>
      <c r="G8" s="20"/>
      <c r="H8" s="20"/>
      <c r="I8" s="20"/>
      <c r="J8" s="20"/>
      <c r="K8" s="20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</row>
    <row r="9" spans="1:65">
      <c r="B9" t="s">
        <v>87</v>
      </c>
      <c r="N9" s="2">
        <f>+J9+768</f>
        <v>768</v>
      </c>
      <c r="O9" s="2"/>
      <c r="P9" s="2"/>
      <c r="Q9" s="2"/>
      <c r="R9" s="2"/>
      <c r="S9" s="2"/>
      <c r="T9" s="2"/>
      <c r="U9" s="2"/>
      <c r="V9" s="2"/>
    </row>
    <row r="10" spans="1:65">
      <c r="B10" s="19" t="s">
        <v>153</v>
      </c>
      <c r="L10" s="2">
        <v>56.4</v>
      </c>
      <c r="M10" s="2">
        <v>58.4</v>
      </c>
      <c r="N10" s="2">
        <v>59.7</v>
      </c>
      <c r="O10" s="2">
        <v>61.3</v>
      </c>
      <c r="P10" s="2">
        <v>63.2</v>
      </c>
      <c r="Q10" s="2"/>
      <c r="R10" s="2"/>
      <c r="S10" s="2"/>
      <c r="T10" s="2"/>
      <c r="U10" s="2"/>
      <c r="V10" s="2"/>
    </row>
    <row r="11" spans="1:65">
      <c r="O11" s="2"/>
      <c r="P11" s="2"/>
      <c r="Q11" s="2"/>
      <c r="R11" s="2"/>
      <c r="S11" s="2"/>
      <c r="T11" s="2"/>
      <c r="U11" s="2"/>
      <c r="V11" s="2"/>
    </row>
    <row r="12" spans="1:65" s="4" customFormat="1">
      <c r="B12" s="4" t="s">
        <v>69</v>
      </c>
      <c r="C12" s="5"/>
      <c r="D12" s="5"/>
      <c r="E12" s="5"/>
      <c r="F12" s="5">
        <v>11752</v>
      </c>
      <c r="G12" s="5">
        <v>12319</v>
      </c>
      <c r="H12" s="5">
        <v>13353</v>
      </c>
      <c r="I12" s="5">
        <v>13552</v>
      </c>
      <c r="J12" s="5">
        <v>14691</v>
      </c>
      <c r="K12" s="5">
        <v>15039</v>
      </c>
      <c r="L12" s="5">
        <v>15936</v>
      </c>
      <c r="M12" s="5">
        <v>15789</v>
      </c>
      <c r="N12" s="5">
        <v>16600</v>
      </c>
      <c r="O12" s="4">
        <v>16465</v>
      </c>
      <c r="P12" s="4">
        <v>17002</v>
      </c>
      <c r="Q12" s="4">
        <f>M12*1.08</f>
        <v>17052.120000000003</v>
      </c>
      <c r="R12" s="4">
        <v>18050</v>
      </c>
      <c r="AA12" s="4">
        <v>1401</v>
      </c>
      <c r="AB12" s="4">
        <v>2253</v>
      </c>
      <c r="AC12" s="4">
        <v>2927</v>
      </c>
      <c r="BC12" s="5"/>
      <c r="BD12" s="5">
        <f>SUM(G12:J12)</f>
        <v>53915</v>
      </c>
      <c r="BE12" s="5">
        <f>SUM(K12:N12)</f>
        <v>63364</v>
      </c>
      <c r="BF12" s="5"/>
    </row>
    <row r="13" spans="1:65" s="4" customFormat="1">
      <c r="B13" s="4" t="s">
        <v>68</v>
      </c>
      <c r="C13" s="5"/>
      <c r="D13" s="5"/>
      <c r="E13" s="5"/>
      <c r="F13" s="5">
        <v>13371</v>
      </c>
      <c r="G13" s="5">
        <v>12986</v>
      </c>
      <c r="H13" s="5">
        <v>14601</v>
      </c>
      <c r="I13" s="5">
        <v>15118</v>
      </c>
      <c r="J13" s="5">
        <v>17375</v>
      </c>
      <c r="K13" s="5">
        <v>16912</v>
      </c>
      <c r="L13" s="5">
        <v>18327</v>
      </c>
      <c r="M13" s="5">
        <v>19051</v>
      </c>
      <c r="N13" s="5">
        <v>20909</v>
      </c>
      <c r="O13" s="4">
        <v>20325</v>
      </c>
      <c r="P13" s="4">
        <v>21508</v>
      </c>
      <c r="Q13" s="4">
        <f>M13*1.15</f>
        <v>21908.649999999998</v>
      </c>
      <c r="R13" s="4">
        <v>23750</v>
      </c>
      <c r="BC13" s="5"/>
      <c r="BD13" s="5">
        <f>SUM(G13:J13)</f>
        <v>60080</v>
      </c>
      <c r="BE13" s="5">
        <f t="shared" ref="BE13:BE20" si="1">SUM(K13:N13)</f>
        <v>75199</v>
      </c>
      <c r="BF13" s="5"/>
    </row>
    <row r="14" spans="1:65" s="4" customFormat="1">
      <c r="B14" s="4" t="s">
        <v>70</v>
      </c>
      <c r="C14" s="5"/>
      <c r="D14" s="5"/>
      <c r="E14" s="5"/>
      <c r="F14" s="5">
        <v>12910</v>
      </c>
      <c r="G14" s="5">
        <v>11849</v>
      </c>
      <c r="H14" s="5">
        <v>15122</v>
      </c>
      <c r="I14" s="5">
        <v>13036</v>
      </c>
      <c r="J14" s="5">
        <v>14086</v>
      </c>
      <c r="K14" s="5">
        <v>13366</v>
      </c>
      <c r="L14" s="5">
        <v>17465</v>
      </c>
      <c r="M14" s="5">
        <v>14520</v>
      </c>
      <c r="N14" s="5">
        <v>14356</v>
      </c>
      <c r="O14" s="4">
        <v>13332</v>
      </c>
      <c r="P14" s="4">
        <v>14237</v>
      </c>
      <c r="Q14" s="4">
        <f>M14*0.83</f>
        <v>12051.599999999999</v>
      </c>
      <c r="R14" s="4">
        <v>13550</v>
      </c>
      <c r="AA14" s="4">
        <v>1104</v>
      </c>
      <c r="AB14" s="4">
        <v>1267</v>
      </c>
      <c r="AC14" s="4">
        <v>1519</v>
      </c>
      <c r="BC14" s="5"/>
      <c r="BD14" s="5">
        <f>SUM(G14:J14)</f>
        <v>54093</v>
      </c>
      <c r="BE14" s="5">
        <f t="shared" si="1"/>
        <v>59707</v>
      </c>
      <c r="BF14" s="5"/>
    </row>
    <row r="16" spans="1:65" s="4" customFormat="1">
      <c r="B16" s="4" t="s">
        <v>17</v>
      </c>
      <c r="C16" s="5"/>
      <c r="D16" s="5"/>
      <c r="E16" s="5"/>
      <c r="F16" s="5">
        <v>18147</v>
      </c>
      <c r="G16" s="5">
        <v>15803</v>
      </c>
      <c r="H16" s="5">
        <v>19460</v>
      </c>
      <c r="I16" s="5">
        <v>16873</v>
      </c>
      <c r="J16" s="5">
        <v>18938</v>
      </c>
      <c r="K16" s="5">
        <v>16631</v>
      </c>
      <c r="L16" s="5">
        <v>20779</v>
      </c>
      <c r="M16" s="5">
        <v>17366</v>
      </c>
      <c r="N16" s="5">
        <v>17956</v>
      </c>
      <c r="O16" s="4">
        <v>15741</v>
      </c>
      <c r="P16" s="4">
        <v>16517</v>
      </c>
      <c r="Q16" s="4">
        <v>15588</v>
      </c>
      <c r="R16" s="4">
        <v>16853</v>
      </c>
      <c r="S16" s="4">
        <f t="shared" ref="S16" si="2">O16*1.05</f>
        <v>16528.05</v>
      </c>
      <c r="T16" s="4">
        <f t="shared" ref="T16:T17" si="3">P16*1.05</f>
        <v>17342.850000000002</v>
      </c>
      <c r="U16" s="4">
        <f t="shared" ref="U16:U17" si="4">Q16*1.05</f>
        <v>16367.400000000001</v>
      </c>
      <c r="V16" s="4">
        <f t="shared" ref="V16:V17" si="5">R16*1.05</f>
        <v>17695.650000000001</v>
      </c>
      <c r="AY16" s="4">
        <v>61502</v>
      </c>
      <c r="AZ16" s="4">
        <v>63811</v>
      </c>
      <c r="BA16" s="4">
        <v>64497</v>
      </c>
      <c r="BB16" s="4">
        <v>66069</v>
      </c>
      <c r="BC16" s="5">
        <v>68041</v>
      </c>
      <c r="BD16" s="5">
        <f>SUM(G16:J16)</f>
        <v>71074</v>
      </c>
      <c r="BE16" s="5">
        <f t="shared" si="1"/>
        <v>72732</v>
      </c>
      <c r="BF16" s="5">
        <f>SUM(O16:R16)</f>
        <v>64699</v>
      </c>
      <c r="BG16" s="5">
        <f>+BF16*1.03</f>
        <v>66639.97</v>
      </c>
      <c r="BH16" s="5">
        <f t="shared" ref="BH16:BM16" si="6">+BG16*1.03</f>
        <v>68639.169099999999</v>
      </c>
      <c r="BI16" s="5">
        <f t="shared" si="6"/>
        <v>70698.344173000005</v>
      </c>
      <c r="BJ16" s="5">
        <f t="shared" si="6"/>
        <v>72819.294498190007</v>
      </c>
      <c r="BK16" s="5">
        <f t="shared" si="6"/>
        <v>75003.873333135707</v>
      </c>
      <c r="BL16" s="5">
        <f t="shared" si="6"/>
        <v>77253.989533129774</v>
      </c>
      <c r="BM16" s="5">
        <f t="shared" si="6"/>
        <v>79571.609219123668</v>
      </c>
    </row>
    <row r="17" spans="2:123" s="4" customFormat="1">
      <c r="B17" s="4" t="s">
        <v>18</v>
      </c>
      <c r="C17" s="5"/>
      <c r="D17" s="5"/>
      <c r="E17" s="5"/>
      <c r="F17" s="5">
        <v>19886</v>
      </c>
      <c r="G17" s="5">
        <v>21351</v>
      </c>
      <c r="H17" s="5">
        <v>23616</v>
      </c>
      <c r="I17" s="5">
        <v>24833</v>
      </c>
      <c r="J17" s="5">
        <v>27214</v>
      </c>
      <c r="K17" s="5">
        <v>28686</v>
      </c>
      <c r="L17" s="5">
        <v>30949</v>
      </c>
      <c r="M17" s="5">
        <v>31994</v>
      </c>
      <c r="N17" s="5">
        <v>33909</v>
      </c>
      <c r="O17" s="4">
        <v>34381</v>
      </c>
      <c r="P17" s="4">
        <v>36230</v>
      </c>
      <c r="Q17" s="4">
        <v>37269</v>
      </c>
      <c r="R17" s="4">
        <v>39336</v>
      </c>
      <c r="S17" s="4">
        <f>O17*1.05</f>
        <v>36100.050000000003</v>
      </c>
      <c r="T17" s="4">
        <f t="shared" si="3"/>
        <v>38041.5</v>
      </c>
      <c r="U17" s="4">
        <f t="shared" si="4"/>
        <v>39132.450000000004</v>
      </c>
      <c r="V17" s="4">
        <f t="shared" si="5"/>
        <v>41302.800000000003</v>
      </c>
      <c r="AY17" s="4">
        <v>23818</v>
      </c>
      <c r="AZ17" s="4">
        <v>32760</v>
      </c>
      <c r="BA17" s="4">
        <v>45863</v>
      </c>
      <c r="BB17" s="4">
        <v>59774</v>
      </c>
      <c r="BC17" s="5">
        <v>74974</v>
      </c>
      <c r="BD17" s="5">
        <f>SUM(G17:J17)</f>
        <v>97014</v>
      </c>
      <c r="BE17" s="5">
        <f t="shared" si="1"/>
        <v>125538</v>
      </c>
      <c r="BF17" s="5">
        <f>SUM(O17:R17)</f>
        <v>147216</v>
      </c>
      <c r="BG17" s="5">
        <f>+BF17*1.15</f>
        <v>169298.4</v>
      </c>
      <c r="BH17" s="5">
        <f>+BG17*1.1</f>
        <v>186228.24000000002</v>
      </c>
      <c r="BI17" s="5">
        <f t="shared" ref="BI17:BM17" si="7">+BH17*1.1</f>
        <v>204851.06400000004</v>
      </c>
      <c r="BJ17" s="5">
        <f t="shared" si="7"/>
        <v>225336.17040000006</v>
      </c>
      <c r="BK17" s="5">
        <f t="shared" si="7"/>
        <v>247869.78744000007</v>
      </c>
      <c r="BL17" s="5">
        <f t="shared" si="7"/>
        <v>272656.76618400012</v>
      </c>
      <c r="BM17" s="5">
        <f t="shared" si="7"/>
        <v>299922.44280240015</v>
      </c>
    </row>
    <row r="18" spans="2:123" s="6" customFormat="1">
      <c r="B18" s="6" t="s">
        <v>8</v>
      </c>
      <c r="C18" s="7"/>
      <c r="D18" s="7"/>
      <c r="E18" s="7"/>
      <c r="F18" s="7">
        <f t="shared" ref="F18:G18" si="8">F16+F17</f>
        <v>38033</v>
      </c>
      <c r="G18" s="7">
        <f t="shared" si="8"/>
        <v>37154</v>
      </c>
      <c r="H18" s="7">
        <f t="shared" ref="H18:L18" si="9">H16+H17</f>
        <v>43076</v>
      </c>
      <c r="I18" s="7">
        <f t="shared" si="9"/>
        <v>41706</v>
      </c>
      <c r="J18" s="7">
        <f t="shared" si="9"/>
        <v>46152</v>
      </c>
      <c r="K18" s="7">
        <f t="shared" si="9"/>
        <v>45317</v>
      </c>
      <c r="L18" s="7">
        <f t="shared" si="9"/>
        <v>51728</v>
      </c>
      <c r="M18" s="7">
        <f>M16+M17</f>
        <v>49360</v>
      </c>
      <c r="N18" s="7">
        <f t="shared" ref="N18:V18" si="10">N16+N17</f>
        <v>51865</v>
      </c>
      <c r="O18" s="7">
        <f t="shared" si="10"/>
        <v>50122</v>
      </c>
      <c r="P18" s="7">
        <f>P16+P17</f>
        <v>52747</v>
      </c>
      <c r="Q18" s="7">
        <f>Q16+Q17</f>
        <v>52857</v>
      </c>
      <c r="R18" s="7">
        <f t="shared" si="10"/>
        <v>56189</v>
      </c>
      <c r="S18" s="7">
        <f t="shared" si="10"/>
        <v>52628.100000000006</v>
      </c>
      <c r="T18" s="7">
        <f t="shared" si="10"/>
        <v>55384.350000000006</v>
      </c>
      <c r="U18" s="7">
        <f t="shared" si="10"/>
        <v>55499.850000000006</v>
      </c>
      <c r="V18" s="7">
        <f t="shared" si="10"/>
        <v>58998.450000000004</v>
      </c>
      <c r="Y18" s="6">
        <v>1183</v>
      </c>
      <c r="Z18" s="6">
        <v>1843</v>
      </c>
      <c r="AA18" s="6">
        <v>2759</v>
      </c>
      <c r="AB18" s="6">
        <v>3753</v>
      </c>
      <c r="AC18" s="6">
        <v>4649</v>
      </c>
      <c r="AD18" s="6">
        <v>5937</v>
      </c>
      <c r="AE18" s="6">
        <v>8671</v>
      </c>
      <c r="AF18" s="6">
        <v>11358</v>
      </c>
      <c r="AG18" s="6">
        <v>14484</v>
      </c>
      <c r="AH18" s="6">
        <v>19747</v>
      </c>
      <c r="AI18" s="6">
        <v>22956</v>
      </c>
      <c r="AJ18" s="6">
        <v>25296</v>
      </c>
      <c r="AK18" s="6">
        <v>28365</v>
      </c>
      <c r="AL18" s="6">
        <v>32187</v>
      </c>
      <c r="AM18" s="6">
        <v>36835</v>
      </c>
      <c r="AN18" s="6">
        <v>39788</v>
      </c>
      <c r="AO18" s="6">
        <v>44282</v>
      </c>
      <c r="AP18" s="6">
        <v>51122</v>
      </c>
      <c r="AQ18" s="6">
        <v>60420</v>
      </c>
      <c r="AR18" s="6">
        <v>58437</v>
      </c>
      <c r="AS18" s="7">
        <v>62484</v>
      </c>
      <c r="AT18" s="7">
        <v>69943</v>
      </c>
      <c r="AU18" s="7">
        <v>73723</v>
      </c>
      <c r="AV18" s="7">
        <v>77849</v>
      </c>
      <c r="AW18" s="7">
        <v>86833</v>
      </c>
      <c r="AX18" s="7">
        <v>93580</v>
      </c>
      <c r="AY18" s="7">
        <f>AY16+AY17</f>
        <v>85320</v>
      </c>
      <c r="AZ18" s="7">
        <f t="shared" ref="AZ18:BF18" si="11">+AZ17+AZ16</f>
        <v>96571</v>
      </c>
      <c r="BA18" s="7">
        <f t="shared" si="11"/>
        <v>110360</v>
      </c>
      <c r="BB18" s="7">
        <f t="shared" si="11"/>
        <v>125843</v>
      </c>
      <c r="BC18" s="7">
        <f t="shared" si="11"/>
        <v>143015</v>
      </c>
      <c r="BD18" s="7">
        <f t="shared" si="11"/>
        <v>168088</v>
      </c>
      <c r="BE18" s="7">
        <f t="shared" si="11"/>
        <v>198270</v>
      </c>
      <c r="BF18" s="7">
        <f t="shared" si="11"/>
        <v>211915</v>
      </c>
      <c r="BG18" s="7">
        <f t="shared" ref="BG18:BM18" si="12">+BG17+BG16</f>
        <v>235938.37</v>
      </c>
      <c r="BH18" s="7">
        <f t="shared" si="12"/>
        <v>254867.40910000002</v>
      </c>
      <c r="BI18" s="7">
        <f t="shared" si="12"/>
        <v>275549.40817300003</v>
      </c>
      <c r="BJ18" s="7">
        <f t="shared" si="12"/>
        <v>298155.46489819005</v>
      </c>
      <c r="BK18" s="7">
        <f t="shared" si="12"/>
        <v>322873.66077313578</v>
      </c>
      <c r="BL18" s="7">
        <f t="shared" si="12"/>
        <v>349910.75571712991</v>
      </c>
      <c r="BM18" s="7">
        <f t="shared" si="12"/>
        <v>379494.05202152382</v>
      </c>
    </row>
    <row r="19" spans="2:123" s="4" customFormat="1">
      <c r="B19" s="4" t="s">
        <v>19</v>
      </c>
      <c r="C19" s="5"/>
      <c r="D19" s="5"/>
      <c r="E19" s="5"/>
      <c r="F19" s="5">
        <v>4370</v>
      </c>
      <c r="G19" s="5">
        <v>3597</v>
      </c>
      <c r="H19" s="5">
        <v>6058</v>
      </c>
      <c r="I19" s="5">
        <v>4277</v>
      </c>
      <c r="J19" s="5">
        <v>4287</v>
      </c>
      <c r="K19" s="5">
        <v>3792</v>
      </c>
      <c r="L19" s="5">
        <v>6331</v>
      </c>
      <c r="M19" s="5">
        <v>4584</v>
      </c>
      <c r="N19" s="5">
        <v>4357</v>
      </c>
      <c r="O19" s="4">
        <v>4302</v>
      </c>
      <c r="P19" s="4">
        <v>5690</v>
      </c>
      <c r="Q19" s="4">
        <v>3941</v>
      </c>
      <c r="R19" s="4">
        <v>3871</v>
      </c>
      <c r="S19" s="4">
        <f t="shared" ref="R19:V19" si="13">S16*0.25</f>
        <v>4132.0124999999998</v>
      </c>
      <c r="T19" s="4">
        <f t="shared" si="13"/>
        <v>4335.7125000000005</v>
      </c>
      <c r="U19" s="4">
        <f t="shared" si="13"/>
        <v>4091.8500000000004</v>
      </c>
      <c r="V19" s="4">
        <f t="shared" si="13"/>
        <v>4423.9125000000004</v>
      </c>
      <c r="AY19" s="4">
        <v>17880</v>
      </c>
      <c r="AZ19" s="4">
        <v>15175</v>
      </c>
      <c r="BA19" s="4">
        <v>15420</v>
      </c>
      <c r="BB19" s="4">
        <v>16273</v>
      </c>
      <c r="BC19" s="5">
        <v>16017</v>
      </c>
      <c r="BD19" s="5">
        <f>SUM(G19:J19)</f>
        <v>18219</v>
      </c>
      <c r="BE19" s="5">
        <f t="shared" si="1"/>
        <v>19064</v>
      </c>
      <c r="BF19" s="5">
        <f>SUM(O19:R19)</f>
        <v>17804</v>
      </c>
      <c r="BG19" s="5">
        <f>BG16*0.25</f>
        <v>16659.9925</v>
      </c>
      <c r="BH19" s="5">
        <f t="shared" ref="BH19:BM19" si="14">BH16*0.25</f>
        <v>17159.792275</v>
      </c>
      <c r="BI19" s="5">
        <f t="shared" si="14"/>
        <v>17674.586043250001</v>
      </c>
      <c r="BJ19" s="5">
        <f t="shared" si="14"/>
        <v>18204.823624547502</v>
      </c>
      <c r="BK19" s="5">
        <f t="shared" si="14"/>
        <v>18750.968333283927</v>
      </c>
      <c r="BL19" s="5">
        <f t="shared" si="14"/>
        <v>19313.497383282443</v>
      </c>
      <c r="BM19" s="5">
        <f t="shared" si="14"/>
        <v>19892.902304780917</v>
      </c>
    </row>
    <row r="20" spans="2:123" s="4" customFormat="1">
      <c r="B20" s="4" t="s">
        <v>20</v>
      </c>
      <c r="C20" s="5"/>
      <c r="D20" s="5"/>
      <c r="E20" s="5"/>
      <c r="F20" s="5">
        <v>7969</v>
      </c>
      <c r="G20" s="5">
        <v>7405</v>
      </c>
      <c r="H20" s="5">
        <v>8136</v>
      </c>
      <c r="I20" s="5">
        <v>8768</v>
      </c>
      <c r="J20" s="5">
        <v>9704</v>
      </c>
      <c r="K20" s="5">
        <v>9854</v>
      </c>
      <c r="L20" s="5">
        <v>10629</v>
      </c>
      <c r="M20" s="5">
        <v>11031</v>
      </c>
      <c r="N20" s="5">
        <v>12072</v>
      </c>
      <c r="O20" s="4">
        <v>11150</v>
      </c>
      <c r="P20" s="4">
        <v>11798</v>
      </c>
      <c r="Q20" s="4">
        <v>12187</v>
      </c>
      <c r="R20" s="4">
        <v>12924</v>
      </c>
      <c r="S20" s="4">
        <f t="shared" ref="R20:V20" si="15">S17*0.35</f>
        <v>12635.0175</v>
      </c>
      <c r="T20" s="4">
        <f t="shared" si="15"/>
        <v>13314.525</v>
      </c>
      <c r="U20" s="4">
        <f t="shared" si="15"/>
        <v>13696.3575</v>
      </c>
      <c r="V20" s="4">
        <f t="shared" si="15"/>
        <v>14455.98</v>
      </c>
      <c r="AY20" s="4">
        <v>14900</v>
      </c>
      <c r="AZ20" s="4">
        <v>19086</v>
      </c>
      <c r="BA20" s="4">
        <v>22933</v>
      </c>
      <c r="BB20" s="4">
        <v>26637</v>
      </c>
      <c r="BC20" s="5">
        <v>30061</v>
      </c>
      <c r="BD20" s="5">
        <f>SUM(G20:J20)</f>
        <v>34013</v>
      </c>
      <c r="BE20" s="5">
        <f t="shared" si="1"/>
        <v>43586</v>
      </c>
      <c r="BF20" s="5">
        <f>SUM(O20:R20)</f>
        <v>48059</v>
      </c>
      <c r="BG20" s="5">
        <f>BG17*0.35</f>
        <v>59254.439999999995</v>
      </c>
      <c r="BH20" s="5">
        <f t="shared" ref="BH20:BM20" si="16">BH17*0.35</f>
        <v>65179.884000000005</v>
      </c>
      <c r="BI20" s="5">
        <f t="shared" si="16"/>
        <v>71697.872400000007</v>
      </c>
      <c r="BJ20" s="5">
        <f t="shared" si="16"/>
        <v>78867.659640000013</v>
      </c>
      <c r="BK20" s="5">
        <f t="shared" si="16"/>
        <v>86754.425604000018</v>
      </c>
      <c r="BL20" s="5">
        <f t="shared" si="16"/>
        <v>95429.868164400032</v>
      </c>
      <c r="BM20" s="5">
        <f t="shared" si="16"/>
        <v>104972.85498084004</v>
      </c>
    </row>
    <row r="21" spans="2:123" s="4" customFormat="1">
      <c r="B21" s="4" t="s">
        <v>21</v>
      </c>
      <c r="C21" s="5"/>
      <c r="D21" s="5"/>
      <c r="E21" s="5"/>
      <c r="F21" s="5">
        <f t="shared" ref="F21" si="17">F19+F20</f>
        <v>12339</v>
      </c>
      <c r="G21" s="5">
        <f t="shared" ref="G21:H21" si="18">G19+G20</f>
        <v>11002</v>
      </c>
      <c r="H21" s="5">
        <f t="shared" si="18"/>
        <v>14194</v>
      </c>
      <c r="I21" s="5">
        <f>I19+I20</f>
        <v>13045</v>
      </c>
      <c r="J21" s="5">
        <f t="shared" ref="J21:M21" si="19">J19+J20</f>
        <v>13991</v>
      </c>
      <c r="K21" s="5">
        <f t="shared" si="19"/>
        <v>13646</v>
      </c>
      <c r="L21" s="5">
        <f t="shared" si="19"/>
        <v>16960</v>
      </c>
      <c r="M21" s="5">
        <f t="shared" si="19"/>
        <v>15615</v>
      </c>
      <c r="N21" s="5">
        <f t="shared" ref="N21" si="20">N19+N20</f>
        <v>16429</v>
      </c>
      <c r="O21" s="5">
        <f>O19+O20</f>
        <v>15452</v>
      </c>
      <c r="P21" s="5">
        <f>P19+P20</f>
        <v>17488</v>
      </c>
      <c r="Q21" s="5">
        <f>Q19+Q20</f>
        <v>16128</v>
      </c>
      <c r="R21" s="5">
        <f>R19+R20</f>
        <v>16795</v>
      </c>
      <c r="S21" s="4">
        <f t="shared" ref="S21:T21" si="21">+S18-S22</f>
        <v>16314.711000000003</v>
      </c>
      <c r="T21" s="4">
        <f t="shared" si="21"/>
        <v>17169.148500000003</v>
      </c>
      <c r="U21" s="4">
        <f t="shared" ref="U21:V21" si="22">+U18-U22</f>
        <v>17204.953500000003</v>
      </c>
      <c r="V21" s="4">
        <f t="shared" si="22"/>
        <v>18289.519500000002</v>
      </c>
      <c r="Y21" s="4">
        <v>253</v>
      </c>
      <c r="Z21" s="4">
        <v>362</v>
      </c>
      <c r="AA21" s="4">
        <v>467</v>
      </c>
      <c r="AB21" s="4">
        <v>633</v>
      </c>
      <c r="AC21" s="4">
        <v>763</v>
      </c>
      <c r="AD21" s="4">
        <v>877</v>
      </c>
      <c r="AE21" s="4">
        <v>1188</v>
      </c>
      <c r="AF21" s="4">
        <v>1085</v>
      </c>
      <c r="AG21" s="4">
        <v>1197</v>
      </c>
      <c r="AH21" s="4">
        <v>2814</v>
      </c>
      <c r="AI21" s="4">
        <v>3002</v>
      </c>
      <c r="AJ21" s="4">
        <v>3455</v>
      </c>
      <c r="AK21" s="4">
        <v>5191</v>
      </c>
      <c r="AL21" s="4">
        <v>5686</v>
      </c>
      <c r="AM21" s="4">
        <v>6716</v>
      </c>
      <c r="AN21" s="4">
        <v>6200</v>
      </c>
      <c r="AO21" s="4">
        <v>7650</v>
      </c>
      <c r="AP21" s="4">
        <v>10693</v>
      </c>
      <c r="AQ21" s="4">
        <v>11598</v>
      </c>
      <c r="AR21" s="4">
        <v>12155</v>
      </c>
      <c r="AS21" s="5">
        <v>12395</v>
      </c>
      <c r="AT21" s="5">
        <v>15577</v>
      </c>
      <c r="AU21" s="5">
        <v>17530</v>
      </c>
      <c r="AV21" s="5">
        <v>20249</v>
      </c>
      <c r="AW21" s="5">
        <v>26934</v>
      </c>
      <c r="AX21" s="5">
        <v>33038</v>
      </c>
      <c r="AY21" s="5">
        <f t="shared" ref="AY21" si="23">AY19+AY20</f>
        <v>32780</v>
      </c>
      <c r="AZ21" s="5">
        <f t="shared" ref="AZ21:BA21" si="24">AZ19+AZ20</f>
        <v>34261</v>
      </c>
      <c r="BA21" s="5">
        <f t="shared" si="24"/>
        <v>38353</v>
      </c>
      <c r="BB21" s="5">
        <f t="shared" ref="BB21:BC21" si="25">BB19+BB20</f>
        <v>42910</v>
      </c>
      <c r="BC21" s="5">
        <f t="shared" si="25"/>
        <v>46078</v>
      </c>
      <c r="BD21" s="5">
        <f t="shared" ref="BD21:BE21" si="26">BD19+BD20</f>
        <v>52232</v>
      </c>
      <c r="BE21" s="5">
        <f t="shared" si="26"/>
        <v>62650</v>
      </c>
      <c r="BF21" s="5">
        <f>BF19+BF20</f>
        <v>65863</v>
      </c>
      <c r="BG21" s="5">
        <f>+BG18-BG22</f>
        <v>77859.662099999987</v>
      </c>
      <c r="BH21" s="5">
        <f>+BH18-BH22</f>
        <v>84106.245002999989</v>
      </c>
      <c r="BI21" s="5">
        <f t="shared" ref="BI21:BM21" si="27">+BI18-BI22</f>
        <v>90931.304697090003</v>
      </c>
      <c r="BJ21" s="5">
        <f t="shared" si="27"/>
        <v>98391.303416402719</v>
      </c>
      <c r="BK21" s="5">
        <f t="shared" si="27"/>
        <v>106548.30805513478</v>
      </c>
      <c r="BL21" s="5">
        <f t="shared" si="27"/>
        <v>115470.54938665286</v>
      </c>
      <c r="BM21" s="5">
        <f t="shared" si="27"/>
        <v>125233.03716710286</v>
      </c>
    </row>
    <row r="22" spans="2:123" s="4" customFormat="1">
      <c r="B22" s="4" t="s">
        <v>22</v>
      </c>
      <c r="C22" s="5"/>
      <c r="D22" s="5"/>
      <c r="E22" s="5"/>
      <c r="F22" s="5">
        <f t="shared" ref="F22" si="28">F18-F21</f>
        <v>25694</v>
      </c>
      <c r="G22" s="5">
        <f t="shared" ref="G22:H22" si="29">G18-G21</f>
        <v>26152</v>
      </c>
      <c r="H22" s="5">
        <f t="shared" si="29"/>
        <v>28882</v>
      </c>
      <c r="I22" s="5">
        <f>I18-I21</f>
        <v>28661</v>
      </c>
      <c r="J22" s="5">
        <f t="shared" ref="J22:M22" si="30">J18-J21</f>
        <v>32161</v>
      </c>
      <c r="K22" s="5">
        <f t="shared" si="30"/>
        <v>31671</v>
      </c>
      <c r="L22" s="5">
        <f t="shared" si="30"/>
        <v>34768</v>
      </c>
      <c r="M22" s="5">
        <f t="shared" si="30"/>
        <v>33745</v>
      </c>
      <c r="N22" s="5">
        <f t="shared" ref="N22" si="31">N18-N21</f>
        <v>35436</v>
      </c>
      <c r="O22" s="5">
        <f>O18-O21</f>
        <v>34670</v>
      </c>
      <c r="P22" s="5">
        <f>P18-P21</f>
        <v>35259</v>
      </c>
      <c r="Q22" s="5">
        <f>Q18-Q21</f>
        <v>36729</v>
      </c>
      <c r="R22" s="5">
        <f>R18-R21</f>
        <v>39394</v>
      </c>
      <c r="S22" s="4">
        <f t="shared" ref="S22:T22" si="32">+S18*0.69</f>
        <v>36313.389000000003</v>
      </c>
      <c r="T22" s="4">
        <f t="shared" si="32"/>
        <v>38215.201500000003</v>
      </c>
      <c r="U22" s="4">
        <f t="shared" ref="U22:V22" si="33">+U18*0.69</f>
        <v>38294.896500000003</v>
      </c>
      <c r="V22" s="4">
        <f t="shared" si="33"/>
        <v>40708.930500000002</v>
      </c>
      <c r="Y22" s="4">
        <f t="shared" ref="Y22:AE22" si="34">Y18-Y21</f>
        <v>930</v>
      </c>
      <c r="Z22" s="4">
        <f t="shared" si="34"/>
        <v>1481</v>
      </c>
      <c r="AA22" s="4">
        <f t="shared" si="34"/>
        <v>2292</v>
      </c>
      <c r="AB22" s="4">
        <f t="shared" si="34"/>
        <v>3120</v>
      </c>
      <c r="AC22" s="4">
        <f t="shared" si="34"/>
        <v>3886</v>
      </c>
      <c r="AD22" s="4">
        <f t="shared" si="34"/>
        <v>5060</v>
      </c>
      <c r="AE22" s="4">
        <f t="shared" si="34"/>
        <v>7483</v>
      </c>
      <c r="AF22" s="4">
        <f t="shared" ref="AF22" si="35">AF18-AF21</f>
        <v>10273</v>
      </c>
      <c r="AG22" s="4">
        <f t="shared" ref="AG22:AX22" si="36">AG18-AG21</f>
        <v>13287</v>
      </c>
      <c r="AH22" s="4">
        <f t="shared" si="36"/>
        <v>16933</v>
      </c>
      <c r="AI22" s="4">
        <f t="shared" si="36"/>
        <v>19954</v>
      </c>
      <c r="AJ22" s="4">
        <f t="shared" si="36"/>
        <v>21841</v>
      </c>
      <c r="AK22" s="4">
        <f t="shared" si="36"/>
        <v>23174</v>
      </c>
      <c r="AL22" s="4">
        <f t="shared" si="36"/>
        <v>26501</v>
      </c>
      <c r="AM22" s="4">
        <f t="shared" si="36"/>
        <v>30119</v>
      </c>
      <c r="AN22" s="4">
        <f t="shared" si="36"/>
        <v>33588</v>
      </c>
      <c r="AO22" s="4">
        <f t="shared" si="36"/>
        <v>36632</v>
      </c>
      <c r="AP22" s="4">
        <f t="shared" si="36"/>
        <v>40429</v>
      </c>
      <c r="AQ22" s="4">
        <f t="shared" si="36"/>
        <v>48822</v>
      </c>
      <c r="AR22" s="4">
        <f t="shared" si="36"/>
        <v>46282</v>
      </c>
      <c r="AS22" s="4">
        <f t="shared" si="36"/>
        <v>50089</v>
      </c>
      <c r="AT22" s="4">
        <f t="shared" si="36"/>
        <v>54366</v>
      </c>
      <c r="AU22" s="4">
        <f t="shared" si="36"/>
        <v>56193</v>
      </c>
      <c r="AV22" s="4">
        <f t="shared" si="36"/>
        <v>57600</v>
      </c>
      <c r="AW22" s="4">
        <f t="shared" si="36"/>
        <v>59899</v>
      </c>
      <c r="AX22" s="4">
        <f t="shared" si="36"/>
        <v>60542</v>
      </c>
      <c r="AY22" s="5">
        <f t="shared" ref="AY22" si="37">AY18-AY21</f>
        <v>52540</v>
      </c>
      <c r="AZ22" s="5">
        <f t="shared" ref="AZ22:BA22" si="38">AZ18-AZ21</f>
        <v>62310</v>
      </c>
      <c r="BA22" s="5">
        <f t="shared" si="38"/>
        <v>72007</v>
      </c>
      <c r="BB22" s="5">
        <f t="shared" ref="BB22:BC22" si="39">BB18-BB21</f>
        <v>82933</v>
      </c>
      <c r="BC22" s="5">
        <f t="shared" si="39"/>
        <v>96937</v>
      </c>
      <c r="BD22" s="5">
        <f t="shared" ref="BD22:BE22" si="40">BD18-BD21</f>
        <v>115856</v>
      </c>
      <c r="BE22" s="5">
        <f t="shared" si="40"/>
        <v>135620</v>
      </c>
      <c r="BF22" s="5">
        <f>BF18-BF21</f>
        <v>146052</v>
      </c>
      <c r="BG22" s="5">
        <f t="shared" ref="BG22:BM22" si="41">+BG18*0.67</f>
        <v>158078.70790000001</v>
      </c>
      <c r="BH22" s="5">
        <f t="shared" si="41"/>
        <v>170761.16409700003</v>
      </c>
      <c r="BI22" s="5">
        <f t="shared" si="41"/>
        <v>184618.10347591003</v>
      </c>
      <c r="BJ22" s="5">
        <f t="shared" si="41"/>
        <v>199764.16148178733</v>
      </c>
      <c r="BK22" s="5">
        <f t="shared" si="41"/>
        <v>216325.352718001</v>
      </c>
      <c r="BL22" s="5">
        <f t="shared" si="41"/>
        <v>234440.20633047706</v>
      </c>
      <c r="BM22" s="5">
        <f t="shared" si="41"/>
        <v>254261.01485442097</v>
      </c>
    </row>
    <row r="23" spans="2:123" s="4" customFormat="1">
      <c r="B23" s="4" t="s">
        <v>25</v>
      </c>
      <c r="C23" s="5"/>
      <c r="D23" s="5"/>
      <c r="E23" s="5"/>
      <c r="F23" s="5">
        <v>5214</v>
      </c>
      <c r="G23" s="5">
        <v>4926</v>
      </c>
      <c r="H23" s="5">
        <v>4899</v>
      </c>
      <c r="I23" s="5">
        <v>5204</v>
      </c>
      <c r="J23" s="5">
        <v>5687</v>
      </c>
      <c r="K23" s="5">
        <v>5599</v>
      </c>
      <c r="L23" s="5">
        <v>5758</v>
      </c>
      <c r="M23" s="5">
        <v>6306</v>
      </c>
      <c r="N23" s="5">
        <v>6849</v>
      </c>
      <c r="O23" s="4">
        <v>6628</v>
      </c>
      <c r="P23" s="4">
        <v>6844</v>
      </c>
      <c r="Q23" s="4">
        <v>6984</v>
      </c>
      <c r="R23" s="4">
        <v>6739</v>
      </c>
      <c r="S23" s="4">
        <f t="shared" ref="S23:S24" si="42">O23*1.01</f>
        <v>6694.28</v>
      </c>
      <c r="T23" s="4">
        <f t="shared" ref="T23:T25" si="43">P23*1.01</f>
        <v>6912.4400000000005</v>
      </c>
      <c r="U23" s="4">
        <f t="shared" ref="U23:U25" si="44">Q23*1.01</f>
        <v>7053.84</v>
      </c>
      <c r="V23" s="4">
        <f t="shared" ref="V23:V25" si="45">R23*1.01</f>
        <v>6806.39</v>
      </c>
      <c r="Y23" s="4">
        <v>181</v>
      </c>
      <c r="Z23" s="4">
        <v>235</v>
      </c>
      <c r="AA23" s="4">
        <v>352</v>
      </c>
      <c r="AB23" s="4">
        <v>470</v>
      </c>
      <c r="AC23" s="4">
        <v>610</v>
      </c>
      <c r="AD23" s="4">
        <v>860</v>
      </c>
      <c r="AE23" s="4">
        <v>1432</v>
      </c>
      <c r="AF23" s="4">
        <v>1925</v>
      </c>
      <c r="AG23" s="4">
        <v>2502</v>
      </c>
      <c r="AH23" s="4">
        <v>2970</v>
      </c>
      <c r="AI23" s="4">
        <v>3775</v>
      </c>
      <c r="AJ23" s="4">
        <v>4379</v>
      </c>
      <c r="AK23" s="4">
        <v>4307</v>
      </c>
      <c r="AL23" s="4">
        <v>4659</v>
      </c>
      <c r="AM23" s="4">
        <v>7779</v>
      </c>
      <c r="AN23" s="4">
        <v>6184</v>
      </c>
      <c r="AO23" s="4">
        <v>6584</v>
      </c>
      <c r="AP23" s="4">
        <v>7121</v>
      </c>
      <c r="AQ23" s="4">
        <v>8164</v>
      </c>
      <c r="AR23" s="4">
        <v>9010</v>
      </c>
      <c r="AS23" s="4">
        <v>8714</v>
      </c>
      <c r="AT23" s="4">
        <v>9043</v>
      </c>
      <c r="AU23" s="4">
        <v>9811</v>
      </c>
      <c r="AV23" s="4">
        <v>10411</v>
      </c>
      <c r="AW23" s="4">
        <v>11381</v>
      </c>
      <c r="AX23" s="4">
        <v>12046</v>
      </c>
      <c r="AY23" s="4">
        <v>11988</v>
      </c>
      <c r="AZ23" s="4">
        <v>13037</v>
      </c>
      <c r="BA23" s="4">
        <v>14726</v>
      </c>
      <c r="BB23" s="4">
        <v>16876</v>
      </c>
      <c r="BC23" s="5">
        <v>19269</v>
      </c>
      <c r="BD23" s="5">
        <f>SUM(G23:J23)</f>
        <v>20716</v>
      </c>
      <c r="BE23" s="5">
        <f t="shared" ref="BE23:BE25" si="46">SUM(K23:N23)</f>
        <v>24512</v>
      </c>
      <c r="BF23" s="5">
        <f t="shared" ref="BF23:BF25" si="47">SUM(O23:R23)</f>
        <v>27195</v>
      </c>
      <c r="BG23" s="5">
        <f>+BF23*1.03</f>
        <v>28010.850000000002</v>
      </c>
      <c r="BH23" s="5">
        <f t="shared" ref="BH23:BM23" si="48">+BG23*1.03</f>
        <v>28851.175500000001</v>
      </c>
      <c r="BI23" s="5">
        <f t="shared" si="48"/>
        <v>29716.710765000003</v>
      </c>
      <c r="BJ23" s="5">
        <f t="shared" si="48"/>
        <v>30608.212087950003</v>
      </c>
      <c r="BK23" s="5">
        <f t="shared" si="48"/>
        <v>31526.458450588503</v>
      </c>
      <c r="BL23" s="5">
        <f t="shared" si="48"/>
        <v>32472.25220410616</v>
      </c>
      <c r="BM23" s="5">
        <f t="shared" si="48"/>
        <v>33446.419770229346</v>
      </c>
    </row>
    <row r="24" spans="2:123" s="4" customFormat="1">
      <c r="B24" s="4" t="s">
        <v>26</v>
      </c>
      <c r="C24" s="5"/>
      <c r="D24" s="5"/>
      <c r="E24" s="5"/>
      <c r="F24" s="5">
        <v>5417</v>
      </c>
      <c r="G24" s="5">
        <v>4231</v>
      </c>
      <c r="H24" s="5">
        <v>4947</v>
      </c>
      <c r="I24" s="5">
        <v>5082</v>
      </c>
      <c r="J24" s="5">
        <v>5857</v>
      </c>
      <c r="K24" s="5">
        <v>4547</v>
      </c>
      <c r="L24" s="5">
        <v>5379</v>
      </c>
      <c r="M24" s="5">
        <v>5595</v>
      </c>
      <c r="N24" s="5">
        <v>6304</v>
      </c>
      <c r="O24" s="4">
        <v>5126</v>
      </c>
      <c r="P24" s="4">
        <v>5679</v>
      </c>
      <c r="Q24" s="4">
        <v>5750</v>
      </c>
      <c r="R24" s="4">
        <v>6204</v>
      </c>
      <c r="S24" s="4">
        <f t="shared" si="42"/>
        <v>5177.26</v>
      </c>
      <c r="T24" s="4">
        <f t="shared" si="43"/>
        <v>5735.79</v>
      </c>
      <c r="U24" s="4">
        <f t="shared" si="44"/>
        <v>5807.5</v>
      </c>
      <c r="V24" s="4">
        <f t="shared" si="45"/>
        <v>6266.04</v>
      </c>
      <c r="Y24" s="4">
        <v>317</v>
      </c>
      <c r="Z24" s="4">
        <v>534</v>
      </c>
      <c r="AA24" s="4">
        <v>854</v>
      </c>
      <c r="AB24" s="4">
        <v>1205</v>
      </c>
      <c r="AC24" s="4">
        <v>1384</v>
      </c>
      <c r="AD24" s="4">
        <v>1895</v>
      </c>
      <c r="AE24" s="4">
        <v>2657</v>
      </c>
      <c r="AF24" s="4">
        <v>2856</v>
      </c>
      <c r="AG24" s="4">
        <v>3412</v>
      </c>
      <c r="AH24" s="4">
        <v>3231</v>
      </c>
      <c r="AI24" s="4">
        <v>4141</v>
      </c>
      <c r="AJ24" s="4">
        <v>4885</v>
      </c>
      <c r="AK24" s="4">
        <v>5407</v>
      </c>
      <c r="AL24" s="4">
        <v>6521</v>
      </c>
      <c r="AM24" s="4">
        <v>8309</v>
      </c>
      <c r="AN24" s="4">
        <v>8677</v>
      </c>
      <c r="AO24" s="4">
        <v>9818</v>
      </c>
      <c r="AP24" s="4">
        <v>11455</v>
      </c>
      <c r="AQ24" s="4">
        <v>13039</v>
      </c>
      <c r="AR24" s="4">
        <v>12879</v>
      </c>
      <c r="AS24" s="4">
        <v>13214</v>
      </c>
      <c r="AT24" s="4">
        <v>13940</v>
      </c>
      <c r="AU24" s="4">
        <v>13857</v>
      </c>
      <c r="AV24" s="4">
        <v>15276</v>
      </c>
      <c r="AW24" s="4">
        <v>15811</v>
      </c>
      <c r="AX24" s="4">
        <v>15713</v>
      </c>
      <c r="AY24" s="4">
        <v>14697</v>
      </c>
      <c r="AZ24" s="4">
        <v>15461</v>
      </c>
      <c r="BA24" s="4">
        <v>17469</v>
      </c>
      <c r="BB24" s="4">
        <v>18213</v>
      </c>
      <c r="BC24" s="5">
        <v>19598</v>
      </c>
      <c r="BD24" s="5">
        <f>SUM(G24:J24)</f>
        <v>20117</v>
      </c>
      <c r="BE24" s="5">
        <f t="shared" si="46"/>
        <v>21825</v>
      </c>
      <c r="BF24" s="5">
        <f t="shared" si="47"/>
        <v>22759</v>
      </c>
      <c r="BG24" s="5">
        <f>+BF24*1.03</f>
        <v>23441.77</v>
      </c>
      <c r="BH24" s="5">
        <f t="shared" ref="BH24:BM24" si="49">+BG24*1.03</f>
        <v>24145.023100000002</v>
      </c>
      <c r="BI24" s="5">
        <f t="shared" si="49"/>
        <v>24869.373793000002</v>
      </c>
      <c r="BJ24" s="5">
        <f t="shared" si="49"/>
        <v>25615.455006790002</v>
      </c>
      <c r="BK24" s="5">
        <f t="shared" si="49"/>
        <v>26383.918656993701</v>
      </c>
      <c r="BL24" s="5">
        <f t="shared" si="49"/>
        <v>27175.436216703514</v>
      </c>
      <c r="BM24" s="5">
        <f t="shared" si="49"/>
        <v>27990.699303204619</v>
      </c>
    </row>
    <row r="25" spans="2:123" s="4" customFormat="1">
      <c r="B25" s="4" t="s">
        <v>27</v>
      </c>
      <c r="C25" s="5"/>
      <c r="D25" s="5"/>
      <c r="E25" s="5"/>
      <c r="F25" s="5">
        <v>1656</v>
      </c>
      <c r="G25" s="5">
        <v>1119</v>
      </c>
      <c r="H25" s="5">
        <v>1139</v>
      </c>
      <c r="I25" s="5">
        <v>1327</v>
      </c>
      <c r="J25" s="5">
        <v>1522</v>
      </c>
      <c r="K25" s="5">
        <v>1287</v>
      </c>
      <c r="L25" s="5">
        <v>1384</v>
      </c>
      <c r="M25" s="5">
        <v>1480</v>
      </c>
      <c r="N25" s="5">
        <v>1749</v>
      </c>
      <c r="O25" s="4">
        <v>1398</v>
      </c>
      <c r="P25" s="4">
        <v>2337</v>
      </c>
      <c r="Q25" s="4">
        <v>1643</v>
      </c>
      <c r="R25" s="4">
        <v>2197</v>
      </c>
      <c r="S25" s="4">
        <f>O25*1.01</f>
        <v>1411.98</v>
      </c>
      <c r="T25" s="4">
        <f t="shared" si="43"/>
        <v>2360.37</v>
      </c>
      <c r="U25" s="4">
        <f t="shared" si="44"/>
        <v>1659.43</v>
      </c>
      <c r="V25" s="4">
        <f t="shared" si="45"/>
        <v>2218.9699999999998</v>
      </c>
      <c r="Y25" s="4">
        <v>39</v>
      </c>
      <c r="Z25" s="4">
        <v>62</v>
      </c>
      <c r="AA25" s="4">
        <v>90</v>
      </c>
      <c r="AB25" s="4">
        <v>119</v>
      </c>
      <c r="AC25" s="4">
        <v>166</v>
      </c>
      <c r="AD25" s="4">
        <v>267</v>
      </c>
      <c r="AE25" s="4">
        <v>316</v>
      </c>
      <c r="AF25" s="4">
        <v>362</v>
      </c>
      <c r="AG25" s="4">
        <v>433</v>
      </c>
      <c r="AH25" s="4">
        <v>689</v>
      </c>
      <c r="AI25" s="4">
        <v>1009</v>
      </c>
      <c r="AJ25" s="4">
        <v>857</v>
      </c>
      <c r="AK25" s="4">
        <v>1550</v>
      </c>
      <c r="AL25" s="4">
        <v>2104</v>
      </c>
      <c r="AM25" s="4">
        <v>4997</v>
      </c>
      <c r="AN25" s="4">
        <v>4166</v>
      </c>
      <c r="AO25" s="4">
        <v>3758</v>
      </c>
      <c r="AP25" s="4">
        <v>3329</v>
      </c>
      <c r="AQ25" s="4">
        <v>5127</v>
      </c>
      <c r="AR25" s="4">
        <v>3700</v>
      </c>
      <c r="AS25" s="4">
        <v>4004</v>
      </c>
      <c r="AT25" s="4">
        <v>4222</v>
      </c>
      <c r="AU25" s="4">
        <v>4569</v>
      </c>
      <c r="AV25" s="4">
        <v>5149</v>
      </c>
      <c r="AW25" s="4">
        <v>4821</v>
      </c>
      <c r="AX25" s="4">
        <v>4611</v>
      </c>
      <c r="AY25" s="4">
        <v>4563</v>
      </c>
      <c r="AZ25" s="4">
        <v>4481</v>
      </c>
      <c r="BA25" s="4">
        <v>4754</v>
      </c>
      <c r="BB25" s="4">
        <v>4885</v>
      </c>
      <c r="BC25" s="5">
        <v>5111</v>
      </c>
      <c r="BD25" s="5">
        <f>SUM(G25:J25)</f>
        <v>5107</v>
      </c>
      <c r="BE25" s="5">
        <f t="shared" si="46"/>
        <v>5900</v>
      </c>
      <c r="BF25" s="5">
        <f t="shared" si="47"/>
        <v>7575</v>
      </c>
      <c r="BG25" s="5">
        <f>+BF25*1.03</f>
        <v>7802.25</v>
      </c>
      <c r="BH25" s="5">
        <f t="shared" ref="BH25:BM25" si="50">+BG25*1.03</f>
        <v>8036.3175000000001</v>
      </c>
      <c r="BI25" s="5">
        <f t="shared" si="50"/>
        <v>8277.4070250000004</v>
      </c>
      <c r="BJ25" s="5">
        <f t="shared" si="50"/>
        <v>8525.729235750001</v>
      </c>
      <c r="BK25" s="5">
        <f t="shared" si="50"/>
        <v>8781.5011128225015</v>
      </c>
      <c r="BL25" s="5">
        <f t="shared" si="50"/>
        <v>9044.9461462071758</v>
      </c>
      <c r="BM25" s="5">
        <f t="shared" si="50"/>
        <v>9316.2945305933918</v>
      </c>
    </row>
    <row r="26" spans="2:123" s="4" customFormat="1">
      <c r="B26" s="4" t="s">
        <v>23</v>
      </c>
      <c r="C26" s="5"/>
      <c r="D26" s="5"/>
      <c r="E26" s="5"/>
      <c r="F26" s="5">
        <f t="shared" ref="F26" si="51">SUM(F23:F25)</f>
        <v>12287</v>
      </c>
      <c r="G26" s="5">
        <f t="shared" ref="G26:L26" si="52">SUM(G23:G25)</f>
        <v>10276</v>
      </c>
      <c r="H26" s="5">
        <f t="shared" si="52"/>
        <v>10985</v>
      </c>
      <c r="I26" s="5">
        <f t="shared" si="52"/>
        <v>11613</v>
      </c>
      <c r="J26" s="5">
        <f t="shared" si="52"/>
        <v>13066</v>
      </c>
      <c r="K26" s="5">
        <f t="shared" si="52"/>
        <v>11433</v>
      </c>
      <c r="L26" s="5">
        <f t="shared" si="52"/>
        <v>12521</v>
      </c>
      <c r="M26" s="5">
        <f>SUM(M23:M25)</f>
        <v>13381</v>
      </c>
      <c r="N26" s="5">
        <f t="shared" ref="N26:O26" si="53">SUM(N23:N25)</f>
        <v>14902</v>
      </c>
      <c r="O26" s="5">
        <f t="shared" si="53"/>
        <v>13152</v>
      </c>
      <c r="P26" s="5">
        <f>SUM(P23:P25)</f>
        <v>14860</v>
      </c>
      <c r="Q26" s="5">
        <f t="shared" ref="Q26:R26" si="54">SUM(Q23:Q25)</f>
        <v>14377</v>
      </c>
      <c r="R26" s="5">
        <f t="shared" si="54"/>
        <v>15140</v>
      </c>
      <c r="S26" s="5">
        <f t="shared" ref="S26:U26" si="55">SUM(S23:S25)</f>
        <v>13283.52</v>
      </c>
      <c r="T26" s="5">
        <f t="shared" si="55"/>
        <v>15008.599999999999</v>
      </c>
      <c r="U26" s="5">
        <f t="shared" si="55"/>
        <v>14520.77</v>
      </c>
      <c r="V26" s="5">
        <f t="shared" ref="V26" si="56">SUM(V23:V25)</f>
        <v>15291.4</v>
      </c>
      <c r="W26" s="5"/>
      <c r="X26" s="5"/>
      <c r="Y26" s="5">
        <f t="shared" ref="Y26:Z26" si="57">Y23+Y24+Y25</f>
        <v>537</v>
      </c>
      <c r="Z26" s="5">
        <f t="shared" si="57"/>
        <v>831</v>
      </c>
      <c r="AA26" s="5">
        <f>AA23+AA24+AA25</f>
        <v>1296</v>
      </c>
      <c r="AB26" s="5">
        <f>AB23+AB24+AB25</f>
        <v>1794</v>
      </c>
      <c r="AC26" s="5">
        <f>AC23+AC24+AC25</f>
        <v>2160</v>
      </c>
      <c r="AD26" s="5">
        <f>AD23+AD24+AD25</f>
        <v>3022</v>
      </c>
      <c r="AE26" s="5">
        <f>AE23+AE24+AE25</f>
        <v>4405</v>
      </c>
      <c r="AF26" s="5">
        <f t="shared" ref="AF26" si="58">AF23+AF24+AF25</f>
        <v>5143</v>
      </c>
      <c r="AG26" s="5">
        <f t="shared" ref="AG26:AX26" si="59">AG23+AG24+AG25</f>
        <v>6347</v>
      </c>
      <c r="AH26" s="5">
        <f t="shared" si="59"/>
        <v>6890</v>
      </c>
      <c r="AI26" s="5">
        <f t="shared" si="59"/>
        <v>8925</v>
      </c>
      <c r="AJ26" s="5">
        <f t="shared" si="59"/>
        <v>10121</v>
      </c>
      <c r="AK26" s="5">
        <f t="shared" si="59"/>
        <v>11264</v>
      </c>
      <c r="AL26" s="5">
        <f t="shared" si="59"/>
        <v>13284</v>
      </c>
      <c r="AM26" s="5">
        <f t="shared" si="59"/>
        <v>21085</v>
      </c>
      <c r="AN26" s="5">
        <f t="shared" si="59"/>
        <v>19027</v>
      </c>
      <c r="AO26" s="5">
        <f t="shared" si="59"/>
        <v>20160</v>
      </c>
      <c r="AP26" s="5">
        <f t="shared" si="59"/>
        <v>21905</v>
      </c>
      <c r="AQ26" s="5">
        <f t="shared" si="59"/>
        <v>26330</v>
      </c>
      <c r="AR26" s="5">
        <f t="shared" si="59"/>
        <v>25589</v>
      </c>
      <c r="AS26" s="5">
        <f t="shared" si="59"/>
        <v>25932</v>
      </c>
      <c r="AT26" s="5">
        <f t="shared" si="59"/>
        <v>27205</v>
      </c>
      <c r="AU26" s="5">
        <f t="shared" si="59"/>
        <v>28237</v>
      </c>
      <c r="AV26" s="5">
        <f t="shared" si="59"/>
        <v>30836</v>
      </c>
      <c r="AW26" s="5">
        <f t="shared" si="59"/>
        <v>32013</v>
      </c>
      <c r="AX26" s="5">
        <f t="shared" si="59"/>
        <v>32370</v>
      </c>
      <c r="AY26" s="5">
        <f t="shared" ref="AY26:AZ26" si="60">SUM(AY23:AY25)</f>
        <v>31248</v>
      </c>
      <c r="AZ26" s="5">
        <f t="shared" si="60"/>
        <v>32979</v>
      </c>
      <c r="BA26" s="5">
        <f t="shared" ref="BA26:BB26" si="61">SUM(BA23:BA25)</f>
        <v>36949</v>
      </c>
      <c r="BB26" s="5">
        <f t="shared" si="61"/>
        <v>39974</v>
      </c>
      <c r="BC26" s="5">
        <f t="shared" ref="BC26" si="62">SUM(BC23:BC25)</f>
        <v>43978</v>
      </c>
      <c r="BD26" s="5">
        <f t="shared" ref="BD26:BF26" si="63">SUM(BD23:BD25)</f>
        <v>45940</v>
      </c>
      <c r="BE26" s="5">
        <f t="shared" si="63"/>
        <v>52237</v>
      </c>
      <c r="BF26" s="5">
        <f t="shared" si="63"/>
        <v>57529</v>
      </c>
      <c r="BG26" s="5">
        <f t="shared" ref="BG26" si="64">SUM(BG23:BG25)</f>
        <v>59254.87</v>
      </c>
      <c r="BH26" s="5">
        <f t="shared" ref="BH26" si="65">SUM(BH23:BH25)</f>
        <v>61032.516100000001</v>
      </c>
      <c r="BI26" s="5">
        <f t="shared" ref="BI26" si="66">SUM(BI23:BI25)</f>
        <v>62863.491583000003</v>
      </c>
      <c r="BJ26" s="5">
        <f t="shared" ref="BJ26" si="67">SUM(BJ23:BJ25)</f>
        <v>64749.39633049001</v>
      </c>
      <c r="BK26" s="5">
        <f t="shared" ref="BK26" si="68">SUM(BK23:BK25)</f>
        <v>66691.878220404702</v>
      </c>
      <c r="BL26" s="5">
        <f t="shared" ref="BL26" si="69">SUM(BL23:BL25)</f>
        <v>68692.634567016852</v>
      </c>
      <c r="BM26" s="5">
        <f t="shared" ref="BM26" si="70">SUM(BM23:BM25)</f>
        <v>70753.413604027359</v>
      </c>
    </row>
    <row r="27" spans="2:123" s="4" customFormat="1">
      <c r="B27" s="4" t="s">
        <v>24</v>
      </c>
      <c r="C27" s="5"/>
      <c r="D27" s="5"/>
      <c r="E27" s="5"/>
      <c r="F27" s="5">
        <f t="shared" ref="F27" si="71">F22-F26</f>
        <v>13407</v>
      </c>
      <c r="G27" s="5">
        <f t="shared" ref="G27:L27" si="72">G22-G26</f>
        <v>15876</v>
      </c>
      <c r="H27" s="5">
        <f t="shared" si="72"/>
        <v>17897</v>
      </c>
      <c r="I27" s="5">
        <f t="shared" si="72"/>
        <v>17048</v>
      </c>
      <c r="J27" s="5">
        <f t="shared" si="72"/>
        <v>19095</v>
      </c>
      <c r="K27" s="5">
        <f t="shared" si="72"/>
        <v>20238</v>
      </c>
      <c r="L27" s="5">
        <f t="shared" si="72"/>
        <v>22247</v>
      </c>
      <c r="M27" s="5">
        <f>M22-M26</f>
        <v>20364</v>
      </c>
      <c r="N27" s="5">
        <f t="shared" ref="N27:O27" si="73">N22-N26</f>
        <v>20534</v>
      </c>
      <c r="O27" s="5">
        <f t="shared" si="73"/>
        <v>21518</v>
      </c>
      <c r="P27" s="5">
        <f>P22-P26</f>
        <v>20399</v>
      </c>
      <c r="Q27" s="5">
        <f>Q22-Q26</f>
        <v>22352</v>
      </c>
      <c r="R27" s="5">
        <f t="shared" ref="R27:U27" si="74">R22-R26</f>
        <v>24254</v>
      </c>
      <c r="S27" s="5">
        <f t="shared" si="74"/>
        <v>23029.869000000002</v>
      </c>
      <c r="T27" s="5">
        <f t="shared" si="74"/>
        <v>23206.601500000004</v>
      </c>
      <c r="U27" s="5">
        <f t="shared" si="74"/>
        <v>23774.126500000002</v>
      </c>
      <c r="V27" s="5">
        <f t="shared" ref="V27" si="75">V22-V26</f>
        <v>25417.530500000001</v>
      </c>
      <c r="W27" s="5"/>
      <c r="X27" s="5"/>
      <c r="Y27" s="5">
        <f t="shared" ref="Y27:Z27" si="76">Y22-Y26</f>
        <v>393</v>
      </c>
      <c r="Z27" s="5">
        <f t="shared" si="76"/>
        <v>650</v>
      </c>
      <c r="AA27" s="5">
        <f>AA22-AA26</f>
        <v>996</v>
      </c>
      <c r="AB27" s="5">
        <f>AB22-AB26</f>
        <v>1326</v>
      </c>
      <c r="AC27" s="5">
        <f>AC22-AC26</f>
        <v>1726</v>
      </c>
      <c r="AD27" s="5">
        <f>AD22-AD26</f>
        <v>2038</v>
      </c>
      <c r="AE27" s="5">
        <f>AE22-AE26</f>
        <v>3078</v>
      </c>
      <c r="AF27" s="5">
        <f t="shared" ref="AF27" si="77">AF22-AF26</f>
        <v>5130</v>
      </c>
      <c r="AG27" s="5">
        <f t="shared" ref="AG27:AX27" si="78">AG22-AG26</f>
        <v>6940</v>
      </c>
      <c r="AH27" s="5">
        <f t="shared" si="78"/>
        <v>10043</v>
      </c>
      <c r="AI27" s="5">
        <f t="shared" si="78"/>
        <v>11029</v>
      </c>
      <c r="AJ27" s="5">
        <f t="shared" si="78"/>
        <v>11720</v>
      </c>
      <c r="AK27" s="5">
        <f t="shared" si="78"/>
        <v>11910</v>
      </c>
      <c r="AL27" s="5">
        <f t="shared" si="78"/>
        <v>13217</v>
      </c>
      <c r="AM27" s="5">
        <f t="shared" si="78"/>
        <v>9034</v>
      </c>
      <c r="AN27" s="5">
        <f t="shared" si="78"/>
        <v>14561</v>
      </c>
      <c r="AO27" s="5">
        <f t="shared" si="78"/>
        <v>16472</v>
      </c>
      <c r="AP27" s="5">
        <f t="shared" si="78"/>
        <v>18524</v>
      </c>
      <c r="AQ27" s="5">
        <f t="shared" si="78"/>
        <v>22492</v>
      </c>
      <c r="AR27" s="5">
        <f t="shared" si="78"/>
        <v>20693</v>
      </c>
      <c r="AS27" s="5">
        <f t="shared" si="78"/>
        <v>24157</v>
      </c>
      <c r="AT27" s="5">
        <f t="shared" si="78"/>
        <v>27161</v>
      </c>
      <c r="AU27" s="5">
        <f t="shared" si="78"/>
        <v>27956</v>
      </c>
      <c r="AV27" s="5">
        <f t="shared" si="78"/>
        <v>26764</v>
      </c>
      <c r="AW27" s="5">
        <f t="shared" si="78"/>
        <v>27886</v>
      </c>
      <c r="AX27" s="5">
        <f t="shared" si="78"/>
        <v>28172</v>
      </c>
      <c r="AY27" s="5">
        <f t="shared" ref="AY27:AZ27" si="79">AY22-AY26</f>
        <v>21292</v>
      </c>
      <c r="AZ27" s="5">
        <f t="shared" si="79"/>
        <v>29331</v>
      </c>
      <c r="BA27" s="5">
        <f t="shared" ref="BA27:BB27" si="80">BA22-BA26</f>
        <v>35058</v>
      </c>
      <c r="BB27" s="5">
        <f t="shared" si="80"/>
        <v>42959</v>
      </c>
      <c r="BC27" s="5">
        <f t="shared" ref="BC27" si="81">BC22-BC26</f>
        <v>52959</v>
      </c>
      <c r="BD27" s="5">
        <f t="shared" ref="BD27:BF27" si="82">BD22-BD26</f>
        <v>69916</v>
      </c>
      <c r="BE27" s="5">
        <f t="shared" si="82"/>
        <v>83383</v>
      </c>
      <c r="BF27" s="5">
        <f t="shared" si="82"/>
        <v>88523</v>
      </c>
      <c r="BG27" s="5">
        <f t="shared" ref="BG27" si="83">BG22-BG26</f>
        <v>98823.837900000013</v>
      </c>
      <c r="BH27" s="5">
        <f t="shared" ref="BH27" si="84">BH22-BH26</f>
        <v>109728.64799700002</v>
      </c>
      <c r="BI27" s="5">
        <f t="shared" ref="BI27" si="85">BI22-BI26</f>
        <v>121754.61189291003</v>
      </c>
      <c r="BJ27" s="5">
        <f t="shared" ref="BJ27" si="86">BJ22-BJ26</f>
        <v>135014.76515129732</v>
      </c>
      <c r="BK27" s="5">
        <f t="shared" ref="BK27" si="87">BK22-BK26</f>
        <v>149633.4744975963</v>
      </c>
      <c r="BL27" s="5">
        <f t="shared" ref="BL27" si="88">BL22-BL26</f>
        <v>165747.5717634602</v>
      </c>
      <c r="BM27" s="5">
        <f t="shared" ref="BM27" si="89">BM22-BM26</f>
        <v>183507.60125039361</v>
      </c>
    </row>
    <row r="28" spans="2:123">
      <c r="B28" s="4" t="s">
        <v>28</v>
      </c>
      <c r="F28" s="2">
        <v>15</v>
      </c>
      <c r="G28" s="2">
        <v>248</v>
      </c>
      <c r="H28" s="2">
        <v>440</v>
      </c>
      <c r="I28" s="2">
        <v>188</v>
      </c>
      <c r="J28" s="2">
        <v>310</v>
      </c>
      <c r="K28" s="2">
        <v>286</v>
      </c>
      <c r="L28" s="2">
        <v>268</v>
      </c>
      <c r="M28" s="2">
        <v>-174</v>
      </c>
      <c r="N28" s="2">
        <v>-47</v>
      </c>
      <c r="O28" s="4">
        <v>54</v>
      </c>
      <c r="P28" s="4">
        <v>-60</v>
      </c>
      <c r="Q28" s="4">
        <v>321</v>
      </c>
      <c r="R28" s="4">
        <v>473</v>
      </c>
      <c r="S28" s="4">
        <f>R28</f>
        <v>473</v>
      </c>
      <c r="T28" s="4">
        <f t="shared" ref="T28:V28" si="90">S28</f>
        <v>473</v>
      </c>
      <c r="U28" s="4">
        <f t="shared" si="90"/>
        <v>473</v>
      </c>
      <c r="V28" s="4">
        <f t="shared" si="90"/>
        <v>473</v>
      </c>
      <c r="Y28">
        <f>31-14</f>
        <v>17</v>
      </c>
      <c r="Z28">
        <f>37-16</f>
        <v>21</v>
      </c>
      <c r="AA28">
        <f>56-11</f>
        <v>45</v>
      </c>
      <c r="AB28">
        <f>82-7</f>
        <v>75</v>
      </c>
      <c r="AC28">
        <f>102-16</f>
        <v>86</v>
      </c>
      <c r="AD28">
        <f>191-16</f>
        <v>175</v>
      </c>
      <c r="AE28">
        <f>320-19</f>
        <v>301</v>
      </c>
      <c r="AF28">
        <f>443-259</f>
        <v>184</v>
      </c>
      <c r="AG28">
        <f>703-230</f>
        <v>473</v>
      </c>
      <c r="AH28" s="4">
        <f>1803-115</f>
        <v>1688</v>
      </c>
      <c r="AI28" s="4">
        <f>3182-92</f>
        <v>3090</v>
      </c>
      <c r="AJ28" s="4">
        <v>-36</v>
      </c>
      <c r="AK28" s="4">
        <v>-305</v>
      </c>
      <c r="AL28" s="4">
        <v>1577</v>
      </c>
      <c r="AM28" s="4">
        <v>3187</v>
      </c>
      <c r="AN28" s="4">
        <v>2067</v>
      </c>
      <c r="AO28" s="4">
        <v>1790</v>
      </c>
      <c r="AP28" s="4">
        <v>1577</v>
      </c>
      <c r="AQ28" s="4">
        <v>1322</v>
      </c>
      <c r="AR28" s="4">
        <v>-542</v>
      </c>
      <c r="AS28" s="4">
        <v>915</v>
      </c>
      <c r="AT28" s="4">
        <v>910</v>
      </c>
      <c r="AU28" s="4">
        <v>504</v>
      </c>
      <c r="AV28" s="4">
        <v>288</v>
      </c>
      <c r="AW28" s="4">
        <v>61</v>
      </c>
      <c r="AX28" s="4">
        <v>346</v>
      </c>
      <c r="AY28" s="4">
        <v>-431</v>
      </c>
      <c r="AZ28" s="4">
        <v>876</v>
      </c>
      <c r="BA28" s="4">
        <v>1416</v>
      </c>
      <c r="BB28" s="4">
        <v>729</v>
      </c>
      <c r="BC28" s="2">
        <v>77</v>
      </c>
      <c r="BD28" s="5">
        <f>SUM(G28:J28)</f>
        <v>1186</v>
      </c>
      <c r="BE28" s="5">
        <f t="shared" ref="BE28" si="91">SUM(K28:N28)</f>
        <v>333</v>
      </c>
      <c r="BF28" s="5">
        <f t="shared" ref="BF28:BM28" si="92">+BE44*$BP$36</f>
        <v>618.66999999999996</v>
      </c>
      <c r="BG28" s="5">
        <f t="shared" si="92"/>
        <v>1376.3741950000001</v>
      </c>
      <c r="BH28" s="5">
        <f t="shared" si="92"/>
        <v>2228.0759978075002</v>
      </c>
      <c r="BI28" s="5">
        <f t="shared" si="92"/>
        <v>3179.7081517633646</v>
      </c>
      <c r="BJ28" s="5">
        <f t="shared" si="92"/>
        <v>4241.649872143088</v>
      </c>
      <c r="BK28" s="5">
        <f t="shared" si="92"/>
        <v>5425.3293998423314</v>
      </c>
      <c r="BL28" s="5">
        <f t="shared" si="92"/>
        <v>6743.32923297056</v>
      </c>
      <c r="BM28" s="5">
        <f t="shared" si="92"/>
        <v>8209.5018914402226</v>
      </c>
    </row>
    <row r="29" spans="2:123">
      <c r="B29" s="4" t="s">
        <v>29</v>
      </c>
      <c r="C29" s="5"/>
      <c r="D29" s="5"/>
      <c r="E29" s="5"/>
      <c r="F29" s="5">
        <f t="shared" ref="F29" si="93">F27+F28</f>
        <v>13422</v>
      </c>
      <c r="G29" s="5">
        <f>G27+G28</f>
        <v>16124</v>
      </c>
      <c r="H29" s="5">
        <f t="shared" ref="H29:V29" si="94">H27+H28</f>
        <v>18337</v>
      </c>
      <c r="I29" s="5">
        <f t="shared" si="94"/>
        <v>17236</v>
      </c>
      <c r="J29" s="5">
        <f t="shared" si="94"/>
        <v>19405</v>
      </c>
      <c r="K29" s="5">
        <f t="shared" si="94"/>
        <v>20524</v>
      </c>
      <c r="L29" s="5">
        <f t="shared" si="94"/>
        <v>22515</v>
      </c>
      <c r="M29" s="5">
        <f t="shared" si="94"/>
        <v>20190</v>
      </c>
      <c r="N29" s="5">
        <f t="shared" si="94"/>
        <v>20487</v>
      </c>
      <c r="O29" s="5">
        <f t="shared" si="94"/>
        <v>21572</v>
      </c>
      <c r="P29" s="5">
        <f t="shared" si="94"/>
        <v>20339</v>
      </c>
      <c r="Q29" s="5">
        <f t="shared" si="94"/>
        <v>22673</v>
      </c>
      <c r="R29" s="5">
        <f t="shared" si="94"/>
        <v>24727</v>
      </c>
      <c r="S29" s="5">
        <f t="shared" si="94"/>
        <v>23502.869000000002</v>
      </c>
      <c r="T29" s="5">
        <f t="shared" si="94"/>
        <v>23679.601500000004</v>
      </c>
      <c r="U29" s="5">
        <f t="shared" si="94"/>
        <v>24247.126500000002</v>
      </c>
      <c r="V29" s="5">
        <f t="shared" si="94"/>
        <v>25890.530500000001</v>
      </c>
      <c r="Y29" s="4">
        <f t="shared" ref="Y29:Z29" si="95">Y28+Y27</f>
        <v>410</v>
      </c>
      <c r="Z29" s="4">
        <f t="shared" si="95"/>
        <v>671</v>
      </c>
      <c r="AA29" s="4">
        <f>AA28+AA27</f>
        <v>1041</v>
      </c>
      <c r="AB29" s="4">
        <f>AB28+AB27</f>
        <v>1401</v>
      </c>
      <c r="AC29" s="4">
        <f>AC28+AC27</f>
        <v>1812</v>
      </c>
      <c r="AD29" s="4">
        <f>AD28+AD27</f>
        <v>2213</v>
      </c>
      <c r="AE29" s="4">
        <f>AE28+AE27</f>
        <v>3379</v>
      </c>
      <c r="AF29" s="4">
        <f t="shared" ref="AF29" si="96">AF28+AF27</f>
        <v>5314</v>
      </c>
      <c r="AG29" s="4">
        <f t="shared" ref="AG29:AX29" si="97">AG28+AG27</f>
        <v>7413</v>
      </c>
      <c r="AH29" s="4">
        <f t="shared" si="97"/>
        <v>11731</v>
      </c>
      <c r="AI29" s="4">
        <f t="shared" si="97"/>
        <v>14119</v>
      </c>
      <c r="AJ29" s="4">
        <f t="shared" si="97"/>
        <v>11684</v>
      </c>
      <c r="AK29" s="4">
        <f t="shared" si="97"/>
        <v>11605</v>
      </c>
      <c r="AL29" s="4">
        <f t="shared" si="97"/>
        <v>14794</v>
      </c>
      <c r="AM29" s="4">
        <f t="shared" si="97"/>
        <v>12221</v>
      </c>
      <c r="AN29" s="4">
        <f t="shared" si="97"/>
        <v>16628</v>
      </c>
      <c r="AO29" s="4">
        <f t="shared" si="97"/>
        <v>18262</v>
      </c>
      <c r="AP29" s="4">
        <f t="shared" si="97"/>
        <v>20101</v>
      </c>
      <c r="AQ29" s="4">
        <f t="shared" si="97"/>
        <v>23814</v>
      </c>
      <c r="AR29" s="4">
        <f t="shared" si="97"/>
        <v>20151</v>
      </c>
      <c r="AS29" s="4">
        <f t="shared" si="97"/>
        <v>25072</v>
      </c>
      <c r="AT29" s="4">
        <f t="shared" si="97"/>
        <v>28071</v>
      </c>
      <c r="AU29" s="4">
        <f t="shared" si="97"/>
        <v>28460</v>
      </c>
      <c r="AV29" s="4">
        <f t="shared" si="97"/>
        <v>27052</v>
      </c>
      <c r="AW29" s="4">
        <f t="shared" si="97"/>
        <v>27947</v>
      </c>
      <c r="AX29" s="4">
        <f t="shared" si="97"/>
        <v>28518</v>
      </c>
      <c r="AY29" s="4">
        <f>+AY27+AY28</f>
        <v>20861</v>
      </c>
      <c r="AZ29" s="4">
        <f>+AZ27+AZ28</f>
        <v>30207</v>
      </c>
      <c r="BA29" s="4">
        <f>+BA27+BA28</f>
        <v>36474</v>
      </c>
      <c r="BB29" s="4">
        <f>+BB27+BB28</f>
        <v>43688</v>
      </c>
      <c r="BC29" s="5">
        <f>+BC27+BC28</f>
        <v>53036</v>
      </c>
      <c r="BD29" s="5">
        <f t="shared" ref="BD29:BF29" si="98">+BD27+BD28</f>
        <v>71102</v>
      </c>
      <c r="BE29" s="5">
        <f t="shared" si="98"/>
        <v>83716</v>
      </c>
      <c r="BF29" s="5">
        <f t="shared" si="98"/>
        <v>89141.67</v>
      </c>
      <c r="BG29" s="5">
        <f t="shared" ref="BG29" si="99">+BG27+BG28</f>
        <v>100200.21209500001</v>
      </c>
      <c r="BH29" s="5">
        <f t="shared" ref="BH29" si="100">+BH27+BH28</f>
        <v>111956.72399480751</v>
      </c>
      <c r="BI29" s="5">
        <f t="shared" ref="BI29" si="101">+BI27+BI28</f>
        <v>124934.3200446734</v>
      </c>
      <c r="BJ29" s="5">
        <f t="shared" ref="BJ29" si="102">+BJ27+BJ28</f>
        <v>139256.41502344041</v>
      </c>
      <c r="BK29" s="5">
        <f t="shared" ref="BK29" si="103">+BK27+BK28</f>
        <v>155058.80389743863</v>
      </c>
      <c r="BL29" s="5">
        <f t="shared" ref="BL29" si="104">+BL27+BL28</f>
        <v>172490.90099643078</v>
      </c>
      <c r="BM29" s="5">
        <f t="shared" ref="BM29" si="105">+BM27+BM28</f>
        <v>191717.10314183382</v>
      </c>
    </row>
    <row r="30" spans="2:123" s="4" customFormat="1">
      <c r="B30" s="4" t="s">
        <v>30</v>
      </c>
      <c r="C30" s="5"/>
      <c r="D30" s="5"/>
      <c r="E30" s="5"/>
      <c r="F30" s="5">
        <v>2220</v>
      </c>
      <c r="G30" s="5">
        <v>2231</v>
      </c>
      <c r="H30" s="5">
        <v>2874</v>
      </c>
      <c r="I30" s="5">
        <v>1779</v>
      </c>
      <c r="J30" s="5">
        <v>2947</v>
      </c>
      <c r="K30" s="5">
        <v>19</v>
      </c>
      <c r="L30" s="5">
        <v>3750</v>
      </c>
      <c r="M30" s="5">
        <v>3462</v>
      </c>
      <c r="N30" s="5">
        <v>3747</v>
      </c>
      <c r="O30" s="4">
        <v>4016</v>
      </c>
      <c r="P30" s="4">
        <v>3914</v>
      </c>
      <c r="Q30" s="4">
        <v>3914</v>
      </c>
      <c r="R30" s="4">
        <v>4646</v>
      </c>
      <c r="S30" s="4">
        <f>S29*0.2</f>
        <v>4700.573800000001</v>
      </c>
      <c r="T30" s="4">
        <f t="shared" ref="T30:V30" si="106">T29*0.2</f>
        <v>4735.9203000000007</v>
      </c>
      <c r="U30" s="4">
        <f t="shared" si="106"/>
        <v>4849.4253000000008</v>
      </c>
      <c r="V30" s="4">
        <f t="shared" si="106"/>
        <v>5178.1061000000009</v>
      </c>
      <c r="Y30" s="4">
        <v>131</v>
      </c>
      <c r="Z30" s="4">
        <v>208</v>
      </c>
      <c r="AA30" s="4">
        <v>333</v>
      </c>
      <c r="AB30" s="4">
        <v>448</v>
      </c>
      <c r="AC30" s="4">
        <v>576</v>
      </c>
      <c r="AD30" s="4">
        <v>714</v>
      </c>
      <c r="AE30" s="4">
        <v>1184</v>
      </c>
      <c r="AF30" s="4">
        <v>1860</v>
      </c>
      <c r="AG30" s="4">
        <f>2627+28</f>
        <v>2655</v>
      </c>
      <c r="AH30" s="4">
        <v>4106</v>
      </c>
      <c r="AI30" s="4">
        <v>4854</v>
      </c>
      <c r="AJ30" s="4">
        <v>3804</v>
      </c>
      <c r="AK30" s="4">
        <v>3684</v>
      </c>
      <c r="AL30" s="4">
        <v>4733</v>
      </c>
      <c r="AM30" s="4">
        <v>4028</v>
      </c>
      <c r="AN30" s="4">
        <v>4374</v>
      </c>
      <c r="AO30" s="4">
        <v>5663</v>
      </c>
      <c r="AP30" s="4">
        <v>6036</v>
      </c>
      <c r="AQ30" s="4">
        <v>6133</v>
      </c>
      <c r="AR30" s="4">
        <v>5252</v>
      </c>
      <c r="AS30" s="4">
        <v>6253</v>
      </c>
      <c r="AT30" s="4">
        <v>4921</v>
      </c>
      <c r="AU30" s="4">
        <v>5289</v>
      </c>
      <c r="AV30" s="4">
        <v>5189</v>
      </c>
      <c r="AW30" s="4">
        <v>5746</v>
      </c>
      <c r="AX30" s="4">
        <v>6314</v>
      </c>
      <c r="AY30" s="4">
        <v>2953</v>
      </c>
      <c r="AZ30" s="4">
        <v>4412</v>
      </c>
      <c r="BA30" s="4">
        <v>19903</v>
      </c>
      <c r="BB30" s="4">
        <v>4448</v>
      </c>
      <c r="BC30" s="5">
        <v>8755</v>
      </c>
      <c r="BD30" s="5">
        <f>SUM(G30:J30)</f>
        <v>9831</v>
      </c>
      <c r="BE30" s="5">
        <f t="shared" ref="BE30" si="107">SUM(K30:N30)</f>
        <v>10978</v>
      </c>
      <c r="BF30" s="5">
        <f>+BF29*0.15</f>
        <v>13371.2505</v>
      </c>
      <c r="BG30" s="5">
        <f t="shared" ref="BG30:BM30" si="108">+BG29*0.15</f>
        <v>15030.03181425</v>
      </c>
      <c r="BH30" s="5">
        <f t="shared" si="108"/>
        <v>16793.508599221128</v>
      </c>
      <c r="BI30" s="5">
        <f t="shared" si="108"/>
        <v>18740.148006701009</v>
      </c>
      <c r="BJ30" s="5">
        <f t="shared" si="108"/>
        <v>20888.46225351606</v>
      </c>
      <c r="BK30" s="5">
        <f t="shared" si="108"/>
        <v>23258.820584615794</v>
      </c>
      <c r="BL30" s="5">
        <f t="shared" si="108"/>
        <v>25873.635149464615</v>
      </c>
      <c r="BM30" s="5">
        <f t="shared" si="108"/>
        <v>28757.565471275073</v>
      </c>
    </row>
    <row r="31" spans="2:123" s="4" customFormat="1">
      <c r="B31" s="4" t="s">
        <v>31</v>
      </c>
      <c r="C31" s="5"/>
      <c r="D31" s="5"/>
      <c r="E31" s="5"/>
      <c r="F31" s="5">
        <f t="shared" ref="F31" si="109">F29-F30</f>
        <v>11202</v>
      </c>
      <c r="G31" s="5">
        <f>G29-G30</f>
        <v>13893</v>
      </c>
      <c r="H31" s="5">
        <f t="shared" ref="H31:V31" si="110">H29-H30</f>
        <v>15463</v>
      </c>
      <c r="I31" s="5">
        <f t="shared" si="110"/>
        <v>15457</v>
      </c>
      <c r="J31" s="5">
        <f t="shared" si="110"/>
        <v>16458</v>
      </c>
      <c r="K31" s="5">
        <f t="shared" si="110"/>
        <v>20505</v>
      </c>
      <c r="L31" s="5">
        <f t="shared" si="110"/>
        <v>18765</v>
      </c>
      <c r="M31" s="5">
        <f t="shared" si="110"/>
        <v>16728</v>
      </c>
      <c r="N31" s="5">
        <f t="shared" si="110"/>
        <v>16740</v>
      </c>
      <c r="O31" s="5">
        <f t="shared" si="110"/>
        <v>17556</v>
      </c>
      <c r="P31" s="5">
        <f t="shared" si="110"/>
        <v>16425</v>
      </c>
      <c r="Q31" s="5">
        <f>Q29-Q30</f>
        <v>18759</v>
      </c>
      <c r="R31" s="5">
        <f t="shared" si="110"/>
        <v>20081</v>
      </c>
      <c r="S31" s="5">
        <f t="shared" si="110"/>
        <v>18802.2952</v>
      </c>
      <c r="T31" s="5">
        <f t="shared" si="110"/>
        <v>18943.681200000003</v>
      </c>
      <c r="U31" s="5">
        <f t="shared" si="110"/>
        <v>19397.701200000003</v>
      </c>
      <c r="V31" s="5">
        <f t="shared" si="110"/>
        <v>20712.4244</v>
      </c>
      <c r="Y31" s="4">
        <f t="shared" ref="Y31:Z31" si="111">Y29-Y30</f>
        <v>279</v>
      </c>
      <c r="Z31" s="4">
        <f t="shared" si="111"/>
        <v>463</v>
      </c>
      <c r="AA31" s="4">
        <f>AA29-AA30</f>
        <v>708</v>
      </c>
      <c r="AB31" s="4">
        <f>AB29-AB30</f>
        <v>953</v>
      </c>
      <c r="AC31" s="4">
        <f>AC29-AC30</f>
        <v>1236</v>
      </c>
      <c r="AD31" s="4">
        <f>AD29-AD30</f>
        <v>1499</v>
      </c>
      <c r="AE31" s="4">
        <f>AE29-AE30</f>
        <v>2195</v>
      </c>
      <c r="AF31" s="4">
        <f t="shared" ref="AF31" si="112">AF29-AF30</f>
        <v>3454</v>
      </c>
      <c r="AG31" s="4">
        <f t="shared" ref="AG31:AX31" si="113">AG29-AG30</f>
        <v>4758</v>
      </c>
      <c r="AH31" s="4">
        <f t="shared" si="113"/>
        <v>7625</v>
      </c>
      <c r="AI31" s="4">
        <f t="shared" si="113"/>
        <v>9265</v>
      </c>
      <c r="AJ31" s="4">
        <f t="shared" si="113"/>
        <v>7880</v>
      </c>
      <c r="AK31" s="4">
        <f t="shared" si="113"/>
        <v>7921</v>
      </c>
      <c r="AL31" s="4">
        <f t="shared" si="113"/>
        <v>10061</v>
      </c>
      <c r="AM31" s="4">
        <f t="shared" si="113"/>
        <v>8193</v>
      </c>
      <c r="AN31" s="4">
        <f t="shared" si="113"/>
        <v>12254</v>
      </c>
      <c r="AO31" s="4">
        <f t="shared" si="113"/>
        <v>12599</v>
      </c>
      <c r="AP31" s="4">
        <f t="shared" si="113"/>
        <v>14065</v>
      </c>
      <c r="AQ31" s="4">
        <f t="shared" si="113"/>
        <v>17681</v>
      </c>
      <c r="AR31" s="4">
        <f t="shared" si="113"/>
        <v>14899</v>
      </c>
      <c r="AS31" s="4">
        <f t="shared" si="113"/>
        <v>18819</v>
      </c>
      <c r="AT31" s="4">
        <f t="shared" si="113"/>
        <v>23150</v>
      </c>
      <c r="AU31" s="4">
        <f t="shared" si="113"/>
        <v>23171</v>
      </c>
      <c r="AV31" s="4">
        <f t="shared" si="113"/>
        <v>21863</v>
      </c>
      <c r="AW31" s="4">
        <f t="shared" si="113"/>
        <v>22201</v>
      </c>
      <c r="AX31" s="4">
        <f t="shared" si="113"/>
        <v>22204</v>
      </c>
      <c r="AY31" s="4">
        <f>+AY29-AY30</f>
        <v>17908</v>
      </c>
      <c r="AZ31" s="4">
        <f>+AZ29-AZ30</f>
        <v>25795</v>
      </c>
      <c r="BA31" s="4">
        <f>+BA29-BA30</f>
        <v>16571</v>
      </c>
      <c r="BB31" s="4">
        <f>+BB29-BB30</f>
        <v>39240</v>
      </c>
      <c r="BC31" s="4">
        <f>+BC29-BC30</f>
        <v>44281</v>
      </c>
      <c r="BD31" s="4">
        <f t="shared" ref="BD31:BF31" si="114">+BD29-BD30</f>
        <v>61271</v>
      </c>
      <c r="BE31" s="4">
        <f t="shared" si="114"/>
        <v>72738</v>
      </c>
      <c r="BF31" s="4">
        <f t="shared" si="114"/>
        <v>75770.419500000004</v>
      </c>
      <c r="BG31" s="4">
        <f t="shared" ref="BG31" si="115">+BG29-BG30</f>
        <v>85170.180280750006</v>
      </c>
      <c r="BH31" s="4">
        <f t="shared" ref="BH31" si="116">+BH29-BH30</f>
        <v>95163.215395586391</v>
      </c>
      <c r="BI31" s="4">
        <f t="shared" ref="BI31" si="117">+BI29-BI30</f>
        <v>106194.17203797238</v>
      </c>
      <c r="BJ31" s="4">
        <f t="shared" ref="BJ31" si="118">+BJ29-BJ30</f>
        <v>118367.95276992435</v>
      </c>
      <c r="BK31" s="4">
        <f t="shared" ref="BK31" si="119">+BK29-BK30</f>
        <v>131799.98331282282</v>
      </c>
      <c r="BL31" s="4">
        <f t="shared" ref="BL31" si="120">+BL29-BL30</f>
        <v>146617.26584696615</v>
      </c>
      <c r="BM31" s="4">
        <f t="shared" ref="BM31" si="121">+BM29-BM30</f>
        <v>162959.53767055876</v>
      </c>
      <c r="BN31" s="4">
        <f>+BM31*(1+$BP$34)</f>
        <v>162959.53767055876</v>
      </c>
      <c r="BO31" s="4">
        <f t="shared" ref="BO31:DS31" si="122">+BN31*(1+$BP$34)</f>
        <v>162959.53767055876</v>
      </c>
      <c r="BP31" s="4">
        <f t="shared" si="122"/>
        <v>162959.53767055876</v>
      </c>
      <c r="BQ31" s="4">
        <f t="shared" si="122"/>
        <v>162959.53767055876</v>
      </c>
      <c r="BR31" s="4">
        <f t="shared" si="122"/>
        <v>162959.53767055876</v>
      </c>
      <c r="BS31" s="4">
        <f t="shared" si="122"/>
        <v>162959.53767055876</v>
      </c>
      <c r="BT31" s="4">
        <f t="shared" si="122"/>
        <v>162959.53767055876</v>
      </c>
      <c r="BU31" s="4">
        <f t="shared" si="122"/>
        <v>162959.53767055876</v>
      </c>
      <c r="BV31" s="4">
        <f t="shared" si="122"/>
        <v>162959.53767055876</v>
      </c>
      <c r="BW31" s="4">
        <f t="shared" si="122"/>
        <v>162959.53767055876</v>
      </c>
      <c r="BX31" s="4">
        <f t="shared" si="122"/>
        <v>162959.53767055876</v>
      </c>
      <c r="BY31" s="4">
        <f t="shared" si="122"/>
        <v>162959.53767055876</v>
      </c>
      <c r="BZ31" s="4">
        <f t="shared" si="122"/>
        <v>162959.53767055876</v>
      </c>
      <c r="CA31" s="4">
        <f t="shared" si="122"/>
        <v>162959.53767055876</v>
      </c>
      <c r="CB31" s="4">
        <f t="shared" si="122"/>
        <v>162959.53767055876</v>
      </c>
      <c r="CC31" s="4">
        <f t="shared" si="122"/>
        <v>162959.53767055876</v>
      </c>
      <c r="CD31" s="4">
        <f t="shared" si="122"/>
        <v>162959.53767055876</v>
      </c>
      <c r="CE31" s="4">
        <f t="shared" si="122"/>
        <v>162959.53767055876</v>
      </c>
      <c r="CF31" s="4">
        <f t="shared" si="122"/>
        <v>162959.53767055876</v>
      </c>
      <c r="CG31" s="4">
        <f t="shared" si="122"/>
        <v>162959.53767055876</v>
      </c>
      <c r="CH31" s="4">
        <f t="shared" si="122"/>
        <v>162959.53767055876</v>
      </c>
      <c r="CI31" s="4">
        <f t="shared" si="122"/>
        <v>162959.53767055876</v>
      </c>
      <c r="CJ31" s="4">
        <f t="shared" si="122"/>
        <v>162959.53767055876</v>
      </c>
      <c r="CK31" s="4">
        <f t="shared" si="122"/>
        <v>162959.53767055876</v>
      </c>
      <c r="CL31" s="4">
        <f t="shared" si="122"/>
        <v>162959.53767055876</v>
      </c>
      <c r="CM31" s="4">
        <f t="shared" si="122"/>
        <v>162959.53767055876</v>
      </c>
      <c r="CN31" s="4">
        <f t="shared" si="122"/>
        <v>162959.53767055876</v>
      </c>
      <c r="CO31" s="4">
        <f t="shared" si="122"/>
        <v>162959.53767055876</v>
      </c>
      <c r="CP31" s="4">
        <f t="shared" si="122"/>
        <v>162959.53767055876</v>
      </c>
      <c r="CQ31" s="4">
        <f t="shared" si="122"/>
        <v>162959.53767055876</v>
      </c>
      <c r="CR31" s="4">
        <f t="shared" si="122"/>
        <v>162959.53767055876</v>
      </c>
      <c r="CS31" s="4">
        <f t="shared" si="122"/>
        <v>162959.53767055876</v>
      </c>
      <c r="CT31" s="4">
        <f t="shared" si="122"/>
        <v>162959.53767055876</v>
      </c>
      <c r="CU31" s="4">
        <f t="shared" si="122"/>
        <v>162959.53767055876</v>
      </c>
      <c r="CV31" s="4">
        <f t="shared" si="122"/>
        <v>162959.53767055876</v>
      </c>
      <c r="CW31" s="4">
        <f t="shared" si="122"/>
        <v>162959.53767055876</v>
      </c>
      <c r="CX31" s="4">
        <f t="shared" si="122"/>
        <v>162959.53767055876</v>
      </c>
      <c r="CY31" s="4">
        <f t="shared" si="122"/>
        <v>162959.53767055876</v>
      </c>
      <c r="CZ31" s="4">
        <f t="shared" si="122"/>
        <v>162959.53767055876</v>
      </c>
      <c r="DA31" s="4">
        <f t="shared" si="122"/>
        <v>162959.53767055876</v>
      </c>
      <c r="DB31" s="4">
        <f t="shared" si="122"/>
        <v>162959.53767055876</v>
      </c>
      <c r="DC31" s="4">
        <f t="shared" si="122"/>
        <v>162959.53767055876</v>
      </c>
      <c r="DD31" s="4">
        <f t="shared" si="122"/>
        <v>162959.53767055876</v>
      </c>
      <c r="DE31" s="4">
        <f t="shared" si="122"/>
        <v>162959.53767055876</v>
      </c>
      <c r="DF31" s="4">
        <f t="shared" si="122"/>
        <v>162959.53767055876</v>
      </c>
      <c r="DG31" s="4">
        <f t="shared" si="122"/>
        <v>162959.53767055876</v>
      </c>
      <c r="DH31" s="4">
        <f t="shared" si="122"/>
        <v>162959.53767055876</v>
      </c>
      <c r="DI31" s="4">
        <f t="shared" si="122"/>
        <v>162959.53767055876</v>
      </c>
      <c r="DJ31" s="4">
        <f t="shared" si="122"/>
        <v>162959.53767055876</v>
      </c>
      <c r="DK31" s="4">
        <f t="shared" si="122"/>
        <v>162959.53767055876</v>
      </c>
      <c r="DL31" s="4">
        <f t="shared" si="122"/>
        <v>162959.53767055876</v>
      </c>
      <c r="DM31" s="4">
        <f t="shared" si="122"/>
        <v>162959.53767055876</v>
      </c>
      <c r="DN31" s="4">
        <f t="shared" si="122"/>
        <v>162959.53767055876</v>
      </c>
      <c r="DO31" s="4">
        <f t="shared" si="122"/>
        <v>162959.53767055876</v>
      </c>
      <c r="DP31" s="4">
        <f t="shared" si="122"/>
        <v>162959.53767055876</v>
      </c>
      <c r="DQ31" s="4">
        <f t="shared" si="122"/>
        <v>162959.53767055876</v>
      </c>
      <c r="DR31" s="4">
        <f t="shared" si="122"/>
        <v>162959.53767055876</v>
      </c>
      <c r="DS31" s="4">
        <f t="shared" si="122"/>
        <v>162959.53767055876</v>
      </c>
    </row>
    <row r="32" spans="2:123" s="3" customFormat="1">
      <c r="B32" s="6" t="s">
        <v>33</v>
      </c>
      <c r="C32" s="8"/>
      <c r="D32" s="8"/>
      <c r="E32" s="8"/>
      <c r="F32" s="8">
        <f t="shared" ref="F32" si="123">F31/F33</f>
        <v>1.4643137254901961</v>
      </c>
      <c r="G32" s="8">
        <f t="shared" ref="G32:L32" si="124">G31/G33</f>
        <v>1.8191698310855047</v>
      </c>
      <c r="H32" s="8">
        <f t="shared" si="124"/>
        <v>2.0303308823529411</v>
      </c>
      <c r="I32" s="8">
        <f t="shared" si="124"/>
        <v>2.0346189285244174</v>
      </c>
      <c r="J32" s="8">
        <f t="shared" si="124"/>
        <v>2.1709537000395724</v>
      </c>
      <c r="K32" s="8">
        <f t="shared" si="124"/>
        <v>2.7097925201532971</v>
      </c>
      <c r="L32" s="8">
        <f t="shared" si="124"/>
        <v>2.4837855724685638</v>
      </c>
      <c r="M32" s="8">
        <f>M31/M33</f>
        <v>2.2203344836740113</v>
      </c>
      <c r="N32" s="8">
        <f>N31/N33</f>
        <v>2.2302158273381294</v>
      </c>
      <c r="O32" s="8">
        <f>O31/O33</f>
        <v>2.3454909819639278</v>
      </c>
      <c r="P32" s="8">
        <f t="shared" ref="P32:V32" si="125">P31/P33</f>
        <v>2.1979124849458049</v>
      </c>
      <c r="Q32" s="8">
        <f>Q31/Q33</f>
        <v>2.5132636655948555</v>
      </c>
      <c r="R32" s="8">
        <f t="shared" si="125"/>
        <v>2.6892995848399623</v>
      </c>
      <c r="S32" s="8">
        <f t="shared" si="125"/>
        <v>2.5180521226730952</v>
      </c>
      <c r="T32" s="8">
        <f t="shared" si="125"/>
        <v>2.5369869023704301</v>
      </c>
      <c r="U32" s="8">
        <f t="shared" si="125"/>
        <v>2.5977904379268786</v>
      </c>
      <c r="V32" s="8">
        <f t="shared" si="125"/>
        <v>2.7738615776081423</v>
      </c>
      <c r="Y32" s="11">
        <f t="shared" ref="Y32:Z32" si="126">Y31/Y33</f>
        <v>0.51955307262569828</v>
      </c>
      <c r="Z32" s="11">
        <f t="shared" si="126"/>
        <v>0.82238010657193605</v>
      </c>
      <c r="AA32" s="11">
        <f>AA31/AA33</f>
        <v>1.2040816326530612</v>
      </c>
      <c r="AB32" s="11">
        <f>AB31/AB33</f>
        <v>1.5726072607260726</v>
      </c>
      <c r="AC32" s="11">
        <f>AC31/AC33</f>
        <v>2.0262295081967214</v>
      </c>
      <c r="AD32" s="11">
        <f>AD31/AD33</f>
        <v>2.3907496012759171</v>
      </c>
      <c r="AE32" s="11">
        <f>AE31/AE33</f>
        <v>3.4296875</v>
      </c>
      <c r="AF32" s="11">
        <f t="shared" ref="AF32" si="127">AF31/AF33</f>
        <v>2.6326219512195124</v>
      </c>
      <c r="AG32" s="11">
        <f t="shared" ref="AG32:AX32" si="128">AG31/AG33</f>
        <v>1.7747109287579261</v>
      </c>
      <c r="AH32" s="11">
        <f t="shared" si="128"/>
        <v>1.4924642787238207</v>
      </c>
      <c r="AI32" s="11">
        <f t="shared" si="128"/>
        <v>1.7537384062085937</v>
      </c>
      <c r="AJ32" s="11">
        <f t="shared" si="128"/>
        <v>1.4137064944384643</v>
      </c>
      <c r="AK32" s="11">
        <f t="shared" si="128"/>
        <v>1.4264361606338916</v>
      </c>
      <c r="AL32" s="11">
        <f t="shared" si="128"/>
        <v>0.92455430986950926</v>
      </c>
      <c r="AM32" s="11">
        <f t="shared" si="128"/>
        <v>0.75206535707729028</v>
      </c>
      <c r="AN32" s="11">
        <f t="shared" si="128"/>
        <v>1.123601687144691</v>
      </c>
      <c r="AO32" s="11">
        <f t="shared" si="128"/>
        <v>1.1963726141866868</v>
      </c>
      <c r="AP32" s="11">
        <f t="shared" si="128"/>
        <v>1.4227189965607931</v>
      </c>
      <c r="AQ32" s="11">
        <f t="shared" si="128"/>
        <v>1.867053854276663</v>
      </c>
      <c r="AR32" s="11">
        <f t="shared" si="128"/>
        <v>1.6561805246776344</v>
      </c>
      <c r="AS32" s="11">
        <f t="shared" si="128"/>
        <v>2.1080990254284755</v>
      </c>
      <c r="AT32" s="11">
        <f t="shared" si="128"/>
        <v>2.6940532991970207</v>
      </c>
      <c r="AU32" s="11">
        <f t="shared" si="128"/>
        <v>2.724077122031507</v>
      </c>
      <c r="AV32" s="11">
        <f t="shared" si="128"/>
        <v>2.581227863046045</v>
      </c>
      <c r="AW32" s="11">
        <f t="shared" si="128"/>
        <v>2.6432908679604714</v>
      </c>
      <c r="AX32" s="11">
        <f t="shared" si="128"/>
        <v>2.6900896535013326</v>
      </c>
      <c r="AY32" s="11">
        <f>+AY31/AY33</f>
        <v>2.2348683389492074</v>
      </c>
      <c r="AZ32" s="11">
        <f>+AZ31/AZ33</f>
        <v>3.2935393258426968</v>
      </c>
      <c r="BA32" s="11">
        <f>+BA31/BA33</f>
        <v>2.126122658455222</v>
      </c>
      <c r="BB32" s="11">
        <f>+BB31/BB33</f>
        <v>5.0612666064749128</v>
      </c>
      <c r="BC32" s="11">
        <f>+BC31/BC33</f>
        <v>5.7635038396459715</v>
      </c>
      <c r="BD32" s="11">
        <f t="shared" ref="BD32:BF32" si="129">+BD31/BD33</f>
        <v>8.0537609674345241</v>
      </c>
      <c r="BE32" s="11">
        <f t="shared" si="129"/>
        <v>9.6463099263974534</v>
      </c>
      <c r="BF32" s="11">
        <f t="shared" si="129"/>
        <v>10.140241493526046</v>
      </c>
      <c r="BG32" s="11">
        <f t="shared" ref="BG32" si="130">+BG31/BG33</f>
        <v>11.406211367450116</v>
      </c>
      <c r="BH32" s="11">
        <f t="shared" ref="BH32" si="131">+BH31/BH33</f>
        <v>12.744504539384812</v>
      </c>
      <c r="BI32" s="11">
        <f t="shared" ref="BI32" si="132">+BI31/BI33</f>
        <v>14.221798853351062</v>
      </c>
      <c r="BJ32" s="11">
        <f t="shared" ref="BJ32" si="133">+BJ31/BJ33</f>
        <v>15.852143132439313</v>
      </c>
      <c r="BK32" s="11">
        <f t="shared" ref="BK32" si="134">+BK31/BK33</f>
        <v>17.65099548852589</v>
      </c>
      <c r="BL32" s="11">
        <f t="shared" ref="BL32" si="135">+BL31/BL33</f>
        <v>19.635364382880159</v>
      </c>
      <c r="BM32" s="11">
        <f t="shared" ref="BM32" si="136">+BM31/BM33</f>
        <v>21.823963796780333</v>
      </c>
    </row>
    <row r="33" spans="2:68" s="4" customFormat="1">
      <c r="B33" s="4" t="s">
        <v>32</v>
      </c>
      <c r="C33" s="5"/>
      <c r="D33" s="5"/>
      <c r="E33" s="5"/>
      <c r="F33" s="5">
        <v>7650</v>
      </c>
      <c r="G33" s="5">
        <v>7637</v>
      </c>
      <c r="H33" s="5">
        <v>7616</v>
      </c>
      <c r="I33" s="5">
        <v>7597</v>
      </c>
      <c r="J33" s="5">
        <v>7581</v>
      </c>
      <c r="K33" s="5">
        <v>7567</v>
      </c>
      <c r="L33" s="5">
        <v>7555</v>
      </c>
      <c r="M33" s="5">
        <v>7534</v>
      </c>
      <c r="N33" s="5">
        <v>7506</v>
      </c>
      <c r="O33" s="4">
        <v>7485</v>
      </c>
      <c r="P33" s="4">
        <v>7473</v>
      </c>
      <c r="Q33" s="4">
        <v>7464</v>
      </c>
      <c r="R33" s="4">
        <v>7467</v>
      </c>
      <c r="S33" s="4">
        <f>R33</f>
        <v>7467</v>
      </c>
      <c r="T33" s="4">
        <f t="shared" ref="T33:V33" si="137">S33</f>
        <v>7467</v>
      </c>
      <c r="U33" s="4">
        <f t="shared" si="137"/>
        <v>7467</v>
      </c>
      <c r="V33" s="4">
        <f t="shared" si="137"/>
        <v>7467</v>
      </c>
      <c r="Y33" s="4">
        <v>537</v>
      </c>
      <c r="Z33" s="4">
        <v>563</v>
      </c>
      <c r="AA33" s="4">
        <v>588</v>
      </c>
      <c r="AB33" s="4">
        <v>606</v>
      </c>
      <c r="AC33" s="4">
        <v>610</v>
      </c>
      <c r="AD33" s="4">
        <v>627</v>
      </c>
      <c r="AE33" s="4">
        <v>640</v>
      </c>
      <c r="AF33" s="4">
        <v>1312</v>
      </c>
      <c r="AG33" s="4">
        <v>2681</v>
      </c>
      <c r="AH33" s="4">
        <v>5109</v>
      </c>
      <c r="AI33" s="4">
        <v>5283</v>
      </c>
      <c r="AJ33" s="4">
        <v>5574</v>
      </c>
      <c r="AK33" s="4">
        <v>5553</v>
      </c>
      <c r="AL33" s="4">
        <v>10882</v>
      </c>
      <c r="AM33" s="4">
        <v>10894</v>
      </c>
      <c r="AN33" s="4">
        <v>10906</v>
      </c>
      <c r="AO33" s="4">
        <v>10531</v>
      </c>
      <c r="AP33" s="4">
        <v>9886</v>
      </c>
      <c r="AQ33" s="4">
        <v>9470</v>
      </c>
      <c r="AR33" s="4">
        <v>8996</v>
      </c>
      <c r="AS33" s="4">
        <v>8927</v>
      </c>
      <c r="AT33" s="4">
        <v>8593</v>
      </c>
      <c r="AU33" s="4">
        <v>8506</v>
      </c>
      <c r="AV33" s="4">
        <v>8470</v>
      </c>
      <c r="AW33" s="4">
        <v>8399</v>
      </c>
      <c r="AX33" s="4">
        <v>8254</v>
      </c>
      <c r="AY33" s="4">
        <v>8013</v>
      </c>
      <c r="AZ33" s="4">
        <v>7832</v>
      </c>
      <c r="BA33" s="4">
        <v>7794</v>
      </c>
      <c r="BB33" s="4">
        <v>7753</v>
      </c>
      <c r="BC33" s="5">
        <v>7683</v>
      </c>
      <c r="BD33" s="5">
        <f>AVERAGE(G33:J33)</f>
        <v>7607.75</v>
      </c>
      <c r="BE33" s="5">
        <f>AVERAGE(K33:N33)</f>
        <v>7540.5</v>
      </c>
      <c r="BF33" s="5">
        <f>AVERAGE(O33:R33)</f>
        <v>7472.25</v>
      </c>
      <c r="BG33" s="5">
        <f>AVERAGE(S33:V33)</f>
        <v>7467</v>
      </c>
      <c r="BH33" s="5">
        <f t="shared" ref="BH33:BM33" si="138">+BG33</f>
        <v>7467</v>
      </c>
      <c r="BI33" s="5">
        <f t="shared" si="138"/>
        <v>7467</v>
      </c>
      <c r="BJ33" s="5">
        <f t="shared" si="138"/>
        <v>7467</v>
      </c>
      <c r="BK33" s="5">
        <f t="shared" si="138"/>
        <v>7467</v>
      </c>
      <c r="BL33" s="5">
        <f t="shared" si="138"/>
        <v>7467</v>
      </c>
      <c r="BM33" s="5">
        <f t="shared" si="138"/>
        <v>7467</v>
      </c>
    </row>
    <row r="34" spans="2:68">
      <c r="O34" s="2"/>
      <c r="BG34" s="2"/>
      <c r="BH34" s="2"/>
      <c r="BI34" s="2"/>
      <c r="BJ34" s="2"/>
      <c r="BK34" s="2"/>
      <c r="BL34" s="2"/>
      <c r="BM34" s="2"/>
      <c r="BO34" t="s">
        <v>98</v>
      </c>
      <c r="BP34" s="12">
        <v>0</v>
      </c>
    </row>
    <row r="35" spans="2:68" s="3" customFormat="1">
      <c r="B35" s="6" t="s">
        <v>34</v>
      </c>
      <c r="C35" s="10"/>
      <c r="D35" s="10"/>
      <c r="E35" s="10"/>
      <c r="F35" s="10"/>
      <c r="G35" s="10"/>
      <c r="H35" s="10"/>
      <c r="I35" s="10"/>
      <c r="J35" s="10">
        <f t="shared" ref="J35:K35" si="139">J18/F18-1</f>
        <v>0.21347251071437956</v>
      </c>
      <c r="K35" s="10">
        <f t="shared" si="139"/>
        <v>0.21970716477364483</v>
      </c>
      <c r="L35" s="10">
        <f t="shared" ref="L35" si="140">L18/H18-1</f>
        <v>0.2008543040208004</v>
      </c>
      <c r="M35" s="10">
        <f>M18/I18-1</f>
        <v>0.18352275451973332</v>
      </c>
      <c r="N35" s="10">
        <f t="shared" ref="N35:O35" si="141">N18/J18-1</f>
        <v>0.12378661813139202</v>
      </c>
      <c r="O35" s="10">
        <f t="shared" si="141"/>
        <v>0.1060308493501334</v>
      </c>
      <c r="P35" s="10">
        <f t="shared" ref="P35" si="142">P18/L18-1</f>
        <v>1.9699195793380753E-2</v>
      </c>
      <c r="Q35" s="10">
        <f>Q18/M18-1</f>
        <v>7.0846839546191198E-2</v>
      </c>
      <c r="R35" s="10">
        <f>R18/N18-1</f>
        <v>8.3370288248336921E-2</v>
      </c>
      <c r="S35" s="10">
        <f t="shared" ref="S35:V35" si="143">S18/O18-1</f>
        <v>5.0000000000000044E-2</v>
      </c>
      <c r="T35" s="10">
        <f t="shared" si="143"/>
        <v>5.0000000000000044E-2</v>
      </c>
      <c r="U35" s="10">
        <f t="shared" si="143"/>
        <v>5.0000000000000044E-2</v>
      </c>
      <c r="V35" s="10">
        <f t="shared" si="143"/>
        <v>5.0000000000000044E-2</v>
      </c>
      <c r="Z35" s="18">
        <f t="shared" ref="Z35:AZ35" si="144">Z18/Y18-1</f>
        <v>0.55790363482671168</v>
      </c>
      <c r="AA35" s="18">
        <f t="shared" si="144"/>
        <v>0.49701573521432452</v>
      </c>
      <c r="AB35" s="18">
        <f t="shared" si="144"/>
        <v>0.36027546212395789</v>
      </c>
      <c r="AC35" s="18">
        <f t="shared" si="144"/>
        <v>0.23874233946176382</v>
      </c>
      <c r="AD35" s="18">
        <f t="shared" si="144"/>
        <v>0.27704882770488282</v>
      </c>
      <c r="AE35" s="18">
        <f t="shared" si="144"/>
        <v>0.46050193700522146</v>
      </c>
      <c r="AF35" s="18">
        <f t="shared" si="144"/>
        <v>0.30988351977857231</v>
      </c>
      <c r="AG35" s="18">
        <f t="shared" si="144"/>
        <v>0.27522451135763348</v>
      </c>
      <c r="AH35" s="18">
        <f t="shared" si="144"/>
        <v>0.36336647334990335</v>
      </c>
      <c r="AI35" s="18">
        <f t="shared" si="144"/>
        <v>0.16250569706790907</v>
      </c>
      <c r="AJ35" s="18">
        <f t="shared" si="144"/>
        <v>0.10193413486670155</v>
      </c>
      <c r="AK35" s="18">
        <f t="shared" si="144"/>
        <v>0.12132352941176472</v>
      </c>
      <c r="AL35" s="18">
        <f t="shared" si="144"/>
        <v>0.13474352194606021</v>
      </c>
      <c r="AM35" s="18">
        <f t="shared" si="144"/>
        <v>0.14440612669711372</v>
      </c>
      <c r="AN35" s="18">
        <f t="shared" si="144"/>
        <v>8.0168318175648068E-2</v>
      </c>
      <c r="AO35" s="18">
        <f t="shared" si="144"/>
        <v>0.11294862772695291</v>
      </c>
      <c r="AP35" s="18">
        <f t="shared" si="144"/>
        <v>0.15446456799602548</v>
      </c>
      <c r="AQ35" s="18">
        <f t="shared" si="144"/>
        <v>0.18187864324556946</v>
      </c>
      <c r="AR35" s="18">
        <f t="shared" si="144"/>
        <v>-3.2820258192651441E-2</v>
      </c>
      <c r="AS35" s="18">
        <f t="shared" si="144"/>
        <v>6.9254068484008391E-2</v>
      </c>
      <c r="AT35" s="18">
        <f t="shared" si="144"/>
        <v>0.11937455988733126</v>
      </c>
      <c r="AU35" s="18">
        <f t="shared" si="144"/>
        <v>5.4044007263057026E-2</v>
      </c>
      <c r="AV35" s="18">
        <f t="shared" si="144"/>
        <v>5.5966252051598442E-2</v>
      </c>
      <c r="AW35" s="18">
        <f t="shared" si="144"/>
        <v>0.11540289534868786</v>
      </c>
      <c r="AX35" s="18">
        <f t="shared" si="144"/>
        <v>7.7700874091647165E-2</v>
      </c>
      <c r="AY35" s="18">
        <f t="shared" si="144"/>
        <v>-8.8266723658901425E-2</v>
      </c>
      <c r="AZ35" s="18">
        <f t="shared" si="144"/>
        <v>0.1318682606657291</v>
      </c>
      <c r="BA35" s="10">
        <f t="shared" ref="BA35:BF35" si="145">+BA18/AZ18-1</f>
        <v>0.14278613662486661</v>
      </c>
      <c r="BB35" s="10">
        <f t="shared" si="145"/>
        <v>0.14029539688292858</v>
      </c>
      <c r="BC35" s="10">
        <f t="shared" si="145"/>
        <v>0.13645574247276371</v>
      </c>
      <c r="BD35" s="10">
        <f t="shared" si="145"/>
        <v>0.17531727441177503</v>
      </c>
      <c r="BE35" s="10">
        <f t="shared" si="145"/>
        <v>0.17956070629670173</v>
      </c>
      <c r="BF35" s="10">
        <f>+BF18/BE18-1</f>
        <v>6.8820295556564215E-2</v>
      </c>
      <c r="BG35" s="10">
        <f t="shared" ref="BG35:BM35" si="146">+BG18/BF18-1</f>
        <v>0.11336323525942005</v>
      </c>
      <c r="BH35" s="10">
        <f t="shared" si="146"/>
        <v>8.0228744057187606E-2</v>
      </c>
      <c r="BI35" s="10">
        <f t="shared" si="146"/>
        <v>8.1148072819640982E-2</v>
      </c>
      <c r="BJ35" s="10">
        <f t="shared" si="146"/>
        <v>8.2039939316425947E-2</v>
      </c>
      <c r="BK35" s="10">
        <f t="shared" si="146"/>
        <v>8.2903715628308783E-2</v>
      </c>
      <c r="BL35" s="10">
        <f t="shared" si="146"/>
        <v>8.3738930203388406E-2</v>
      </c>
      <c r="BM35" s="10">
        <f t="shared" si="146"/>
        <v>8.4545261387475756E-2</v>
      </c>
      <c r="BO35" s="3" t="s">
        <v>97</v>
      </c>
      <c r="BP35" s="13">
        <v>7.0000000000000007E-2</v>
      </c>
    </row>
    <row r="36" spans="2:68" s="3" customFormat="1">
      <c r="B36" s="6" t="s">
        <v>104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>
        <v>0.16</v>
      </c>
      <c r="P36" s="18">
        <v>7.0000000000000007E-2</v>
      </c>
      <c r="Q36" s="18">
        <v>0.1</v>
      </c>
      <c r="R36" s="18">
        <v>0.1</v>
      </c>
      <c r="BA36" s="10"/>
      <c r="BB36" s="10"/>
      <c r="BC36" s="10"/>
      <c r="BD36" s="10"/>
      <c r="BE36" s="10"/>
      <c r="BF36" s="10">
        <v>0.11</v>
      </c>
      <c r="BG36" s="10"/>
      <c r="BH36" s="10"/>
      <c r="BI36" s="10"/>
      <c r="BJ36" s="10"/>
      <c r="BK36" s="10"/>
      <c r="BL36" s="10"/>
      <c r="BM36" s="10"/>
      <c r="BO36" t="s">
        <v>99</v>
      </c>
      <c r="BP36" s="12">
        <v>0.01</v>
      </c>
    </row>
    <row r="37" spans="2:68" s="3" customFormat="1">
      <c r="B37" s="6" t="s">
        <v>159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8"/>
      <c r="O37" s="18">
        <f t="shared" ref="O37:P37" si="147">O59/K59-1</f>
        <v>7.5508960136535519E-2</v>
      </c>
      <c r="P37" s="18">
        <f t="shared" si="147"/>
        <v>7.7701324485300205E-2</v>
      </c>
      <c r="Q37" s="18">
        <f>Q59/M59-1</f>
        <v>7.6231112077399743E-2</v>
      </c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O37"/>
      <c r="BP37" s="12"/>
    </row>
    <row r="38" spans="2:68">
      <c r="B38" s="4" t="s">
        <v>22</v>
      </c>
      <c r="C38" s="9"/>
      <c r="D38" s="9"/>
      <c r="E38" s="9"/>
      <c r="F38" s="9">
        <f t="shared" ref="F38" si="148">F22/F18</f>
        <v>0.67557121447164303</v>
      </c>
      <c r="G38" s="9">
        <f t="shared" ref="G38:H38" si="149">G22/G18</f>
        <v>0.70388114334930285</v>
      </c>
      <c r="H38" s="9">
        <f t="shared" si="149"/>
        <v>0.67048936762930633</v>
      </c>
      <c r="I38" s="9">
        <f>I22/I18</f>
        <v>0.68721526878626582</v>
      </c>
      <c r="J38" s="9">
        <f t="shared" ref="J38:M38" si="150">J22/J18</f>
        <v>0.69684954064829263</v>
      </c>
      <c r="K38" s="9">
        <f t="shared" si="150"/>
        <v>0.6988768012004325</v>
      </c>
      <c r="L38" s="9">
        <f t="shared" si="150"/>
        <v>0.67213114754098358</v>
      </c>
      <c r="M38" s="9">
        <f t="shared" si="150"/>
        <v>0.68365072933549431</v>
      </c>
      <c r="N38" s="9">
        <f t="shared" ref="N38:O38" si="151">N22/N18</f>
        <v>0.68323532247180174</v>
      </c>
      <c r="O38" s="9">
        <f t="shared" si="151"/>
        <v>0.69171222217788597</v>
      </c>
      <c r="P38" s="9">
        <f>P22/P18</f>
        <v>0.66845507801391546</v>
      </c>
      <c r="Q38" s="9">
        <f t="shared" ref="Q38:R38" si="152">Q22/Q18</f>
        <v>0.69487485101311086</v>
      </c>
      <c r="R38" s="9">
        <f t="shared" si="152"/>
        <v>0.70109807969531401</v>
      </c>
      <c r="S38" s="9">
        <f t="shared" ref="S38:V38" si="153">S22/S18</f>
        <v>0.69</v>
      </c>
      <c r="T38" s="9">
        <f t="shared" si="153"/>
        <v>0.69</v>
      </c>
      <c r="U38" s="9">
        <f t="shared" si="153"/>
        <v>0.69</v>
      </c>
      <c r="V38" s="9">
        <f t="shared" si="153"/>
        <v>0.69</v>
      </c>
      <c r="W38" s="9"/>
      <c r="X38" s="9"/>
      <c r="Y38" s="9">
        <f t="shared" ref="Y38:AD38" si="154">Y22/Y18</f>
        <v>0.78613693998309386</v>
      </c>
      <c r="Z38" s="9">
        <f t="shared" si="154"/>
        <v>0.8035811177428106</v>
      </c>
      <c r="AA38" s="9">
        <f t="shared" si="154"/>
        <v>0.8307357738310982</v>
      </c>
      <c r="AB38" s="9">
        <f t="shared" si="154"/>
        <v>0.83133493205435649</v>
      </c>
      <c r="AC38" s="9">
        <f t="shared" si="154"/>
        <v>0.83587868358786832</v>
      </c>
      <c r="AD38" s="9">
        <f t="shared" si="154"/>
        <v>0.85228229745662798</v>
      </c>
      <c r="AE38" s="9">
        <f t="shared" ref="AE38:AM38" si="155">AE22/AE18</f>
        <v>0.86299158113251062</v>
      </c>
      <c r="AF38" s="9">
        <f t="shared" si="155"/>
        <v>0.90447261841873572</v>
      </c>
      <c r="AG38" s="9">
        <f t="shared" si="155"/>
        <v>0.91735708367854185</v>
      </c>
      <c r="AH38" s="9">
        <f t="shared" si="155"/>
        <v>0.85749734136830913</v>
      </c>
      <c r="AI38" s="9">
        <f t="shared" si="155"/>
        <v>0.86922808851716327</v>
      </c>
      <c r="AJ38" s="9">
        <f t="shared" si="155"/>
        <v>0.86341714104996836</v>
      </c>
      <c r="AK38" s="9">
        <f t="shared" si="155"/>
        <v>0.8169927727833598</v>
      </c>
      <c r="AL38" s="9">
        <f t="shared" si="155"/>
        <v>0.82334482865753256</v>
      </c>
      <c r="AM38" s="9">
        <f t="shared" si="155"/>
        <v>0.81767340844305691</v>
      </c>
      <c r="AN38" s="9">
        <f t="shared" ref="AN38:AW38" si="156">AN22/AN18</f>
        <v>0.84417412285111093</v>
      </c>
      <c r="AO38" s="9">
        <f t="shared" si="156"/>
        <v>0.82724357526760306</v>
      </c>
      <c r="AP38" s="9">
        <f t="shared" si="156"/>
        <v>0.79083369195258402</v>
      </c>
      <c r="AQ38" s="9">
        <f t="shared" si="156"/>
        <v>0.80804369414101296</v>
      </c>
      <c r="AR38" s="9">
        <f t="shared" si="156"/>
        <v>0.79199822030562828</v>
      </c>
      <c r="AS38" s="9">
        <f t="shared" si="156"/>
        <v>0.80162921707957235</v>
      </c>
      <c r="AT38" s="9">
        <f t="shared" si="156"/>
        <v>0.77729007906438097</v>
      </c>
      <c r="AU38" s="9">
        <f t="shared" si="156"/>
        <v>0.76221803236439101</v>
      </c>
      <c r="AV38" s="9">
        <f t="shared" si="156"/>
        <v>0.7398938971598864</v>
      </c>
      <c r="AW38" s="9">
        <f t="shared" si="156"/>
        <v>0.68981838701876019</v>
      </c>
      <c r="AX38" s="9">
        <f t="shared" ref="AX38:AY38" si="157">AX22/AX18</f>
        <v>0.64695447745244705</v>
      </c>
      <c r="AY38" s="9">
        <f t="shared" si="157"/>
        <v>0.61579934364744493</v>
      </c>
      <c r="AZ38" s="9">
        <f t="shared" ref="AZ38:BA38" si="158">AZ22/AZ18</f>
        <v>0.64522475691460168</v>
      </c>
      <c r="BA38" s="9">
        <f t="shared" si="158"/>
        <v>0.65247372236317502</v>
      </c>
      <c r="BB38" s="9">
        <f t="shared" ref="BB38:BF38" si="159">BB22/BB18</f>
        <v>0.65901957200638894</v>
      </c>
      <c r="BC38" s="9">
        <f t="shared" si="159"/>
        <v>0.67781001992797962</v>
      </c>
      <c r="BD38" s="9">
        <f t="shared" si="159"/>
        <v>0.68925800771024703</v>
      </c>
      <c r="BE38" s="9">
        <f t="shared" si="159"/>
        <v>0.68401674484289099</v>
      </c>
      <c r="BF38" s="9">
        <f t="shared" si="159"/>
        <v>0.68920085883491022</v>
      </c>
      <c r="BG38" s="9">
        <f t="shared" ref="BG38:BM38" si="160">BG22/BG18</f>
        <v>0.67</v>
      </c>
      <c r="BH38" s="9">
        <f t="shared" si="160"/>
        <v>0.67</v>
      </c>
      <c r="BI38" s="9">
        <f t="shared" si="160"/>
        <v>0.67</v>
      </c>
      <c r="BJ38" s="9">
        <f t="shared" si="160"/>
        <v>0.67</v>
      </c>
      <c r="BK38" s="9">
        <f t="shared" si="160"/>
        <v>0.67</v>
      </c>
      <c r="BL38" s="9">
        <f t="shared" si="160"/>
        <v>0.67</v>
      </c>
      <c r="BM38" s="9">
        <f t="shared" si="160"/>
        <v>0.67</v>
      </c>
      <c r="BO38" t="s">
        <v>100</v>
      </c>
      <c r="BP38" s="4">
        <f>NPV(BP35,BF31:DS31)+Main!L5-Main!L6</f>
        <v>2048901.4757257558</v>
      </c>
    </row>
    <row r="39" spans="2:68">
      <c r="B39" s="4" t="s">
        <v>89</v>
      </c>
      <c r="C39" s="9"/>
      <c r="D39" s="9"/>
      <c r="E39" s="9"/>
      <c r="F39" s="9">
        <f t="shared" ref="F39" si="161">+F30/F29</f>
        <v>0.16540008940545373</v>
      </c>
      <c r="G39" s="9">
        <f>+G30/G29</f>
        <v>0.13836516993301909</v>
      </c>
      <c r="H39" s="9">
        <f t="shared" ref="H39:O39" si="162">+H30/H29</f>
        <v>0.15673228990565524</v>
      </c>
      <c r="I39" s="9">
        <f t="shared" si="162"/>
        <v>0.10321420283128337</v>
      </c>
      <c r="J39" s="9">
        <f t="shared" si="162"/>
        <v>0.15186807523834064</v>
      </c>
      <c r="K39" s="9">
        <f t="shared" si="162"/>
        <v>9.2574546871954783E-4</v>
      </c>
      <c r="L39" s="9">
        <f t="shared" si="162"/>
        <v>0.16655562958027981</v>
      </c>
      <c r="M39" s="9">
        <f t="shared" si="162"/>
        <v>0.17147102526002972</v>
      </c>
      <c r="N39" s="9">
        <f t="shared" si="162"/>
        <v>0.18289647093278666</v>
      </c>
      <c r="O39" s="9">
        <f t="shared" si="162"/>
        <v>0.18616725384758021</v>
      </c>
      <c r="P39" s="9">
        <f>+P30/P29</f>
        <v>0.19243817296818919</v>
      </c>
      <c r="Q39" s="9">
        <f t="shared" ref="Q39:R39" si="163">+Q30/Q29</f>
        <v>0.17262823622811274</v>
      </c>
      <c r="R39" s="9">
        <f t="shared" si="163"/>
        <v>0.18789177821814212</v>
      </c>
      <c r="S39" s="9">
        <f t="shared" ref="S39:V39" si="164">+S30/S29</f>
        <v>0.2</v>
      </c>
      <c r="T39" s="9">
        <f t="shared" si="164"/>
        <v>0.19999999999999998</v>
      </c>
      <c r="U39" s="9">
        <f t="shared" si="164"/>
        <v>0.2</v>
      </c>
      <c r="V39" s="9">
        <f t="shared" si="164"/>
        <v>0.20000000000000004</v>
      </c>
      <c r="W39" s="9"/>
      <c r="X39" s="9"/>
      <c r="Y39" s="9">
        <f t="shared" ref="Y39:AD39" si="165">+Y30/Y29</f>
        <v>0.31951219512195123</v>
      </c>
      <c r="Z39" s="9">
        <f t="shared" si="165"/>
        <v>0.30998509687034276</v>
      </c>
      <c r="AA39" s="9">
        <f t="shared" si="165"/>
        <v>0.31988472622478387</v>
      </c>
      <c r="AB39" s="9">
        <f t="shared" si="165"/>
        <v>0.31977159172019987</v>
      </c>
      <c r="AC39" s="9">
        <f t="shared" si="165"/>
        <v>0.31788079470198677</v>
      </c>
      <c r="AD39" s="9">
        <f t="shared" si="165"/>
        <v>0.32263895164934481</v>
      </c>
      <c r="AE39" s="9">
        <f t="shared" ref="AE39:AM39" si="166">+AE30/AE29</f>
        <v>0.35039952648712636</v>
      </c>
      <c r="AF39" s="9">
        <f t="shared" si="166"/>
        <v>0.35001881821603315</v>
      </c>
      <c r="AG39" s="9">
        <f t="shared" si="166"/>
        <v>0.35815459328207205</v>
      </c>
      <c r="AH39" s="9">
        <f t="shared" si="166"/>
        <v>0.35001278663370555</v>
      </c>
      <c r="AI39" s="9">
        <f t="shared" si="166"/>
        <v>0.34379205326156242</v>
      </c>
      <c r="AJ39" s="9">
        <f t="shared" si="166"/>
        <v>0.32557343375556319</v>
      </c>
      <c r="AK39" s="9">
        <f t="shared" si="166"/>
        <v>0.31744937526928046</v>
      </c>
      <c r="AL39" s="9">
        <f t="shared" si="166"/>
        <v>0.31992699743139108</v>
      </c>
      <c r="AM39" s="9">
        <f t="shared" si="166"/>
        <v>0.32959659602323871</v>
      </c>
      <c r="AN39" s="9">
        <f t="shared" ref="AN39:AW39" si="167">+AN30/AN29</f>
        <v>0.26305027664180902</v>
      </c>
      <c r="AO39" s="9">
        <f t="shared" si="167"/>
        <v>0.31009747015660938</v>
      </c>
      <c r="AP39" s="9">
        <f t="shared" si="167"/>
        <v>0.30028356798169248</v>
      </c>
      <c r="AQ39" s="9">
        <f t="shared" si="167"/>
        <v>0.25753758293440832</v>
      </c>
      <c r="AR39" s="9">
        <f t="shared" si="167"/>
        <v>0.26063222668850183</v>
      </c>
      <c r="AS39" s="9">
        <f t="shared" si="167"/>
        <v>0.24940172303765157</v>
      </c>
      <c r="AT39" s="9">
        <f t="shared" si="167"/>
        <v>0.17530547540166008</v>
      </c>
      <c r="AU39" s="9">
        <f t="shared" si="167"/>
        <v>0.18583977512297961</v>
      </c>
      <c r="AV39" s="9">
        <f t="shared" si="167"/>
        <v>0.19181576223569421</v>
      </c>
      <c r="AW39" s="9">
        <f t="shared" si="167"/>
        <v>0.20560346369914481</v>
      </c>
      <c r="AX39" s="9">
        <f t="shared" ref="AX39:AY39" si="168">+AX30/AX29</f>
        <v>0.22140402552773686</v>
      </c>
      <c r="AY39" s="9">
        <f t="shared" si="168"/>
        <v>0.1415560136139207</v>
      </c>
      <c r="AZ39" s="9">
        <f t="shared" ref="AZ39:BA39" si="169">+AZ30/AZ29</f>
        <v>0.14605886052901645</v>
      </c>
      <c r="BA39" s="9">
        <f t="shared" si="169"/>
        <v>0.5456763722103416</v>
      </c>
      <c r="BB39" s="9">
        <f t="shared" ref="BB39:BF39" si="170">+BB30/BB29</f>
        <v>0.10181285478850027</v>
      </c>
      <c r="BC39" s="9">
        <f t="shared" si="170"/>
        <v>0.16507655177615205</v>
      </c>
      <c r="BD39" s="9">
        <f t="shared" si="170"/>
        <v>0.13826615285083402</v>
      </c>
      <c r="BE39" s="9">
        <f t="shared" si="170"/>
        <v>0.13113383343685794</v>
      </c>
      <c r="BF39" s="9">
        <f t="shared" si="170"/>
        <v>0.15</v>
      </c>
      <c r="BG39" s="9">
        <f t="shared" ref="BG39:BM39" si="171">+BG30/BG29</f>
        <v>0.15</v>
      </c>
      <c r="BH39" s="9">
        <f t="shared" si="171"/>
        <v>0.15</v>
      </c>
      <c r="BI39" s="9">
        <f t="shared" si="171"/>
        <v>0.15</v>
      </c>
      <c r="BJ39" s="9">
        <f t="shared" si="171"/>
        <v>0.15</v>
      </c>
      <c r="BK39" s="9">
        <f t="shared" si="171"/>
        <v>0.15</v>
      </c>
      <c r="BL39" s="9">
        <f t="shared" si="171"/>
        <v>0.15</v>
      </c>
      <c r="BM39" s="9">
        <f t="shared" si="171"/>
        <v>0.15</v>
      </c>
      <c r="BO39" t="s">
        <v>105</v>
      </c>
      <c r="BP39" s="1">
        <f>+BP38/Main!L3</f>
        <v>274.17388943205617</v>
      </c>
    </row>
    <row r="40" spans="2:68">
      <c r="B40" s="4" t="s">
        <v>156</v>
      </c>
      <c r="C40" s="9"/>
      <c r="D40" s="9"/>
      <c r="E40" s="9"/>
      <c r="F40" s="9">
        <f t="shared" ref="F40:I40" si="172">(F16-F19)/F16</f>
        <v>0.75918884664131814</v>
      </c>
      <c r="G40" s="9">
        <f t="shared" si="172"/>
        <v>0.77238499019173579</v>
      </c>
      <c r="H40" s="9">
        <f t="shared" si="172"/>
        <v>0.68869475847893113</v>
      </c>
      <c r="I40" s="9">
        <f t="shared" si="172"/>
        <v>0.74651810584958223</v>
      </c>
      <c r="J40" s="9">
        <f t="shared" ref="J40:L40" si="173">(J16-J19)/J16</f>
        <v>0.7736297391488014</v>
      </c>
      <c r="K40" s="9">
        <f t="shared" si="173"/>
        <v>0.77199206301485179</v>
      </c>
      <c r="L40" s="9">
        <f t="shared" si="173"/>
        <v>0.69531738774724483</v>
      </c>
      <c r="M40" s="9">
        <f t="shared" ref="M40:O40" si="174">(M16-M19)/M16</f>
        <v>0.73603593228146957</v>
      </c>
      <c r="N40" s="9">
        <f t="shared" si="174"/>
        <v>0.75735130318556476</v>
      </c>
      <c r="O40" s="9">
        <f t="shared" si="174"/>
        <v>0.72670097198399086</v>
      </c>
      <c r="P40" s="9">
        <f>(P16-P19)/P16</f>
        <v>0.65550644790216139</v>
      </c>
      <c r="Q40" s="9">
        <f t="shared" ref="Q40:V40" si="175">(Q16-Q19)/Q16</f>
        <v>0.74717731588401337</v>
      </c>
      <c r="R40" s="9">
        <f t="shared" si="175"/>
        <v>0.77030795704028954</v>
      </c>
      <c r="S40" s="9">
        <f t="shared" si="175"/>
        <v>0.75</v>
      </c>
      <c r="T40" s="9">
        <f t="shared" si="175"/>
        <v>0.75</v>
      </c>
      <c r="U40" s="9">
        <f t="shared" si="175"/>
        <v>0.75</v>
      </c>
      <c r="V40" s="9">
        <f t="shared" si="175"/>
        <v>0.75</v>
      </c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>
        <f t="shared" ref="AY40" si="176">(AY16-AY19)/AY16</f>
        <v>0.70927774706513613</v>
      </c>
      <c r="AZ40" s="9">
        <f t="shared" ref="AZ40:BM40" si="177">(AZ16-AZ19)/AZ16</f>
        <v>0.76218833743398473</v>
      </c>
      <c r="BA40" s="9">
        <f t="shared" si="177"/>
        <v>0.76091911251686128</v>
      </c>
      <c r="BB40" s="9">
        <f t="shared" si="177"/>
        <v>0.75369689264254036</v>
      </c>
      <c r="BC40" s="9">
        <f t="shared" si="177"/>
        <v>0.76459781602269217</v>
      </c>
      <c r="BD40" s="9">
        <f t="shared" si="177"/>
        <v>0.74366153586402906</v>
      </c>
      <c r="BE40" s="9">
        <f t="shared" si="177"/>
        <v>0.73788703734257277</v>
      </c>
      <c r="BF40" s="9">
        <f t="shared" si="177"/>
        <v>0.72481800336944935</v>
      </c>
      <c r="BG40" s="9">
        <f t="shared" si="177"/>
        <v>0.75</v>
      </c>
      <c r="BH40" s="9">
        <f t="shared" si="177"/>
        <v>0.75</v>
      </c>
      <c r="BI40" s="9">
        <f t="shared" si="177"/>
        <v>0.75</v>
      </c>
      <c r="BJ40" s="9">
        <f t="shared" si="177"/>
        <v>0.75</v>
      </c>
      <c r="BK40" s="9">
        <f t="shared" si="177"/>
        <v>0.75</v>
      </c>
      <c r="BL40" s="9">
        <f t="shared" si="177"/>
        <v>0.75</v>
      </c>
      <c r="BM40" s="9">
        <f t="shared" si="177"/>
        <v>0.75</v>
      </c>
      <c r="BP40" s="1"/>
    </row>
    <row r="41" spans="2:68">
      <c r="B41" s="4" t="s">
        <v>157</v>
      </c>
      <c r="C41" s="9"/>
      <c r="D41" s="9"/>
      <c r="E41" s="9"/>
      <c r="F41" s="9">
        <f t="shared" ref="F41:K41" si="178">(F17-F20)/F17</f>
        <v>0.59926581514633415</v>
      </c>
      <c r="G41" s="9">
        <f t="shared" si="178"/>
        <v>0.65317783710364852</v>
      </c>
      <c r="H41" s="9">
        <f t="shared" si="178"/>
        <v>0.65548780487804881</v>
      </c>
      <c r="I41" s="9">
        <f t="shared" si="178"/>
        <v>0.64692143518704948</v>
      </c>
      <c r="J41" s="9">
        <f t="shared" si="178"/>
        <v>0.64341882854413168</v>
      </c>
      <c r="K41" s="9">
        <f t="shared" si="178"/>
        <v>0.65648748518441047</v>
      </c>
      <c r="L41" s="9">
        <f t="shared" ref="L41:O41" si="179">(L17-L20)/L17</f>
        <v>0.65656402468577335</v>
      </c>
      <c r="M41" s="9">
        <f t="shared" si="179"/>
        <v>0.65521660311308372</v>
      </c>
      <c r="N41" s="9">
        <f t="shared" si="179"/>
        <v>0.64398832168450859</v>
      </c>
      <c r="O41" s="9">
        <f t="shared" si="179"/>
        <v>0.67569296995433525</v>
      </c>
      <c r="P41" s="9">
        <f>(P17-P20)/P17</f>
        <v>0.67435826662986476</v>
      </c>
      <c r="Q41" s="9">
        <f t="shared" ref="Q41:V41" si="180">(Q17-Q20)/Q17</f>
        <v>0.67299900721779493</v>
      </c>
      <c r="R41" s="9">
        <f t="shared" si="180"/>
        <v>0.67144600366076879</v>
      </c>
      <c r="S41" s="9">
        <f t="shared" si="180"/>
        <v>0.65</v>
      </c>
      <c r="T41" s="9">
        <f t="shared" si="180"/>
        <v>0.64999999999999991</v>
      </c>
      <c r="U41" s="9">
        <f t="shared" si="180"/>
        <v>0.65000000000000013</v>
      </c>
      <c r="V41" s="9">
        <f t="shared" si="180"/>
        <v>0.65</v>
      </c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>
        <f t="shared" ref="AY41" si="181">(AY17-AY20)/AY17</f>
        <v>0.37442270551683599</v>
      </c>
      <c r="AZ41" s="9">
        <f t="shared" ref="AZ41:BM41" si="182">(AZ17-AZ20)/AZ17</f>
        <v>0.41739926739926742</v>
      </c>
      <c r="BA41" s="9">
        <f t="shared" si="182"/>
        <v>0.4999672938970412</v>
      </c>
      <c r="BB41" s="9">
        <f t="shared" si="182"/>
        <v>0.55437146585471941</v>
      </c>
      <c r="BC41" s="9">
        <f t="shared" si="182"/>
        <v>0.59904766985888447</v>
      </c>
      <c r="BD41" s="9">
        <f t="shared" si="182"/>
        <v>0.64940111736450412</v>
      </c>
      <c r="BE41" s="9">
        <f t="shared" si="182"/>
        <v>0.65280632159186858</v>
      </c>
      <c r="BF41" s="9">
        <f t="shared" si="182"/>
        <v>0.67354771220519505</v>
      </c>
      <c r="BG41" s="9">
        <f t="shared" si="182"/>
        <v>0.65</v>
      </c>
      <c r="BH41" s="9">
        <f t="shared" si="182"/>
        <v>0.65</v>
      </c>
      <c r="BI41" s="9">
        <f t="shared" si="182"/>
        <v>0.64999999999999991</v>
      </c>
      <c r="BJ41" s="9">
        <f t="shared" si="182"/>
        <v>0.65</v>
      </c>
      <c r="BK41" s="9">
        <f t="shared" si="182"/>
        <v>0.65</v>
      </c>
      <c r="BL41" s="9">
        <f t="shared" si="182"/>
        <v>0.65</v>
      </c>
      <c r="BM41" s="9">
        <f t="shared" si="182"/>
        <v>0.65</v>
      </c>
      <c r="BP41" s="1"/>
    </row>
    <row r="42" spans="2:68">
      <c r="B42" s="4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P42" s="1"/>
    </row>
    <row r="44" spans="2:68">
      <c r="B44" t="s">
        <v>82</v>
      </c>
      <c r="K44" s="5">
        <f t="shared" ref="K44:R44" si="183">+K45-K56</f>
        <v>83720</v>
      </c>
      <c r="L44" s="5">
        <f t="shared" si="183"/>
        <v>79105</v>
      </c>
      <c r="M44" s="5">
        <f t="shared" si="183"/>
        <v>61674</v>
      </c>
      <c r="N44" s="5">
        <f t="shared" si="183"/>
        <v>61867</v>
      </c>
      <c r="O44" s="5">
        <f t="shared" si="183"/>
        <v>65479</v>
      </c>
      <c r="P44" s="5">
        <f t="shared" si="183"/>
        <v>58489</v>
      </c>
      <c r="Q44" s="5">
        <f t="shared" si="183"/>
        <v>65632</v>
      </c>
      <c r="R44" s="5">
        <f t="shared" si="183"/>
        <v>73904</v>
      </c>
      <c r="S44" s="5"/>
      <c r="T44" s="5"/>
      <c r="U44" s="5"/>
      <c r="V44" s="5"/>
      <c r="AC44" s="4">
        <f t="shared" ref="AC44:AQ44" si="184">AC45</f>
        <v>3614</v>
      </c>
      <c r="AD44" s="4">
        <f t="shared" si="184"/>
        <v>4750</v>
      </c>
      <c r="AE44" s="4">
        <f t="shared" si="184"/>
        <v>6940</v>
      </c>
      <c r="AF44" s="4">
        <f t="shared" si="184"/>
        <v>11312</v>
      </c>
      <c r="AG44" s="4">
        <f t="shared" si="184"/>
        <v>18630</v>
      </c>
      <c r="AH44" s="4">
        <f t="shared" si="184"/>
        <v>31608</v>
      </c>
      <c r="AI44" s="4">
        <f t="shared" si="184"/>
        <v>41524</v>
      </c>
      <c r="AJ44" s="4">
        <f t="shared" si="184"/>
        <v>45741</v>
      </c>
      <c r="AK44" s="4">
        <f t="shared" si="184"/>
        <v>52843</v>
      </c>
      <c r="AL44" s="4">
        <f t="shared" si="184"/>
        <v>62740</v>
      </c>
      <c r="AM44" s="4">
        <f t="shared" si="184"/>
        <v>72802</v>
      </c>
      <c r="AN44" s="4">
        <f t="shared" si="184"/>
        <v>48755</v>
      </c>
      <c r="AO44" s="4">
        <f t="shared" si="184"/>
        <v>43393</v>
      </c>
      <c r="AP44" s="4">
        <f t="shared" si="184"/>
        <v>33528</v>
      </c>
      <c r="AQ44" s="4">
        <f t="shared" si="184"/>
        <v>30250</v>
      </c>
      <c r="AR44" s="4">
        <f t="shared" ref="AR44:AW44" si="185">AR45-AR56</f>
        <v>30634</v>
      </c>
      <c r="AS44" s="4">
        <f t="shared" si="185"/>
        <v>38603</v>
      </c>
      <c r="AT44" s="4">
        <f t="shared" si="185"/>
        <v>51716</v>
      </c>
      <c r="AU44" s="4">
        <f t="shared" si="185"/>
        <v>60872</v>
      </c>
      <c r="AV44" s="4">
        <f t="shared" si="185"/>
        <v>72266</v>
      </c>
      <c r="AW44" s="4">
        <f t="shared" si="185"/>
        <v>77661</v>
      </c>
      <c r="BE44" s="5">
        <f>+N44</f>
        <v>61867</v>
      </c>
      <c r="BF44" s="5">
        <f>+BE44+BF31</f>
        <v>137637.41950000002</v>
      </c>
      <c r="BG44" s="5">
        <f t="shared" ref="BG44:BM44" si="186">+BF44+BG31</f>
        <v>222807.59978075002</v>
      </c>
      <c r="BH44" s="5">
        <f t="shared" si="186"/>
        <v>317970.81517633644</v>
      </c>
      <c r="BI44" s="5">
        <f t="shared" si="186"/>
        <v>424164.98721430881</v>
      </c>
      <c r="BJ44" s="5">
        <f t="shared" si="186"/>
        <v>542532.93998423312</v>
      </c>
      <c r="BK44" s="5">
        <f t="shared" si="186"/>
        <v>674332.923297056</v>
      </c>
      <c r="BL44" s="5">
        <f t="shared" si="186"/>
        <v>820950.18914402218</v>
      </c>
      <c r="BM44" s="5">
        <f t="shared" si="186"/>
        <v>983909.72681458096</v>
      </c>
    </row>
    <row r="45" spans="2:68" s="4" customFormat="1">
      <c r="B45" s="4" t="s">
        <v>3</v>
      </c>
      <c r="C45" s="5"/>
      <c r="D45" s="5"/>
      <c r="E45" s="5"/>
      <c r="F45" s="5"/>
      <c r="G45" s="5"/>
      <c r="H45" s="5"/>
      <c r="I45" s="5"/>
      <c r="J45" s="5"/>
      <c r="K45" s="5">
        <f>130615+6393</f>
        <v>137008</v>
      </c>
      <c r="L45" s="5">
        <f>125369+6994</f>
        <v>132363</v>
      </c>
      <c r="M45" s="5">
        <f>104693+6907</f>
        <v>111600</v>
      </c>
      <c r="N45" s="5">
        <f>104757+6891</f>
        <v>111648</v>
      </c>
      <c r="O45" s="4">
        <f>107262+6839</f>
        <v>114101</v>
      </c>
      <c r="P45" s="4">
        <f>99508+7097</f>
        <v>106605</v>
      </c>
      <c r="Q45" s="4">
        <f>104427+9415</f>
        <v>113842</v>
      </c>
      <c r="R45" s="4">
        <f>111262+9879</f>
        <v>121141</v>
      </c>
      <c r="AC45" s="4">
        <f>3614</f>
        <v>3614</v>
      </c>
      <c r="AD45" s="4">
        <v>4750</v>
      </c>
      <c r="AE45" s="4">
        <v>6940</v>
      </c>
      <c r="AF45" s="4">
        <f>8966+2346</f>
        <v>11312</v>
      </c>
      <c r="AG45" s="4">
        <f>13927+4703</f>
        <v>18630</v>
      </c>
      <c r="AH45" s="4">
        <f>17236+14372</f>
        <v>31608</v>
      </c>
      <c r="AI45" s="4">
        <f>4846+18952+17726</f>
        <v>41524</v>
      </c>
      <c r="AJ45" s="4">
        <f>3922+27678+14141</f>
        <v>45741</v>
      </c>
      <c r="AK45" s="4">
        <f>3016+35636+14191</f>
        <v>52843</v>
      </c>
      <c r="AL45" s="4">
        <f>6438+42610+13692</f>
        <v>62740</v>
      </c>
      <c r="AM45" s="4">
        <f>60592+12210</f>
        <v>72802</v>
      </c>
      <c r="AN45" s="4">
        <f>4851+32900+11004</f>
        <v>48755</v>
      </c>
      <c r="AO45" s="4">
        <f>34161+9232</f>
        <v>43393</v>
      </c>
      <c r="AP45" s="4">
        <f>23411+10117</f>
        <v>33528</v>
      </c>
      <c r="AQ45" s="4">
        <f>23662+6588</f>
        <v>30250</v>
      </c>
      <c r="AR45" s="4">
        <f>31447+4933</f>
        <v>36380</v>
      </c>
      <c r="AS45" s="4">
        <f>36788+7754</f>
        <v>44542</v>
      </c>
      <c r="AT45" s="4">
        <f>52772+10865</f>
        <v>63637</v>
      </c>
      <c r="AU45" s="4">
        <f>63040+9776</f>
        <v>72816</v>
      </c>
      <c r="AV45" s="4">
        <f>77022+10844</f>
        <v>87866</v>
      </c>
      <c r="AW45" s="4">
        <f>85709+14597</f>
        <v>100306</v>
      </c>
      <c r="BC45" s="5"/>
      <c r="BD45" s="5"/>
      <c r="BE45" s="5"/>
      <c r="BF45" s="5"/>
    </row>
    <row r="46" spans="2:68" s="4" customFormat="1">
      <c r="B46" s="4" t="s">
        <v>35</v>
      </c>
      <c r="C46" s="5"/>
      <c r="D46" s="5"/>
      <c r="E46" s="5"/>
      <c r="F46" s="5"/>
      <c r="G46" s="5"/>
      <c r="H46" s="5"/>
      <c r="I46" s="5"/>
      <c r="J46" s="5"/>
      <c r="K46" s="5">
        <v>27349</v>
      </c>
      <c r="L46" s="5">
        <v>33520</v>
      </c>
      <c r="M46" s="5">
        <v>32613</v>
      </c>
      <c r="N46" s="5">
        <v>44261</v>
      </c>
      <c r="O46" s="4">
        <v>31279</v>
      </c>
      <c r="P46" s="4">
        <v>35833</v>
      </c>
      <c r="Q46" s="4">
        <v>37420</v>
      </c>
      <c r="R46" s="4">
        <v>48688</v>
      </c>
      <c r="AC46" s="4">
        <v>475</v>
      </c>
      <c r="AD46" s="4">
        <v>581</v>
      </c>
      <c r="AE46" s="4">
        <v>639</v>
      </c>
      <c r="AF46" s="4">
        <v>980</v>
      </c>
      <c r="AG46" s="4">
        <v>1460</v>
      </c>
      <c r="AH46" s="4">
        <v>2245</v>
      </c>
      <c r="AI46" s="4">
        <v>3250</v>
      </c>
      <c r="AJ46" s="4">
        <v>3671</v>
      </c>
      <c r="AK46" s="4">
        <v>5129</v>
      </c>
      <c r="AL46" s="4">
        <v>5196</v>
      </c>
      <c r="AM46" s="4">
        <v>5890</v>
      </c>
      <c r="AN46" s="4">
        <v>7180</v>
      </c>
      <c r="AO46" s="4">
        <v>9316</v>
      </c>
      <c r="AP46" s="4">
        <v>11338</v>
      </c>
      <c r="AQ46" s="4">
        <v>13589</v>
      </c>
      <c r="AR46" s="4">
        <v>11192</v>
      </c>
      <c r="AS46" s="4">
        <v>13014</v>
      </c>
      <c r="AT46" s="4">
        <v>14987</v>
      </c>
      <c r="AU46" s="4">
        <v>15780</v>
      </c>
      <c r="AV46" s="4">
        <v>17486</v>
      </c>
      <c r="AW46" s="4">
        <v>19544</v>
      </c>
      <c r="BC46" s="5"/>
      <c r="BD46" s="5"/>
      <c r="BE46" s="5"/>
      <c r="BF46" s="5"/>
    </row>
    <row r="47" spans="2:68" s="4" customFormat="1">
      <c r="B47" s="4" t="s">
        <v>36</v>
      </c>
      <c r="C47" s="5"/>
      <c r="D47" s="5"/>
      <c r="E47" s="5"/>
      <c r="F47" s="5"/>
      <c r="G47" s="5"/>
      <c r="H47" s="5"/>
      <c r="I47" s="5"/>
      <c r="J47" s="5"/>
      <c r="K47" s="5">
        <v>3411</v>
      </c>
      <c r="L47" s="5">
        <v>3019</v>
      </c>
      <c r="M47" s="5">
        <v>3296</v>
      </c>
      <c r="N47" s="5">
        <v>3742</v>
      </c>
      <c r="O47" s="4">
        <v>4268</v>
      </c>
      <c r="P47" s="4">
        <v>2980</v>
      </c>
      <c r="Q47" s="4">
        <v>2877</v>
      </c>
      <c r="R47" s="4">
        <v>2500</v>
      </c>
      <c r="AC47" s="4">
        <v>102</v>
      </c>
      <c r="AD47" s="4">
        <v>88</v>
      </c>
      <c r="AE47" s="4">
        <v>0</v>
      </c>
      <c r="AF47" s="4">
        <v>0</v>
      </c>
      <c r="AG47" s="4">
        <v>0</v>
      </c>
      <c r="AH47" s="4">
        <v>0</v>
      </c>
      <c r="AI47" s="4">
        <v>0</v>
      </c>
      <c r="AJ47" s="4">
        <v>0</v>
      </c>
      <c r="AK47" s="4">
        <v>673</v>
      </c>
      <c r="AL47" s="4">
        <v>640</v>
      </c>
      <c r="AM47" s="4">
        <v>421</v>
      </c>
      <c r="AN47" s="4">
        <v>491</v>
      </c>
      <c r="AO47" s="4">
        <v>1478</v>
      </c>
      <c r="AP47" s="4">
        <v>1127</v>
      </c>
      <c r="AQ47" s="4">
        <v>985</v>
      </c>
      <c r="AR47" s="4">
        <v>717</v>
      </c>
      <c r="AS47" s="4">
        <v>740</v>
      </c>
      <c r="AT47" s="4">
        <v>1372</v>
      </c>
      <c r="AU47" s="4">
        <v>1137</v>
      </c>
      <c r="AV47" s="4">
        <v>1938</v>
      </c>
      <c r="AW47" s="4">
        <v>2660</v>
      </c>
      <c r="BC47" s="5"/>
      <c r="BD47" s="5"/>
      <c r="BE47" s="5"/>
      <c r="BF47" s="5"/>
    </row>
    <row r="48" spans="2:68" s="4" customFormat="1">
      <c r="B48" s="4" t="s">
        <v>37</v>
      </c>
      <c r="C48" s="5"/>
      <c r="D48" s="5"/>
      <c r="E48" s="5"/>
      <c r="F48" s="5"/>
      <c r="G48" s="5"/>
      <c r="H48" s="5"/>
      <c r="I48" s="5"/>
      <c r="J48" s="5"/>
      <c r="K48" s="5">
        <v>12951</v>
      </c>
      <c r="L48" s="5">
        <v>12280</v>
      </c>
      <c r="M48" s="5">
        <v>13320</v>
      </c>
      <c r="N48" s="5">
        <v>16924</v>
      </c>
      <c r="O48" s="4">
        <v>18003</v>
      </c>
      <c r="P48" s="4">
        <v>19502</v>
      </c>
      <c r="Q48" s="4">
        <v>19165</v>
      </c>
      <c r="R48" s="4">
        <v>21807</v>
      </c>
      <c r="AC48" s="4">
        <v>121</v>
      </c>
      <c r="AD48" s="4">
        <v>201</v>
      </c>
      <c r="AE48" s="4">
        <v>260</v>
      </c>
      <c r="AF48" s="4">
        <v>427</v>
      </c>
      <c r="AG48" s="4">
        <v>502</v>
      </c>
      <c r="AH48" s="4">
        <v>752</v>
      </c>
      <c r="AI48" s="4">
        <f>1552+1708</f>
        <v>3260</v>
      </c>
      <c r="AJ48" s="4">
        <f>1949+2417</f>
        <v>4366</v>
      </c>
      <c r="AK48" s="4">
        <f>2112+2010</f>
        <v>4122</v>
      </c>
      <c r="AL48" s="4">
        <f>2506+1583</f>
        <v>4089</v>
      </c>
      <c r="AM48" s="4">
        <f>2097+1566</f>
        <v>3663</v>
      </c>
      <c r="AN48" s="4">
        <f>1701+1614</f>
        <v>3315</v>
      </c>
      <c r="AO48" s="4">
        <f>1940+2115</f>
        <v>4055</v>
      </c>
      <c r="AP48" s="4">
        <f>1899+2393</f>
        <v>4292</v>
      </c>
      <c r="AQ48" s="4">
        <f>2017+2989</f>
        <v>5006</v>
      </c>
      <c r="AR48" s="4">
        <f>2213+3711</f>
        <v>5924</v>
      </c>
      <c r="AS48" s="4">
        <f>2184+2950</f>
        <v>5134</v>
      </c>
      <c r="AT48" s="4">
        <f>2467+3320</f>
        <v>5787</v>
      </c>
      <c r="AU48" s="4">
        <f>2035+3092</f>
        <v>5127</v>
      </c>
      <c r="AV48" s="4">
        <f>1632+3388</f>
        <v>5020</v>
      </c>
      <c r="AW48" s="4">
        <f>1941+4392</f>
        <v>6333</v>
      </c>
      <c r="BC48" s="5"/>
      <c r="BD48" s="5"/>
      <c r="BE48" s="5"/>
      <c r="BF48" s="5"/>
    </row>
    <row r="49" spans="2:58" s="4" customFormat="1">
      <c r="B49" s="4" t="s">
        <v>38</v>
      </c>
      <c r="C49" s="5"/>
      <c r="D49" s="5"/>
      <c r="E49" s="5"/>
      <c r="F49" s="5"/>
      <c r="G49" s="5"/>
      <c r="H49" s="5"/>
      <c r="I49" s="5"/>
      <c r="J49" s="5"/>
      <c r="K49" s="5">
        <v>63772</v>
      </c>
      <c r="L49" s="5">
        <v>67214</v>
      </c>
      <c r="M49" s="5">
        <v>70298</v>
      </c>
      <c r="N49" s="5">
        <v>74398</v>
      </c>
      <c r="O49" s="4">
        <v>77037</v>
      </c>
      <c r="P49" s="4">
        <v>82755</v>
      </c>
      <c r="Q49" s="4">
        <v>88132</v>
      </c>
      <c r="R49" s="4">
        <v>95641</v>
      </c>
      <c r="AC49" s="4">
        <v>930</v>
      </c>
      <c r="AD49" s="4">
        <v>1192</v>
      </c>
      <c r="AE49" s="4">
        <v>1326</v>
      </c>
      <c r="AF49" s="4">
        <v>1465</v>
      </c>
      <c r="AG49" s="4">
        <v>1505</v>
      </c>
      <c r="AH49" s="4">
        <v>1611</v>
      </c>
      <c r="AI49" s="4">
        <v>1903</v>
      </c>
      <c r="AJ49" s="4">
        <v>2309</v>
      </c>
      <c r="AK49" s="4">
        <v>2268</v>
      </c>
      <c r="AL49" s="4">
        <v>2223</v>
      </c>
      <c r="AM49" s="4">
        <v>2326</v>
      </c>
      <c r="AN49" s="4">
        <v>2346</v>
      </c>
      <c r="AO49" s="4">
        <v>3044</v>
      </c>
      <c r="AP49" s="4">
        <v>4350</v>
      </c>
      <c r="AQ49" s="4">
        <v>6242</v>
      </c>
      <c r="AR49" s="4">
        <v>7535</v>
      </c>
      <c r="AS49" s="4">
        <v>7630</v>
      </c>
      <c r="AT49" s="4">
        <v>8162</v>
      </c>
      <c r="AU49" s="4">
        <v>8269</v>
      </c>
      <c r="AV49" s="4">
        <v>9991</v>
      </c>
      <c r="AW49" s="4">
        <v>13011</v>
      </c>
      <c r="BC49" s="5"/>
      <c r="BD49" s="5"/>
      <c r="BE49" s="5"/>
      <c r="BF49" s="5"/>
    </row>
    <row r="50" spans="2:58" s="4" customFormat="1">
      <c r="B50" s="4" t="s">
        <v>39</v>
      </c>
      <c r="C50" s="5"/>
      <c r="D50" s="5"/>
      <c r="E50" s="5"/>
      <c r="F50" s="5"/>
      <c r="G50" s="5"/>
      <c r="H50" s="5"/>
      <c r="I50" s="5"/>
      <c r="J50" s="5"/>
      <c r="K50" s="5">
        <v>11575</v>
      </c>
      <c r="L50" s="5">
        <v>12354</v>
      </c>
      <c r="M50" s="5">
        <v>12916</v>
      </c>
      <c r="N50" s="5">
        <v>13148</v>
      </c>
      <c r="O50" s="4">
        <v>13347</v>
      </c>
      <c r="P50" s="4">
        <v>13624</v>
      </c>
      <c r="Q50" s="4">
        <v>13879</v>
      </c>
      <c r="R50" s="4">
        <v>14346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  <c r="AJ50" s="4">
        <v>0</v>
      </c>
      <c r="AK50" s="4">
        <v>0</v>
      </c>
      <c r="AL50" s="4">
        <v>0</v>
      </c>
      <c r="AM50" s="4">
        <v>0</v>
      </c>
      <c r="AN50" s="4">
        <v>0</v>
      </c>
      <c r="AO50" s="4">
        <v>0</v>
      </c>
      <c r="AP50" s="4">
        <v>0</v>
      </c>
      <c r="AQ50" s="4">
        <v>0</v>
      </c>
      <c r="AR50" s="4">
        <v>0</v>
      </c>
      <c r="AS50" s="4">
        <v>0</v>
      </c>
      <c r="AT50" s="4">
        <v>0</v>
      </c>
      <c r="AU50" s="4">
        <v>0</v>
      </c>
      <c r="AV50" s="4">
        <v>0</v>
      </c>
      <c r="AW50" s="4">
        <v>0</v>
      </c>
      <c r="BC50" s="5"/>
      <c r="BD50" s="5"/>
      <c r="BE50" s="5"/>
      <c r="BF50" s="5"/>
    </row>
    <row r="51" spans="2:58" s="4" customFormat="1">
      <c r="B51" s="4" t="s">
        <v>40</v>
      </c>
      <c r="C51" s="5"/>
      <c r="D51" s="5"/>
      <c r="E51" s="5"/>
      <c r="F51" s="5"/>
      <c r="G51" s="5"/>
      <c r="H51" s="5"/>
      <c r="I51" s="5"/>
      <c r="J51" s="5"/>
      <c r="K51" s="5">
        <f>50455+7794</f>
        <v>58249</v>
      </c>
      <c r="L51" s="5">
        <f>50921+7462</f>
        <v>58383</v>
      </c>
      <c r="M51" s="5">
        <f>67371+11348</f>
        <v>78719</v>
      </c>
      <c r="N51" s="5">
        <f>67524+11298</f>
        <v>78822</v>
      </c>
      <c r="O51" s="4">
        <f>67459+10808</f>
        <v>78267</v>
      </c>
      <c r="P51" s="4">
        <f>67905+10354</f>
        <v>78259</v>
      </c>
      <c r="Q51" s="4">
        <f>67940+9879</f>
        <v>77819</v>
      </c>
      <c r="R51" s="4">
        <f>67886+9366</f>
        <v>77252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  <c r="AH51" s="4">
        <v>0</v>
      </c>
      <c r="AI51" s="4">
        <v>0</v>
      </c>
      <c r="AJ51" s="4">
        <v>0</v>
      </c>
      <c r="AK51" s="4">
        <f>1426+243</f>
        <v>1669</v>
      </c>
      <c r="AL51" s="4">
        <f>3128+384</f>
        <v>3512</v>
      </c>
      <c r="AM51" s="4">
        <f>3115+569</f>
        <v>3684</v>
      </c>
      <c r="AN51" s="4">
        <f>3309+499</f>
        <v>3808</v>
      </c>
      <c r="AO51" s="4">
        <f>3866+539</f>
        <v>4405</v>
      </c>
      <c r="AP51" s="4">
        <f>4760+878</f>
        <v>5638</v>
      </c>
      <c r="AQ51" s="4">
        <f>12108+1973</f>
        <v>14081</v>
      </c>
      <c r="AR51" s="4">
        <f>12503+1759</f>
        <v>14262</v>
      </c>
      <c r="AS51" s="4">
        <f>12394+1158</f>
        <v>13552</v>
      </c>
      <c r="AT51" s="4">
        <f>12581+744</f>
        <v>13325</v>
      </c>
      <c r="AU51" s="4">
        <f>13452+3170</f>
        <v>16622</v>
      </c>
      <c r="AV51" s="4">
        <f>14655+3083</f>
        <v>17738</v>
      </c>
      <c r="AW51" s="4">
        <f>20127+6981</f>
        <v>27108</v>
      </c>
      <c r="BC51" s="5"/>
      <c r="BD51" s="5"/>
      <c r="BE51" s="5"/>
      <c r="BF51" s="5"/>
    </row>
    <row r="52" spans="2:58" s="4" customFormat="1">
      <c r="B52" s="4" t="s">
        <v>42</v>
      </c>
      <c r="C52" s="5"/>
      <c r="D52" s="5"/>
      <c r="E52" s="5"/>
      <c r="F52" s="5"/>
      <c r="G52" s="5"/>
      <c r="H52" s="5"/>
      <c r="I52" s="5"/>
      <c r="J52" s="5"/>
      <c r="K52" s="5">
        <v>21103</v>
      </c>
      <c r="L52" s="5">
        <v>21256</v>
      </c>
      <c r="M52" s="5">
        <v>21845</v>
      </c>
      <c r="N52" s="5">
        <v>21897</v>
      </c>
      <c r="O52" s="4">
        <v>23482</v>
      </c>
      <c r="P52" s="4">
        <v>24994</v>
      </c>
      <c r="Q52" s="4">
        <v>26954</v>
      </c>
      <c r="R52" s="4">
        <v>30601</v>
      </c>
      <c r="AC52" s="4">
        <v>121</v>
      </c>
      <c r="AD52" s="4">
        <v>398</v>
      </c>
      <c r="AE52" s="4">
        <v>928</v>
      </c>
      <c r="AF52" s="4">
        <v>203</v>
      </c>
      <c r="AG52" s="4">
        <v>260</v>
      </c>
      <c r="AH52" s="4">
        <v>940</v>
      </c>
      <c r="AI52" s="4">
        <v>2213</v>
      </c>
      <c r="AJ52" s="4">
        <v>3170</v>
      </c>
      <c r="AK52" s="4">
        <v>942</v>
      </c>
      <c r="AL52" s="4">
        <v>1171</v>
      </c>
      <c r="AM52" s="4">
        <f>1829+1774</f>
        <v>3603</v>
      </c>
      <c r="AN52" s="4">
        <f>3621+1299</f>
        <v>4920</v>
      </c>
      <c r="AO52" s="4">
        <f>2611+1295</f>
        <v>3906</v>
      </c>
      <c r="AP52" s="4">
        <f>1389+1509</f>
        <v>2898</v>
      </c>
      <c r="AQ52" s="4">
        <f>949+1691</f>
        <v>2640</v>
      </c>
      <c r="AR52" s="4">
        <f>279+1599</f>
        <v>1878</v>
      </c>
      <c r="AS52" s="4">
        <v>1501</v>
      </c>
      <c r="AT52" s="4">
        <f>1434</f>
        <v>1434</v>
      </c>
      <c r="AU52" s="4">
        <v>1520</v>
      </c>
      <c r="AV52" s="4">
        <v>2392</v>
      </c>
      <c r="AW52" s="4">
        <v>3422</v>
      </c>
      <c r="BC52" s="5"/>
      <c r="BD52" s="5"/>
      <c r="BE52" s="5"/>
      <c r="BF52" s="5"/>
    </row>
    <row r="53" spans="2:58" s="6" customFormat="1">
      <c r="B53" s="6" t="s">
        <v>41</v>
      </c>
      <c r="C53" s="7"/>
      <c r="D53" s="7"/>
      <c r="E53" s="7"/>
      <c r="F53" s="7"/>
      <c r="G53" s="7"/>
      <c r="H53" s="7"/>
      <c r="I53" s="7"/>
      <c r="J53" s="7"/>
      <c r="K53" s="7">
        <f t="shared" ref="K53" si="187">SUM(K45:K52)</f>
        <v>335418</v>
      </c>
      <c r="L53" s="7">
        <f t="shared" ref="L53" si="188">SUM(L45:L52)</f>
        <v>340389</v>
      </c>
      <c r="M53" s="7">
        <f t="shared" ref="M53:R53" si="189">SUM(M45:M52)</f>
        <v>344607</v>
      </c>
      <c r="N53" s="7">
        <f t="shared" si="189"/>
        <v>364840</v>
      </c>
      <c r="O53" s="7">
        <f t="shared" si="189"/>
        <v>359784</v>
      </c>
      <c r="P53" s="7">
        <f t="shared" si="189"/>
        <v>364552</v>
      </c>
      <c r="Q53" s="7">
        <f t="shared" si="189"/>
        <v>380088</v>
      </c>
      <c r="R53" s="7">
        <f t="shared" si="189"/>
        <v>411976</v>
      </c>
      <c r="S53" s="7"/>
      <c r="T53" s="7"/>
      <c r="U53" s="7"/>
      <c r="V53" s="7"/>
      <c r="AC53" s="6">
        <f t="shared" ref="AC53:AW53" si="190">SUM(AC45:AC52)</f>
        <v>5363</v>
      </c>
      <c r="AD53" s="6">
        <f t="shared" si="190"/>
        <v>7210</v>
      </c>
      <c r="AE53" s="6">
        <f t="shared" si="190"/>
        <v>10093</v>
      </c>
      <c r="AF53" s="6">
        <f t="shared" si="190"/>
        <v>14387</v>
      </c>
      <c r="AG53" s="6">
        <f t="shared" si="190"/>
        <v>22357</v>
      </c>
      <c r="AH53" s="6">
        <f t="shared" si="190"/>
        <v>37156</v>
      </c>
      <c r="AI53" s="6">
        <f t="shared" si="190"/>
        <v>52150</v>
      </c>
      <c r="AJ53" s="6">
        <f t="shared" si="190"/>
        <v>59257</v>
      </c>
      <c r="AK53" s="6">
        <f t="shared" si="190"/>
        <v>67646</v>
      </c>
      <c r="AL53" s="6">
        <f t="shared" si="190"/>
        <v>79571</v>
      </c>
      <c r="AM53" s="6">
        <f t="shared" si="190"/>
        <v>92389</v>
      </c>
      <c r="AN53" s="6">
        <f t="shared" si="190"/>
        <v>70815</v>
      </c>
      <c r="AO53" s="6">
        <f t="shared" si="190"/>
        <v>69597</v>
      </c>
      <c r="AP53" s="6">
        <f t="shared" si="190"/>
        <v>63171</v>
      </c>
      <c r="AQ53" s="6">
        <f t="shared" si="190"/>
        <v>72793</v>
      </c>
      <c r="AR53" s="6">
        <f t="shared" si="190"/>
        <v>77888</v>
      </c>
      <c r="AS53" s="6">
        <f t="shared" si="190"/>
        <v>86113</v>
      </c>
      <c r="AT53" s="6">
        <f t="shared" si="190"/>
        <v>108704</v>
      </c>
      <c r="AU53" s="6">
        <f t="shared" si="190"/>
        <v>121271</v>
      </c>
      <c r="AV53" s="6">
        <f t="shared" si="190"/>
        <v>142431</v>
      </c>
      <c r="AW53" s="6">
        <f t="shared" si="190"/>
        <v>172384</v>
      </c>
      <c r="BC53" s="7"/>
      <c r="BD53" s="7"/>
      <c r="BE53" s="7"/>
      <c r="BF53" s="7"/>
    </row>
    <row r="54" spans="2:58">
      <c r="AG54" t="s">
        <v>270</v>
      </c>
    </row>
    <row r="55" spans="2:58" s="4" customFormat="1">
      <c r="B55" s="4" t="s">
        <v>43</v>
      </c>
      <c r="C55" s="5"/>
      <c r="D55" s="5"/>
      <c r="E55" s="5"/>
      <c r="F55" s="5"/>
      <c r="G55" s="5"/>
      <c r="H55" s="5"/>
      <c r="I55" s="5"/>
      <c r="J55" s="5"/>
      <c r="K55" s="5">
        <v>14832</v>
      </c>
      <c r="L55" s="5">
        <v>15314</v>
      </c>
      <c r="M55" s="5">
        <v>16085</v>
      </c>
      <c r="N55" s="5">
        <v>19000</v>
      </c>
      <c r="O55" s="4">
        <v>16609</v>
      </c>
      <c r="P55" s="4">
        <v>15354</v>
      </c>
      <c r="Q55" s="4">
        <v>15305</v>
      </c>
      <c r="R55" s="4">
        <v>18095</v>
      </c>
      <c r="AC55" s="4">
        <v>324</v>
      </c>
      <c r="AD55" s="4">
        <v>563</v>
      </c>
      <c r="AE55" s="4">
        <v>808</v>
      </c>
      <c r="AF55" s="4">
        <v>721</v>
      </c>
      <c r="AG55" s="4">
        <v>759</v>
      </c>
      <c r="AH55" s="4">
        <v>874</v>
      </c>
      <c r="AI55" s="4">
        <v>1083</v>
      </c>
      <c r="AJ55" s="4">
        <v>1188</v>
      </c>
      <c r="AK55" s="4">
        <v>1208</v>
      </c>
      <c r="AL55" s="4">
        <v>1573</v>
      </c>
      <c r="AM55" s="4">
        <v>1717</v>
      </c>
      <c r="AN55" s="4">
        <v>2086</v>
      </c>
      <c r="AO55" s="4">
        <v>2909</v>
      </c>
      <c r="AP55" s="4">
        <v>3247</v>
      </c>
      <c r="AQ55" s="4">
        <v>4034</v>
      </c>
      <c r="AR55" s="4">
        <f>3324</f>
        <v>3324</v>
      </c>
      <c r="AS55" s="4">
        <v>4025</v>
      </c>
      <c r="AT55" s="4">
        <v>4197</v>
      </c>
      <c r="AU55" s="4">
        <v>4175</v>
      </c>
      <c r="AV55" s="4">
        <v>4828</v>
      </c>
      <c r="AW55" s="4">
        <v>7432</v>
      </c>
      <c r="BC55" s="5"/>
      <c r="BD55" s="5"/>
      <c r="BE55" s="5"/>
      <c r="BF55" s="5"/>
    </row>
    <row r="56" spans="2:58" s="4" customFormat="1">
      <c r="B56" s="4" t="s">
        <v>4</v>
      </c>
      <c r="C56" s="5"/>
      <c r="D56" s="5"/>
      <c r="E56" s="5"/>
      <c r="F56" s="5"/>
      <c r="G56" s="5"/>
      <c r="H56" s="5"/>
      <c r="I56" s="5"/>
      <c r="J56" s="5"/>
      <c r="K56" s="5">
        <f>3249+50039</f>
        <v>53288</v>
      </c>
      <c r="L56" s="5">
        <f>4998+48260</f>
        <v>53258</v>
      </c>
      <c r="M56" s="5">
        <f>1749+48177</f>
        <v>49926</v>
      </c>
      <c r="N56" s="5">
        <f>2749+47032</f>
        <v>49781</v>
      </c>
      <c r="O56" s="4">
        <f>3248+45374</f>
        <v>48622</v>
      </c>
      <c r="P56" s="4">
        <f>3997+44119</f>
        <v>48116</v>
      </c>
      <c r="Q56" s="4">
        <f>6245+41965</f>
        <v>48210</v>
      </c>
      <c r="R56" s="4">
        <f>5247+41990</f>
        <v>47237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  <c r="AH56" s="4">
        <v>0</v>
      </c>
      <c r="AI56" s="4">
        <v>0</v>
      </c>
      <c r="AJ56" s="4">
        <v>0</v>
      </c>
      <c r="AK56" s="4">
        <v>0</v>
      </c>
      <c r="AL56" s="4">
        <v>0</v>
      </c>
      <c r="AM56" s="4">
        <v>0</v>
      </c>
      <c r="AN56" s="4">
        <v>0</v>
      </c>
      <c r="AO56" s="4">
        <v>0</v>
      </c>
      <c r="AP56" s="4">
        <v>0</v>
      </c>
      <c r="AQ56" s="4">
        <v>0</v>
      </c>
      <c r="AR56" s="4">
        <f>2000+3746</f>
        <v>5746</v>
      </c>
      <c r="AS56" s="4">
        <f>1000+4939</f>
        <v>5939</v>
      </c>
      <c r="AT56" s="4">
        <v>11921</v>
      </c>
      <c r="AU56" s="4">
        <f>1231+10713</f>
        <v>11944</v>
      </c>
      <c r="AV56" s="4">
        <f>2999+12601</f>
        <v>15600</v>
      </c>
      <c r="AW56" s="4">
        <f>2000+20645</f>
        <v>22645</v>
      </c>
      <c r="BC56" s="5"/>
      <c r="BD56" s="5"/>
      <c r="BE56" s="5"/>
      <c r="BF56" s="5"/>
    </row>
    <row r="57" spans="2:58" s="4" customFormat="1">
      <c r="B57" s="4" t="s">
        <v>45</v>
      </c>
      <c r="C57" s="5"/>
      <c r="D57" s="5"/>
      <c r="E57" s="5"/>
      <c r="F57" s="5"/>
      <c r="G57" s="5"/>
      <c r="H57" s="5"/>
      <c r="I57" s="5"/>
      <c r="J57" s="5"/>
      <c r="K57" s="5">
        <v>6894</v>
      </c>
      <c r="L57" s="5">
        <v>7782</v>
      </c>
      <c r="M57" s="5">
        <v>9067</v>
      </c>
      <c r="N57" s="5">
        <v>10661</v>
      </c>
      <c r="O57" s="4">
        <v>7405</v>
      </c>
      <c r="P57" s="4">
        <v>9030</v>
      </c>
      <c r="Q57" s="4">
        <v>10411</v>
      </c>
      <c r="R57" s="4">
        <v>11009</v>
      </c>
      <c r="AC57" s="4">
        <v>96</v>
      </c>
      <c r="AD57" s="4">
        <v>130</v>
      </c>
      <c r="AE57" s="4">
        <v>202</v>
      </c>
      <c r="AF57" s="4">
        <v>336</v>
      </c>
      <c r="AG57" s="4">
        <v>359</v>
      </c>
      <c r="AH57" s="4">
        <v>396</v>
      </c>
      <c r="AI57" s="4">
        <v>557</v>
      </c>
      <c r="AJ57" s="4">
        <v>742</v>
      </c>
      <c r="AK57" s="4">
        <v>1145</v>
      </c>
      <c r="AL57" s="4">
        <v>1416</v>
      </c>
      <c r="AM57" s="4">
        <v>1339</v>
      </c>
      <c r="AN57" s="4">
        <v>1662</v>
      </c>
      <c r="AO57" s="4">
        <v>1938</v>
      </c>
      <c r="AP57" s="4">
        <v>2325</v>
      </c>
      <c r="AQ57" s="4">
        <v>2934</v>
      </c>
      <c r="AR57" s="4">
        <v>3156</v>
      </c>
      <c r="AS57" s="4">
        <v>3283</v>
      </c>
      <c r="AT57" s="4">
        <v>3575</v>
      </c>
      <c r="AU57" s="4">
        <v>3875</v>
      </c>
      <c r="AV57" s="4">
        <v>4117</v>
      </c>
      <c r="AW57" s="4">
        <v>4797</v>
      </c>
      <c r="BC57" s="5"/>
      <c r="BD57" s="5"/>
      <c r="BE57" s="5"/>
      <c r="BF57" s="5"/>
    </row>
    <row r="58" spans="2:58" s="4" customFormat="1">
      <c r="B58" s="4" t="s">
        <v>30</v>
      </c>
      <c r="C58" s="5"/>
      <c r="D58" s="5"/>
      <c r="E58" s="5"/>
      <c r="F58" s="5"/>
      <c r="G58" s="5"/>
      <c r="H58" s="5"/>
      <c r="I58" s="5"/>
      <c r="J58" s="5"/>
      <c r="K58" s="5">
        <f>6272+25715+212</f>
        <v>32199</v>
      </c>
      <c r="L58" s="5">
        <f>3731+26121+199</f>
        <v>30051</v>
      </c>
      <c r="M58" s="5">
        <f>4646+26483+304</f>
        <v>31433</v>
      </c>
      <c r="N58" s="5">
        <f>4067+26069+230</f>
        <v>30366</v>
      </c>
      <c r="O58" s="4">
        <f>6729+23712</f>
        <v>30441</v>
      </c>
      <c r="P58" s="4">
        <f>3553+289+24169</f>
        <v>28011</v>
      </c>
      <c r="Q58" s="4">
        <f>4163+25000+302</f>
        <v>29465</v>
      </c>
      <c r="R58" s="4">
        <f>4152+25560+433</f>
        <v>30145</v>
      </c>
      <c r="AC58" s="4">
        <v>305</v>
      </c>
      <c r="AD58" s="4">
        <v>410</v>
      </c>
      <c r="AE58" s="4">
        <v>484</v>
      </c>
      <c r="AF58" s="4">
        <v>466</v>
      </c>
      <c r="AG58" s="4">
        <v>915</v>
      </c>
      <c r="AH58" s="4">
        <v>1607</v>
      </c>
      <c r="AI58" s="4">
        <v>585</v>
      </c>
      <c r="AJ58" s="4">
        <v>1468</v>
      </c>
      <c r="AK58" s="4">
        <v>2022</v>
      </c>
      <c r="AL58" s="4">
        <v>2044</v>
      </c>
      <c r="AM58" s="4">
        <v>3478</v>
      </c>
      <c r="AN58" s="4">
        <f>2020</f>
        <v>2020</v>
      </c>
      <c r="AO58" s="4">
        <v>1557</v>
      </c>
      <c r="AP58" s="4">
        <v>1040</v>
      </c>
      <c r="AQ58" s="4">
        <v>3248</v>
      </c>
      <c r="AR58" s="4">
        <f>725</f>
        <v>725</v>
      </c>
      <c r="AS58" s="4">
        <v>1074</v>
      </c>
      <c r="AT58" s="4">
        <v>580</v>
      </c>
      <c r="AU58" s="4">
        <v>789</v>
      </c>
      <c r="AV58" s="4">
        <v>592</v>
      </c>
      <c r="AW58" s="4">
        <f>782+2728</f>
        <v>3510</v>
      </c>
      <c r="BC58" s="5"/>
      <c r="BD58" s="5"/>
      <c r="BE58" s="5"/>
      <c r="BF58" s="5"/>
    </row>
    <row r="59" spans="2:58" s="4" customFormat="1">
      <c r="B59" s="4" t="s">
        <v>44</v>
      </c>
      <c r="C59" s="5"/>
      <c r="D59" s="5"/>
      <c r="E59" s="5"/>
      <c r="F59" s="5"/>
      <c r="G59" s="5"/>
      <c r="H59" s="5"/>
      <c r="I59" s="5"/>
      <c r="J59" s="5"/>
      <c r="K59" s="5">
        <f>2550+38465</f>
        <v>41015</v>
      </c>
      <c r="L59" s="5">
        <f>2768+34001</f>
        <v>36769</v>
      </c>
      <c r="M59" s="5">
        <f>34027+2769</f>
        <v>36796</v>
      </c>
      <c r="N59" s="5">
        <f>45538+2870</f>
        <v>48408</v>
      </c>
      <c r="O59" s="4">
        <f>41340+2549+223</f>
        <v>44112</v>
      </c>
      <c r="P59" s="4">
        <f>2644+36982</f>
        <v>39626</v>
      </c>
      <c r="Q59" s="4">
        <f>2698+36903</f>
        <v>39601</v>
      </c>
      <c r="R59" s="4">
        <f>2912+50901</f>
        <v>53813</v>
      </c>
      <c r="AC59" s="4">
        <v>0</v>
      </c>
      <c r="AD59" s="4">
        <v>0</v>
      </c>
      <c r="AE59" s="4">
        <v>560</v>
      </c>
      <c r="AF59" s="4">
        <v>1418</v>
      </c>
      <c r="AG59" s="4">
        <v>2888</v>
      </c>
      <c r="AH59" s="4">
        <v>4239</v>
      </c>
      <c r="AI59" s="4">
        <v>4816</v>
      </c>
      <c r="AJ59" s="4">
        <v>5614</v>
      </c>
      <c r="AK59" s="4">
        <f>5920+1823</f>
        <v>7743</v>
      </c>
      <c r="AL59" s="4">
        <f>7225+1790</f>
        <v>9015</v>
      </c>
      <c r="AM59" s="4">
        <f>6514+1663</f>
        <v>8177</v>
      </c>
      <c r="AN59" s="4">
        <f>7502+1665</f>
        <v>9167</v>
      </c>
      <c r="AO59" s="4">
        <f>9138+1764</f>
        <v>10902</v>
      </c>
      <c r="AP59" s="4">
        <f>10779+1867</f>
        <v>12646</v>
      </c>
      <c r="AQ59" s="4">
        <f>13397+1900</f>
        <v>15297</v>
      </c>
      <c r="AR59" s="4">
        <f>13003+1281</f>
        <v>14284</v>
      </c>
      <c r="AS59" s="4">
        <f>13652+1178</f>
        <v>14830</v>
      </c>
      <c r="AT59" s="4">
        <f>15722+1398</f>
        <v>17120</v>
      </c>
      <c r="AU59" s="4">
        <f>18653+1406</f>
        <v>20059</v>
      </c>
      <c r="AV59" s="4">
        <f>20639+1760</f>
        <v>22399</v>
      </c>
      <c r="AW59" s="4">
        <f>23150+2008</f>
        <v>25158</v>
      </c>
      <c r="BC59" s="5"/>
      <c r="BD59" s="5"/>
      <c r="BE59" s="5"/>
      <c r="BF59" s="5"/>
    </row>
    <row r="60" spans="2:58" s="4" customFormat="1">
      <c r="B60" s="4" t="s">
        <v>46</v>
      </c>
      <c r="C60" s="5"/>
      <c r="D60" s="5"/>
      <c r="E60" s="5"/>
      <c r="F60" s="5"/>
      <c r="G60" s="5"/>
      <c r="H60" s="5"/>
      <c r="I60" s="5"/>
      <c r="J60" s="5"/>
      <c r="K60" s="5">
        <v>10816</v>
      </c>
      <c r="L60" s="5">
        <v>11684</v>
      </c>
      <c r="M60" s="5">
        <v>11865</v>
      </c>
      <c r="N60" s="5">
        <v>13067</v>
      </c>
      <c r="O60" s="4">
        <v>12058</v>
      </c>
      <c r="P60" s="4">
        <v>12802</v>
      </c>
      <c r="Q60" s="4">
        <v>12664</v>
      </c>
      <c r="R60" s="4">
        <v>14745</v>
      </c>
      <c r="AC60" s="4">
        <v>188</v>
      </c>
      <c r="AD60" s="4">
        <v>244</v>
      </c>
      <c r="AE60" s="4">
        <v>371</v>
      </c>
      <c r="AF60" s="4">
        <v>669</v>
      </c>
      <c r="AG60" s="4">
        <v>809</v>
      </c>
      <c r="AH60" s="4">
        <v>1602</v>
      </c>
      <c r="AI60" s="4">
        <v>2714</v>
      </c>
      <c r="AJ60" s="4">
        <v>2120</v>
      </c>
      <c r="AK60" s="4">
        <v>2449</v>
      </c>
      <c r="AL60" s="4">
        <v>1716</v>
      </c>
      <c r="AM60" s="4">
        <v>1921</v>
      </c>
      <c r="AN60" s="4">
        <v>3607</v>
      </c>
      <c r="AO60" s="4">
        <v>3783</v>
      </c>
      <c r="AP60" s="4">
        <v>3622</v>
      </c>
      <c r="AQ60" s="4">
        <v>3659</v>
      </c>
      <c r="AR60" s="4">
        <v>3142</v>
      </c>
      <c r="AS60" s="4">
        <v>2931</v>
      </c>
      <c r="AT60" s="4">
        <f>3492</f>
        <v>3492</v>
      </c>
      <c r="AU60" s="4">
        <v>3151</v>
      </c>
      <c r="AV60" s="4">
        <v>3597</v>
      </c>
      <c r="AW60" s="4">
        <v>6906</v>
      </c>
      <c r="BC60" s="5"/>
      <c r="BD60" s="5"/>
      <c r="BE60" s="5"/>
      <c r="BF60" s="5"/>
    </row>
    <row r="61" spans="2:58" s="4" customFormat="1">
      <c r="B61" s="4" t="s">
        <v>39</v>
      </c>
      <c r="C61" s="5"/>
      <c r="D61" s="5"/>
      <c r="E61" s="5"/>
      <c r="F61" s="5"/>
      <c r="G61" s="5"/>
      <c r="H61" s="5"/>
      <c r="I61" s="5"/>
      <c r="J61" s="5"/>
      <c r="K61" s="5">
        <v>10050</v>
      </c>
      <c r="L61" s="5">
        <v>10774</v>
      </c>
      <c r="M61" s="5">
        <v>11357</v>
      </c>
      <c r="N61" s="5">
        <v>11489</v>
      </c>
      <c r="O61" s="4">
        <v>11660</v>
      </c>
      <c r="P61" s="4">
        <v>11998</v>
      </c>
      <c r="Q61" s="4">
        <v>12312</v>
      </c>
      <c r="R61" s="4">
        <v>12728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  <c r="AJ61" s="4">
        <v>0</v>
      </c>
      <c r="AK61" s="4">
        <v>0</v>
      </c>
      <c r="AL61" s="4">
        <v>0</v>
      </c>
      <c r="AM61" s="4">
        <v>0</v>
      </c>
      <c r="AN61" s="4">
        <v>0</v>
      </c>
      <c r="AO61" s="4">
        <v>0</v>
      </c>
      <c r="AP61" s="4">
        <v>0</v>
      </c>
      <c r="AQ61" s="4">
        <v>0</v>
      </c>
      <c r="AR61" s="4">
        <v>0</v>
      </c>
      <c r="AS61" s="4">
        <v>0</v>
      </c>
      <c r="AT61" s="4">
        <v>0</v>
      </c>
      <c r="AU61" s="4">
        <v>0</v>
      </c>
      <c r="AV61" s="4">
        <v>0</v>
      </c>
      <c r="AW61" s="4">
        <v>0</v>
      </c>
      <c r="BC61" s="5"/>
      <c r="BD61" s="5"/>
      <c r="BE61" s="5"/>
      <c r="BF61" s="5"/>
    </row>
    <row r="62" spans="2:58" s="4" customFormat="1">
      <c r="B62" s="4" t="s">
        <v>48</v>
      </c>
      <c r="C62" s="5"/>
      <c r="D62" s="5"/>
      <c r="E62" s="5"/>
      <c r="F62" s="5"/>
      <c r="G62" s="5"/>
      <c r="H62" s="5"/>
      <c r="I62" s="5"/>
      <c r="J62" s="5"/>
      <c r="K62" s="5">
        <v>14346</v>
      </c>
      <c r="L62" s="5">
        <v>14747</v>
      </c>
      <c r="M62" s="5">
        <v>15154</v>
      </c>
      <c r="N62" s="5">
        <v>15526</v>
      </c>
      <c r="O62" s="4">
        <v>15311</v>
      </c>
      <c r="P62" s="4">
        <v>16479</v>
      </c>
      <c r="Q62" s="4">
        <v>17437</v>
      </c>
      <c r="R62" s="4">
        <v>17981</v>
      </c>
      <c r="AC62" s="4">
        <v>0</v>
      </c>
      <c r="AD62" s="4">
        <f>125+405</f>
        <v>530</v>
      </c>
      <c r="AE62" s="4">
        <f>125+635</f>
        <v>760</v>
      </c>
      <c r="AF62" s="4">
        <v>0</v>
      </c>
      <c r="AG62" s="4">
        <v>0</v>
      </c>
      <c r="AH62" s="4">
        <v>0</v>
      </c>
      <c r="AI62" s="4">
        <v>1027</v>
      </c>
      <c r="AJ62" s="4">
        <f>836</f>
        <v>836</v>
      </c>
      <c r="AK62" s="4">
        <f>398+501</f>
        <v>899</v>
      </c>
      <c r="AL62" s="4">
        <f>1731+1056</f>
        <v>2787</v>
      </c>
      <c r="AM62" s="4">
        <v>932</v>
      </c>
      <c r="AN62" s="4">
        <v>4158</v>
      </c>
      <c r="AO62" s="4">
        <f>5287+3117</f>
        <v>8404</v>
      </c>
      <c r="AP62" s="4">
        <f>6453+2741</f>
        <v>9194</v>
      </c>
      <c r="AQ62" s="4">
        <f>4721+2614</f>
        <v>7335</v>
      </c>
      <c r="AR62" s="4">
        <f>1684+6269</f>
        <v>7953</v>
      </c>
      <c r="AS62" s="4">
        <f>7445+229+182</f>
        <v>7856</v>
      </c>
      <c r="AT62" s="4">
        <f>8072+1456+1208</f>
        <v>10736</v>
      </c>
      <c r="AU62" s="4">
        <f>8208+1893+814</f>
        <v>10915</v>
      </c>
      <c r="AV62" s="4">
        <f>10000+1709+645</f>
        <v>12354</v>
      </c>
      <c r="AW62" s="4">
        <f>11594+558</f>
        <v>12152</v>
      </c>
      <c r="BC62" s="5"/>
      <c r="BD62" s="5"/>
      <c r="BE62" s="5"/>
      <c r="BF62" s="5"/>
    </row>
    <row r="63" spans="2:58" s="4" customFormat="1">
      <c r="B63" s="4" t="s">
        <v>47</v>
      </c>
      <c r="C63" s="5"/>
      <c r="D63" s="5"/>
      <c r="E63" s="5"/>
      <c r="F63" s="5"/>
      <c r="G63" s="5"/>
      <c r="H63" s="5"/>
      <c r="I63" s="5"/>
      <c r="J63" s="5"/>
      <c r="K63" s="5">
        <v>151978</v>
      </c>
      <c r="L63" s="5">
        <v>160010</v>
      </c>
      <c r="M63" s="5">
        <v>162924</v>
      </c>
      <c r="N63" s="5">
        <v>166542</v>
      </c>
      <c r="O63" s="4">
        <v>173566</v>
      </c>
      <c r="P63" s="4">
        <v>183136</v>
      </c>
      <c r="Q63" s="4">
        <v>194683</v>
      </c>
      <c r="R63" s="4">
        <v>206223</v>
      </c>
      <c r="AC63" s="4">
        <v>4450</v>
      </c>
      <c r="AD63" s="4">
        <v>5333</v>
      </c>
      <c r="AE63" s="4">
        <v>6908</v>
      </c>
      <c r="AF63" s="4">
        <f>10777</f>
        <v>10777</v>
      </c>
      <c r="AG63" s="4">
        <v>16627</v>
      </c>
      <c r="AH63" s="4">
        <v>28438</v>
      </c>
      <c r="AI63" s="4">
        <v>41368</v>
      </c>
      <c r="AJ63" s="4">
        <v>47289</v>
      </c>
      <c r="AK63" s="4">
        <v>52180</v>
      </c>
      <c r="AL63" s="4">
        <v>61020</v>
      </c>
      <c r="AM63" s="4">
        <v>74825</v>
      </c>
      <c r="AN63" s="4">
        <v>48115</v>
      </c>
      <c r="AO63" s="4">
        <v>40104</v>
      </c>
      <c r="AP63" s="4">
        <v>31097</v>
      </c>
      <c r="AQ63" s="4">
        <v>36286</v>
      </c>
      <c r="AR63" s="4">
        <v>39558</v>
      </c>
      <c r="AS63" s="4">
        <v>46175</v>
      </c>
      <c r="AT63" s="4">
        <v>57083</v>
      </c>
      <c r="AU63" s="4">
        <v>66363</v>
      </c>
      <c r="AV63" s="4">
        <v>78944</v>
      </c>
      <c r="AW63" s="4">
        <v>89784</v>
      </c>
      <c r="BC63" s="5"/>
      <c r="BD63" s="5"/>
      <c r="BE63" s="5"/>
      <c r="BF63" s="5"/>
    </row>
    <row r="64" spans="2:58" s="6" customFormat="1">
      <c r="B64" s="6" t="s">
        <v>71</v>
      </c>
      <c r="C64" s="7"/>
      <c r="D64" s="7"/>
      <c r="E64" s="7"/>
      <c r="F64" s="7"/>
      <c r="G64" s="7"/>
      <c r="H64" s="7"/>
      <c r="I64" s="7"/>
      <c r="J64" s="7"/>
      <c r="K64" s="7">
        <f t="shared" ref="K64:L64" si="191">SUM(K55:K63)</f>
        <v>335418</v>
      </c>
      <c r="L64" s="7">
        <f t="shared" si="191"/>
        <v>340389</v>
      </c>
      <c r="M64" s="7">
        <f t="shared" ref="M64:R64" si="192">SUM(M55:M63)</f>
        <v>344607</v>
      </c>
      <c r="N64" s="7">
        <f t="shared" si="192"/>
        <v>364840</v>
      </c>
      <c r="O64" s="7">
        <f t="shared" si="192"/>
        <v>359784</v>
      </c>
      <c r="P64" s="7">
        <f t="shared" si="192"/>
        <v>364552</v>
      </c>
      <c r="Q64" s="7">
        <f t="shared" si="192"/>
        <v>380088</v>
      </c>
      <c r="R64" s="7">
        <f t="shared" si="192"/>
        <v>411976</v>
      </c>
      <c r="S64" s="7"/>
      <c r="T64" s="7"/>
      <c r="U64" s="7"/>
      <c r="V64" s="7"/>
      <c r="AC64" s="6">
        <f t="shared" ref="AC64:AW64" si="193">SUM(AC55:AC63)</f>
        <v>5363</v>
      </c>
      <c r="AD64" s="6">
        <f t="shared" si="193"/>
        <v>7210</v>
      </c>
      <c r="AE64" s="6">
        <f t="shared" si="193"/>
        <v>10093</v>
      </c>
      <c r="AF64" s="6">
        <f t="shared" si="193"/>
        <v>14387</v>
      </c>
      <c r="AG64" s="6">
        <f t="shared" si="193"/>
        <v>22357</v>
      </c>
      <c r="AH64" s="6">
        <f t="shared" si="193"/>
        <v>37156</v>
      </c>
      <c r="AI64" s="6">
        <f t="shared" si="193"/>
        <v>52150</v>
      </c>
      <c r="AJ64" s="6">
        <f t="shared" si="193"/>
        <v>59257</v>
      </c>
      <c r="AK64" s="6">
        <f t="shared" si="193"/>
        <v>67646</v>
      </c>
      <c r="AL64" s="6">
        <f t="shared" si="193"/>
        <v>79571</v>
      </c>
      <c r="AM64" s="6">
        <f t="shared" si="193"/>
        <v>92389</v>
      </c>
      <c r="AN64" s="6">
        <f t="shared" si="193"/>
        <v>70815</v>
      </c>
      <c r="AO64" s="6">
        <f t="shared" si="193"/>
        <v>69597</v>
      </c>
      <c r="AP64" s="6">
        <f t="shared" si="193"/>
        <v>63171</v>
      </c>
      <c r="AQ64" s="6">
        <f t="shared" si="193"/>
        <v>72793</v>
      </c>
      <c r="AR64" s="6">
        <f t="shared" si="193"/>
        <v>77888</v>
      </c>
      <c r="AS64" s="6">
        <f t="shared" si="193"/>
        <v>86113</v>
      </c>
      <c r="AT64" s="6">
        <f t="shared" si="193"/>
        <v>108704</v>
      </c>
      <c r="AU64" s="6">
        <f t="shared" si="193"/>
        <v>121271</v>
      </c>
      <c r="AV64" s="6">
        <f t="shared" si="193"/>
        <v>142431</v>
      </c>
      <c r="AW64" s="6">
        <f t="shared" si="193"/>
        <v>172384</v>
      </c>
      <c r="BC64" s="7"/>
      <c r="BD64" s="7"/>
      <c r="BE64" s="7"/>
      <c r="BF64" s="7"/>
    </row>
    <row r="66" spans="2:58" s="4" customFormat="1">
      <c r="B66" s="4" t="s">
        <v>49</v>
      </c>
      <c r="C66" s="5"/>
      <c r="D66" s="5"/>
      <c r="E66" s="5"/>
      <c r="F66" s="5"/>
      <c r="G66" s="5"/>
      <c r="H66" s="5"/>
      <c r="I66" s="5"/>
      <c r="J66" s="5"/>
      <c r="K66" s="5">
        <f t="shared" ref="K66" si="194">K31</f>
        <v>20505</v>
      </c>
      <c r="L66" s="5">
        <f t="shared" ref="L66:R66" si="195">L31</f>
        <v>18765</v>
      </c>
      <c r="M66" s="5">
        <f t="shared" si="195"/>
        <v>16728</v>
      </c>
      <c r="N66" s="5">
        <f t="shared" si="195"/>
        <v>16740</v>
      </c>
      <c r="O66" s="5">
        <f t="shared" si="195"/>
        <v>17556</v>
      </c>
      <c r="P66" s="5">
        <f t="shared" si="195"/>
        <v>16425</v>
      </c>
      <c r="Q66" s="5">
        <f t="shared" si="195"/>
        <v>18759</v>
      </c>
      <c r="R66" s="5">
        <f>R31</f>
        <v>20081</v>
      </c>
      <c r="S66" s="5"/>
      <c r="T66" s="5"/>
      <c r="U66" s="5"/>
      <c r="V66" s="5"/>
      <c r="BC66" s="5"/>
      <c r="BD66" s="5"/>
      <c r="BE66" s="5"/>
      <c r="BF66" s="5"/>
    </row>
    <row r="67" spans="2:58" s="4" customFormat="1">
      <c r="B67" s="4" t="s">
        <v>50</v>
      </c>
      <c r="C67" s="5"/>
      <c r="D67" s="5"/>
      <c r="E67" s="5"/>
      <c r="F67" s="5"/>
      <c r="G67" s="5"/>
      <c r="H67" s="5"/>
      <c r="I67" s="5"/>
      <c r="J67" s="5"/>
      <c r="K67" s="5">
        <v>20505</v>
      </c>
      <c r="L67" s="5">
        <v>18765</v>
      </c>
      <c r="M67" s="5">
        <v>16728</v>
      </c>
      <c r="N67" s="5">
        <v>16740</v>
      </c>
      <c r="O67" s="4">
        <v>17556</v>
      </c>
      <c r="P67" s="4">
        <v>16425</v>
      </c>
      <c r="R67" s="4">
        <v>20081</v>
      </c>
      <c r="BC67" s="5"/>
      <c r="BD67" s="5"/>
      <c r="BE67" s="5"/>
      <c r="BF67" s="5"/>
    </row>
    <row r="68" spans="2:58" s="4" customFormat="1">
      <c r="B68" s="4" t="s">
        <v>52</v>
      </c>
      <c r="C68" s="5"/>
      <c r="D68" s="5"/>
      <c r="E68" s="5"/>
      <c r="F68" s="5"/>
      <c r="G68" s="5"/>
      <c r="H68" s="5"/>
      <c r="I68" s="5"/>
      <c r="J68" s="5"/>
      <c r="K68" s="5">
        <v>3212</v>
      </c>
      <c r="L68" s="5">
        <v>3496</v>
      </c>
      <c r="M68" s="5">
        <v>3773</v>
      </c>
      <c r="N68" s="5">
        <v>3979</v>
      </c>
      <c r="O68" s="4">
        <v>2790</v>
      </c>
      <c r="P68" s="4">
        <v>3648</v>
      </c>
      <c r="R68" s="4">
        <v>3874</v>
      </c>
      <c r="BC68" s="5"/>
      <c r="BD68" s="5"/>
      <c r="BE68" s="5"/>
      <c r="BF68" s="5"/>
    </row>
    <row r="69" spans="2:58" s="4" customFormat="1">
      <c r="B69" s="4" t="s">
        <v>53</v>
      </c>
      <c r="C69" s="5"/>
      <c r="D69" s="5"/>
      <c r="E69" s="5"/>
      <c r="F69" s="5"/>
      <c r="G69" s="5"/>
      <c r="H69" s="5"/>
      <c r="I69" s="5"/>
      <c r="J69" s="5"/>
      <c r="K69" s="5">
        <v>1702</v>
      </c>
      <c r="L69" s="5">
        <v>1897</v>
      </c>
      <c r="M69" s="5">
        <v>1906</v>
      </c>
      <c r="N69" s="5">
        <v>1997</v>
      </c>
      <c r="O69" s="4">
        <v>2192</v>
      </c>
      <c r="P69" s="4">
        <v>2538</v>
      </c>
      <c r="R69" s="4">
        <v>2416</v>
      </c>
      <c r="BC69" s="5"/>
      <c r="BD69" s="5"/>
      <c r="BE69" s="5"/>
      <c r="BF69" s="5"/>
    </row>
    <row r="70" spans="2:58" s="4" customFormat="1">
      <c r="B70" s="4" t="s">
        <v>54</v>
      </c>
      <c r="C70" s="5"/>
      <c r="D70" s="5"/>
      <c r="E70" s="5"/>
      <c r="F70" s="5"/>
      <c r="G70" s="5"/>
      <c r="H70" s="5"/>
      <c r="I70" s="5"/>
      <c r="J70" s="5"/>
      <c r="K70" s="5">
        <v>-364</v>
      </c>
      <c r="L70" s="5">
        <v>-307</v>
      </c>
      <c r="M70" s="5">
        <v>105</v>
      </c>
      <c r="N70" s="5">
        <v>157</v>
      </c>
      <c r="O70" s="4">
        <v>-22</v>
      </c>
      <c r="P70" s="4">
        <v>214</v>
      </c>
      <c r="R70" s="4">
        <v>44</v>
      </c>
      <c r="BC70" s="5"/>
      <c r="BD70" s="5"/>
      <c r="BE70" s="5"/>
      <c r="BF70" s="5"/>
    </row>
    <row r="71" spans="2:58" s="4" customFormat="1">
      <c r="B71" s="4" t="s">
        <v>55</v>
      </c>
      <c r="C71" s="5"/>
      <c r="D71" s="5"/>
      <c r="E71" s="5"/>
      <c r="F71" s="5"/>
      <c r="G71" s="5"/>
      <c r="H71" s="5"/>
      <c r="I71" s="5"/>
      <c r="J71" s="5"/>
      <c r="K71" s="5">
        <v>-5970</v>
      </c>
      <c r="L71" s="5">
        <v>183</v>
      </c>
      <c r="M71" s="5">
        <v>-198</v>
      </c>
      <c r="N71" s="5">
        <v>283</v>
      </c>
      <c r="O71" s="4">
        <v>-1191</v>
      </c>
      <c r="P71" s="4">
        <v>-1305</v>
      </c>
      <c r="R71" s="4">
        <v>-1888</v>
      </c>
      <c r="BC71" s="5"/>
      <c r="BD71" s="5"/>
      <c r="BE71" s="5"/>
      <c r="BF71" s="5"/>
    </row>
    <row r="72" spans="2:58" s="4" customFormat="1">
      <c r="B72" s="4" t="s">
        <v>56</v>
      </c>
      <c r="C72" s="5"/>
      <c r="D72" s="5"/>
      <c r="E72" s="5"/>
      <c r="F72" s="5"/>
      <c r="G72" s="5"/>
      <c r="H72" s="5"/>
      <c r="I72" s="5"/>
      <c r="J72" s="5"/>
      <c r="K72" s="5">
        <f>10486-777+940-598-471-2885+2653-4143+250</f>
        <v>5455</v>
      </c>
      <c r="L72" s="5">
        <f>-5543+394+830-908+235-4343-2057+1745+93</f>
        <v>-9554</v>
      </c>
      <c r="M72" s="5">
        <f>857-279+91-724+520-209+1091+1287+438</f>
        <v>3072</v>
      </c>
      <c r="N72" s="5">
        <f>-12634-461-2570-575+2659+12546-991+3455+44</f>
        <v>1473</v>
      </c>
      <c r="O72" s="4">
        <f>11729-543-332-666-1567-3322+410-4024+188</f>
        <v>1873</v>
      </c>
      <c r="P72" s="4">
        <f>-3164+1305-392-65-2058-5186-2863+1819+257</f>
        <v>-10347</v>
      </c>
      <c r="R72" s="4">
        <f>-11244+374-2419-1548+1311+14224+681+2762+102</f>
        <v>4243</v>
      </c>
      <c r="BC72" s="5"/>
      <c r="BD72" s="5"/>
      <c r="BE72" s="5"/>
      <c r="BF72" s="5"/>
    </row>
    <row r="73" spans="2:58" s="4" customFormat="1">
      <c r="B73" s="4" t="s">
        <v>51</v>
      </c>
      <c r="C73" s="5"/>
      <c r="D73" s="5"/>
      <c r="E73" s="5"/>
      <c r="F73" s="5"/>
      <c r="G73" s="5"/>
      <c r="H73" s="5"/>
      <c r="I73" s="5"/>
      <c r="J73" s="5"/>
      <c r="K73" s="5">
        <f t="shared" ref="K73" si="196">SUM(K67:K72)</f>
        <v>24540</v>
      </c>
      <c r="L73" s="5">
        <f t="shared" ref="L73" si="197">SUM(L67:L72)</f>
        <v>14480</v>
      </c>
      <c r="M73" s="5">
        <f t="shared" ref="M73:R73" si="198">SUM(M67:M72)</f>
        <v>25386</v>
      </c>
      <c r="N73" s="5">
        <f t="shared" si="198"/>
        <v>24629</v>
      </c>
      <c r="O73" s="5">
        <f t="shared" si="198"/>
        <v>23198</v>
      </c>
      <c r="P73" s="5">
        <f t="shared" si="198"/>
        <v>11173</v>
      </c>
      <c r="Q73" s="5">
        <f t="shared" si="198"/>
        <v>0</v>
      </c>
      <c r="R73" s="5">
        <f>SUM(R67:R72)</f>
        <v>28770</v>
      </c>
      <c r="S73" s="5"/>
      <c r="T73" s="5"/>
      <c r="U73" s="5"/>
      <c r="V73" s="5"/>
      <c r="BC73" s="5"/>
      <c r="BD73" s="5"/>
      <c r="BE73" s="5"/>
      <c r="BF73" s="5"/>
    </row>
    <row r="74" spans="2:58" s="4" customFormat="1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BC74" s="5"/>
      <c r="BD74" s="5"/>
      <c r="BE74" s="5"/>
      <c r="BF74" s="5"/>
    </row>
    <row r="75" spans="2:58" s="4" customFormat="1">
      <c r="B75" s="4" t="s">
        <v>58</v>
      </c>
      <c r="C75" s="5"/>
      <c r="D75" s="5"/>
      <c r="E75" s="5"/>
      <c r="F75" s="5"/>
      <c r="G75" s="5"/>
      <c r="H75" s="5"/>
      <c r="I75" s="5"/>
      <c r="J75" s="5"/>
      <c r="K75" s="5">
        <v>-5810</v>
      </c>
      <c r="L75" s="5">
        <v>-5865</v>
      </c>
      <c r="M75" s="5">
        <v>-5340</v>
      </c>
      <c r="N75" s="5">
        <v>-6871</v>
      </c>
      <c r="O75" s="4">
        <v>-6283</v>
      </c>
      <c r="P75" s="4">
        <v>-6274</v>
      </c>
      <c r="R75" s="4">
        <v>-8943</v>
      </c>
      <c r="BC75" s="5"/>
      <c r="BD75" s="5"/>
      <c r="BE75" s="5"/>
      <c r="BF75" s="5"/>
    </row>
    <row r="76" spans="2:58" s="4" customFormat="1">
      <c r="B76" s="4" t="s">
        <v>59</v>
      </c>
      <c r="C76" s="5"/>
      <c r="D76" s="5"/>
      <c r="E76" s="5"/>
      <c r="F76" s="5"/>
      <c r="G76" s="5"/>
      <c r="H76" s="5"/>
      <c r="I76" s="5"/>
      <c r="J76" s="5"/>
      <c r="K76" s="5">
        <v>-1206</v>
      </c>
      <c r="L76" s="5">
        <v>-850</v>
      </c>
      <c r="M76" s="5">
        <v>-18719</v>
      </c>
      <c r="N76" s="5">
        <v>-1263</v>
      </c>
      <c r="O76" s="4">
        <v>-349</v>
      </c>
      <c r="P76" s="4">
        <v>-679</v>
      </c>
      <c r="R76" s="4">
        <v>-341</v>
      </c>
      <c r="BC76" s="5"/>
      <c r="BD76" s="5"/>
      <c r="BE76" s="5"/>
      <c r="BF76" s="5"/>
    </row>
    <row r="77" spans="2:58" s="4" customFormat="1">
      <c r="B77" s="4" t="s">
        <v>60</v>
      </c>
      <c r="C77" s="5"/>
      <c r="D77" s="5"/>
      <c r="E77" s="5"/>
      <c r="F77" s="5"/>
      <c r="G77" s="5"/>
      <c r="H77" s="5"/>
      <c r="I77" s="5"/>
      <c r="J77" s="5"/>
      <c r="K77" s="5">
        <f>-10309+8862+5630</f>
        <v>4183</v>
      </c>
      <c r="L77" s="5">
        <f>-2505+5253+2895</f>
        <v>5643</v>
      </c>
      <c r="M77" s="5">
        <f>-8723+1099+16693</f>
        <v>9069</v>
      </c>
      <c r="N77" s="5">
        <f>-4919+1237+3225</f>
        <v>-457</v>
      </c>
      <c r="O77" s="4">
        <f>-5013+6662+2711</f>
        <v>4360</v>
      </c>
      <c r="P77" s="4">
        <f>-11599+6928+4775</f>
        <v>104</v>
      </c>
      <c r="R77" s="4">
        <f>-11976+6766+5629</f>
        <v>419</v>
      </c>
      <c r="BC77" s="5"/>
      <c r="BD77" s="5"/>
      <c r="BE77" s="5"/>
      <c r="BF77" s="5"/>
    </row>
    <row r="78" spans="2:58" s="4" customFormat="1">
      <c r="B78" s="4" t="s">
        <v>28</v>
      </c>
      <c r="C78" s="5"/>
      <c r="D78" s="5"/>
      <c r="E78" s="5"/>
      <c r="F78" s="5"/>
      <c r="G78" s="5"/>
      <c r="H78" s="5"/>
      <c r="I78" s="5"/>
      <c r="J78" s="5"/>
      <c r="K78" s="5">
        <v>-417</v>
      </c>
      <c r="L78" s="5">
        <v>-89</v>
      </c>
      <c r="M78" s="5">
        <v>-1181</v>
      </c>
      <c r="N78" s="5">
        <v>-1138</v>
      </c>
      <c r="O78" s="4">
        <v>-860</v>
      </c>
      <c r="P78" s="4">
        <v>-301</v>
      </c>
      <c r="R78" s="4">
        <v>-269</v>
      </c>
      <c r="BC78" s="5"/>
      <c r="BD78" s="5"/>
      <c r="BE78" s="5"/>
      <c r="BF78" s="5"/>
    </row>
    <row r="79" spans="2:58" s="4" customFormat="1">
      <c r="B79" s="4" t="s">
        <v>57</v>
      </c>
      <c r="C79" s="5"/>
      <c r="D79" s="5"/>
      <c r="E79" s="5"/>
      <c r="F79" s="5"/>
      <c r="G79" s="5"/>
      <c r="H79" s="5"/>
      <c r="I79" s="5"/>
      <c r="J79" s="5"/>
      <c r="K79" s="5">
        <f t="shared" ref="K79:L79" si="199">SUM(K75:K78)</f>
        <v>-3250</v>
      </c>
      <c r="L79" s="5">
        <f t="shared" si="199"/>
        <v>-1161</v>
      </c>
      <c r="M79" s="5">
        <f>SUM(M75:M78)</f>
        <v>-16171</v>
      </c>
      <c r="N79" s="5">
        <f>SUM(N75:N78)</f>
        <v>-9729</v>
      </c>
      <c r="O79" s="5">
        <f>SUM(O75:O78)</f>
        <v>-3132</v>
      </c>
      <c r="P79" s="5">
        <f>SUM(P75:P78)</f>
        <v>-7150</v>
      </c>
      <c r="Q79" s="5">
        <f>SUM(Q75:Q78)</f>
        <v>0</v>
      </c>
      <c r="R79" s="5">
        <f>SUM(R75:R78)</f>
        <v>-9134</v>
      </c>
      <c r="BC79" s="5"/>
      <c r="BD79" s="5"/>
      <c r="BE79" s="5"/>
      <c r="BF79" s="5"/>
    </row>
    <row r="81" spans="2:58" s="4" customFormat="1">
      <c r="B81" s="4" t="s">
        <v>61</v>
      </c>
      <c r="C81" s="5"/>
      <c r="D81" s="5"/>
      <c r="E81" s="5"/>
      <c r="F81" s="5"/>
      <c r="G81" s="5"/>
      <c r="H81" s="5"/>
      <c r="I81" s="5"/>
      <c r="J81" s="5"/>
      <c r="K81" s="5">
        <v>0</v>
      </c>
      <c r="L81" s="5">
        <v>0</v>
      </c>
      <c r="M81" s="5">
        <v>0</v>
      </c>
      <c r="N81" s="5">
        <v>0</v>
      </c>
      <c r="O81" s="4">
        <v>0</v>
      </c>
      <c r="P81" s="4">
        <v>0</v>
      </c>
      <c r="R81" s="4">
        <v>0</v>
      </c>
      <c r="BC81" s="5"/>
      <c r="BD81" s="5"/>
      <c r="BE81" s="5"/>
      <c r="BF81" s="5"/>
    </row>
    <row r="82" spans="2:58" s="4" customFormat="1">
      <c r="B82" s="4" t="s">
        <v>62</v>
      </c>
      <c r="C82" s="5"/>
      <c r="D82" s="5"/>
      <c r="E82" s="5"/>
      <c r="F82" s="5"/>
      <c r="G82" s="5"/>
      <c r="H82" s="5"/>
      <c r="I82" s="5"/>
      <c r="J82" s="5"/>
      <c r="K82" s="5">
        <v>-4826</v>
      </c>
      <c r="L82" s="5">
        <v>0</v>
      </c>
      <c r="M82" s="5">
        <v>-4197</v>
      </c>
      <c r="N82" s="5">
        <v>0</v>
      </c>
      <c r="O82" s="4">
        <v>-1000</v>
      </c>
      <c r="P82" s="4">
        <v>-750</v>
      </c>
      <c r="R82" s="4">
        <f>-1000+512</f>
        <v>-488</v>
      </c>
      <c r="BC82" s="5"/>
      <c r="BD82" s="5"/>
      <c r="BE82" s="5"/>
      <c r="BF82" s="5"/>
    </row>
    <row r="83" spans="2:58" s="4" customFormat="1">
      <c r="B83" s="4" t="s">
        <v>63</v>
      </c>
      <c r="C83" s="5"/>
      <c r="D83" s="5"/>
      <c r="E83" s="5"/>
      <c r="F83" s="5"/>
      <c r="G83" s="5"/>
      <c r="H83" s="5"/>
      <c r="I83" s="5"/>
      <c r="J83" s="5"/>
      <c r="K83" s="5">
        <f>612-7684</f>
        <v>-7072</v>
      </c>
      <c r="L83" s="5">
        <f>291-7433</f>
        <v>-7142</v>
      </c>
      <c r="M83" s="5">
        <f>477-8822</f>
        <v>-8345</v>
      </c>
      <c r="N83" s="5">
        <f>-8757+461</f>
        <v>-8296</v>
      </c>
      <c r="O83" s="4">
        <f>575-5573</f>
        <v>-4998</v>
      </c>
      <c r="P83" s="4">
        <f>243-5459</f>
        <v>-5216</v>
      </c>
      <c r="R83" s="4">
        <v>-5704</v>
      </c>
      <c r="BC83" s="5"/>
      <c r="BD83" s="5"/>
      <c r="BE83" s="5"/>
      <c r="BF83" s="5"/>
    </row>
    <row r="84" spans="2:58" s="4" customFormat="1">
      <c r="B84" s="4" t="s">
        <v>64</v>
      </c>
      <c r="C84" s="5"/>
      <c r="D84" s="5"/>
      <c r="E84" s="5"/>
      <c r="F84" s="5"/>
      <c r="G84" s="5"/>
      <c r="H84" s="5"/>
      <c r="I84" s="5"/>
      <c r="J84" s="5"/>
      <c r="K84" s="5">
        <v>-4206</v>
      </c>
      <c r="L84" s="5">
        <v>-4652</v>
      </c>
      <c r="M84" s="5">
        <v>-4645</v>
      </c>
      <c r="N84" s="5">
        <v>-4632</v>
      </c>
      <c r="O84" s="4">
        <v>-4621</v>
      </c>
      <c r="P84" s="4">
        <v>-5066</v>
      </c>
      <c r="R84" s="4">
        <v>-5054</v>
      </c>
      <c r="BC84" s="5"/>
      <c r="BD84" s="5"/>
      <c r="BE84" s="5"/>
      <c r="BF84" s="5"/>
    </row>
    <row r="85" spans="2:58" s="4" customFormat="1">
      <c r="B85" s="4" t="s">
        <v>28</v>
      </c>
      <c r="C85" s="5"/>
      <c r="D85" s="5"/>
      <c r="E85" s="5"/>
      <c r="F85" s="5"/>
      <c r="G85" s="5"/>
      <c r="H85" s="5"/>
      <c r="I85" s="5"/>
      <c r="J85" s="5"/>
      <c r="K85" s="5">
        <v>-172</v>
      </c>
      <c r="L85" s="5">
        <v>-192</v>
      </c>
      <c r="M85" s="5">
        <v>-158</v>
      </c>
      <c r="N85" s="5">
        <v>-341</v>
      </c>
      <c r="O85" s="4">
        <v>-264</v>
      </c>
      <c r="P85" s="4">
        <v>-317</v>
      </c>
      <c r="R85" s="4">
        <v>-167</v>
      </c>
      <c r="BC85" s="5"/>
      <c r="BD85" s="5"/>
      <c r="BE85" s="5"/>
      <c r="BF85" s="5"/>
    </row>
    <row r="86" spans="2:58" s="4" customFormat="1">
      <c r="B86" s="4" t="s">
        <v>65</v>
      </c>
      <c r="C86" s="5"/>
      <c r="D86" s="5"/>
      <c r="E86" s="5"/>
      <c r="F86" s="5"/>
      <c r="G86" s="5"/>
      <c r="H86" s="5"/>
      <c r="I86" s="5"/>
      <c r="J86" s="5"/>
      <c r="K86" s="5">
        <f t="shared" ref="K86" si="200">SUM(K81:K85)</f>
        <v>-16276</v>
      </c>
      <c r="L86" s="5">
        <f>SUM(L81:L85)</f>
        <v>-11986</v>
      </c>
      <c r="M86" s="5">
        <f>SUM(M81:M85)</f>
        <v>-17345</v>
      </c>
      <c r="N86" s="5">
        <f>SUM(N81:N85)</f>
        <v>-13269</v>
      </c>
      <c r="O86" s="5">
        <f>SUM(O81:O85)</f>
        <v>-10883</v>
      </c>
      <c r="P86" s="5">
        <f>SUM(P81:P85)</f>
        <v>-11349</v>
      </c>
      <c r="Q86" s="5">
        <f t="shared" ref="Q86:S86" si="201">SUM(Q81:Q85)</f>
        <v>0</v>
      </c>
      <c r="R86" s="5">
        <f t="shared" si="201"/>
        <v>-11413</v>
      </c>
      <c r="S86" s="5"/>
      <c r="BC86" s="5"/>
      <c r="BD86" s="5"/>
      <c r="BE86" s="5"/>
      <c r="BF86" s="5"/>
    </row>
    <row r="87" spans="2:58">
      <c r="B87" s="4" t="s">
        <v>66</v>
      </c>
      <c r="K87" s="2">
        <v>-73</v>
      </c>
      <c r="L87" s="2">
        <v>106</v>
      </c>
      <c r="M87" s="2">
        <v>24</v>
      </c>
      <c r="N87" s="2">
        <v>-198</v>
      </c>
      <c r="O87" s="4">
        <v>-230</v>
      </c>
      <c r="P87" s="4">
        <v>88</v>
      </c>
      <c r="R87" s="4">
        <v>-81</v>
      </c>
    </row>
    <row r="88" spans="2:58">
      <c r="B88" s="4" t="s">
        <v>67</v>
      </c>
      <c r="K88" s="5">
        <f t="shared" ref="K88" si="202">K86+K87+K79+K73</f>
        <v>4941</v>
      </c>
      <c r="L88" s="5">
        <f>L86+L87+L79+L73</f>
        <v>1439</v>
      </c>
      <c r="M88" s="5">
        <f>M86+M87+M79+M73</f>
        <v>-8106</v>
      </c>
      <c r="N88" s="5">
        <f>N86+N87+N79+N73</f>
        <v>1433</v>
      </c>
      <c r="O88" s="5">
        <f>O86+O87+O79+O73</f>
        <v>8953</v>
      </c>
      <c r="P88" s="5">
        <f>P86+P87+P79+P73</f>
        <v>-7238</v>
      </c>
      <c r="Q88" s="5">
        <f t="shared" ref="Q88:R88" si="203">Q86+Q87+Q79+Q73</f>
        <v>0</v>
      </c>
      <c r="R88" s="5">
        <f t="shared" si="203"/>
        <v>8142</v>
      </c>
    </row>
    <row r="90" spans="2:58">
      <c r="B90" s="4" t="s">
        <v>72</v>
      </c>
      <c r="K90" s="5">
        <f t="shared" ref="K90" si="204">K73+K75</f>
        <v>18730</v>
      </c>
      <c r="L90" s="5">
        <f>L73+L75</f>
        <v>8615</v>
      </c>
      <c r="M90" s="5">
        <f t="shared" ref="M90:N90" si="205">M73+M75</f>
        <v>20046</v>
      </c>
      <c r="N90" s="5">
        <f t="shared" si="205"/>
        <v>17758</v>
      </c>
      <c r="O90" s="5">
        <f>O73+O75</f>
        <v>16915</v>
      </c>
      <c r="P90" s="5">
        <f>P73+P75</f>
        <v>4899</v>
      </c>
      <c r="Q90" s="5">
        <f t="shared" ref="Q90:R90" si="206">Q73+Q75</f>
        <v>0</v>
      </c>
      <c r="R90" s="5">
        <f t="shared" si="206"/>
        <v>19827</v>
      </c>
    </row>
    <row r="91" spans="2:58">
      <c r="B91" s="4" t="s">
        <v>103</v>
      </c>
      <c r="L91" s="5"/>
      <c r="N91" s="4">
        <f>SUM(K90:N90)</f>
        <v>65149</v>
      </c>
      <c r="O91" s="4">
        <f>SUM(L90:O90)</f>
        <v>63334</v>
      </c>
      <c r="P91" s="4">
        <f>SUM(M90:P90)</f>
        <v>59618</v>
      </c>
      <c r="Q91" s="4">
        <f t="shared" ref="Q91:R91" si="207">SUM(N90:Q90)</f>
        <v>39572</v>
      </c>
      <c r="R91" s="4">
        <f t="shared" si="207"/>
        <v>41641</v>
      </c>
    </row>
    <row r="94" spans="2:58">
      <c r="B94" t="s">
        <v>190</v>
      </c>
      <c r="Y94" s="4">
        <v>5635</v>
      </c>
      <c r="Z94" s="4">
        <v>8226</v>
      </c>
      <c r="AA94" s="4">
        <v>11542</v>
      </c>
      <c r="AB94" s="4">
        <v>14430</v>
      </c>
      <c r="AC94" s="4">
        <v>15257</v>
      </c>
      <c r="AD94" s="4">
        <v>17801</v>
      </c>
      <c r="AE94" s="4">
        <v>20561</v>
      </c>
      <c r="AF94" s="4">
        <v>22232</v>
      </c>
      <c r="AG94" s="4">
        <v>27055</v>
      </c>
      <c r="AH94" s="4">
        <v>31396</v>
      </c>
      <c r="AI94" s="4">
        <v>39100</v>
      </c>
      <c r="AJ94" s="4">
        <v>47600</v>
      </c>
      <c r="AK94" s="4">
        <v>50500</v>
      </c>
      <c r="AL94" s="4">
        <v>55000</v>
      </c>
      <c r="AM94" s="4">
        <v>57000</v>
      </c>
      <c r="AN94" s="4">
        <v>61000</v>
      </c>
      <c r="AO94" s="4">
        <v>71000</v>
      </c>
      <c r="AP94" s="4">
        <v>79000</v>
      </c>
      <c r="AQ94" s="4">
        <v>91000</v>
      </c>
      <c r="AR94" s="4">
        <v>93000</v>
      </c>
      <c r="AS94" s="4">
        <v>89000</v>
      </c>
      <c r="AT94" s="4">
        <v>90000</v>
      </c>
      <c r="AU94" s="4">
        <v>94000</v>
      </c>
      <c r="AV94" s="4">
        <v>99000</v>
      </c>
      <c r="AW94" s="4">
        <v>128000</v>
      </c>
      <c r="AX94" s="4">
        <v>118000</v>
      </c>
      <c r="AY94" s="4">
        <v>114000</v>
      </c>
    </row>
    <row r="96" spans="2:58">
      <c r="B96" t="s">
        <v>0</v>
      </c>
      <c r="AC96" s="1">
        <f>19715/580</f>
        <v>33.991379310344826</v>
      </c>
      <c r="AD96" s="1">
        <f>34330/589</f>
        <v>58.28522920203735</v>
      </c>
      <c r="AE96" s="1">
        <f>45936/596</f>
        <v>77.073825503355707</v>
      </c>
      <c r="AF96" s="1">
        <f>106179/1212.567</f>
        <v>87.565470609046756</v>
      </c>
      <c r="AG96" s="1">
        <f>171181/2484.635</f>
        <v>68.895833794501002</v>
      </c>
      <c r="AH96" s="1">
        <f>375039/5141</f>
        <v>72.950593269791867</v>
      </c>
      <c r="AI96" s="1">
        <f>302326/5355</f>
        <v>56.456769374416432</v>
      </c>
      <c r="AJ96" s="1">
        <f>258033/5401</f>
        <v>47.775041658952048</v>
      </c>
      <c r="AK96" s="1">
        <f>215553/5378</f>
        <v>40.080513201933805</v>
      </c>
      <c r="AL96" s="11">
        <f>235404/10813</f>
        <v>21.770461481549987</v>
      </c>
      <c r="AM96" s="11">
        <f>252132/10872</f>
        <v>23.190949227373068</v>
      </c>
      <c r="AN96" s="11">
        <f>256094/10712</f>
        <v>23.907206870799104</v>
      </c>
      <c r="AO96" s="11">
        <f>233926/9969</f>
        <v>23.46534256194202</v>
      </c>
      <c r="AP96" s="11">
        <f>251464/9375</f>
        <v>26.822826666666668</v>
      </c>
      <c r="AQ96" s="1">
        <f>287616/9130</f>
        <v>31.502300109529024</v>
      </c>
      <c r="AR96" s="11">
        <f>149769/8910</f>
        <v>16.809090909090909</v>
      </c>
      <c r="AS96" s="1">
        <f>235244/8653</f>
        <v>27.186409337801919</v>
      </c>
      <c r="AT96" s="1">
        <f>208370/8378</f>
        <v>24.87109095249463</v>
      </c>
      <c r="AU96" s="1">
        <f>195333/8383</f>
        <v>23.301085530239771</v>
      </c>
      <c r="AV96" s="1">
        <f>202945/8329</f>
        <v>24.366070356585425</v>
      </c>
      <c r="AW96" s="1">
        <f>284539/8239</f>
        <v>34.535623255249426</v>
      </c>
      <c r="AX96" s="1">
        <f>365312/7997</f>
        <v>45.681130423908968</v>
      </c>
      <c r="AY96" s="1">
        <f>424500/7792</f>
        <v>54.478952772073924</v>
      </c>
    </row>
    <row r="97" spans="2:51">
      <c r="B97" t="s">
        <v>2</v>
      </c>
      <c r="AC97" s="4">
        <f t="shared" ref="AC97:AY97" si="208">AC96*AC33</f>
        <v>20734.741379310344</v>
      </c>
      <c r="AD97" s="4">
        <f t="shared" si="208"/>
        <v>36544.838709677417</v>
      </c>
      <c r="AE97" s="4">
        <f t="shared" si="208"/>
        <v>49327.24832214765</v>
      </c>
      <c r="AF97" s="4">
        <f t="shared" si="208"/>
        <v>114885.89743906935</v>
      </c>
      <c r="AG97" s="4">
        <f t="shared" si="208"/>
        <v>184709.73040305718</v>
      </c>
      <c r="AH97" s="4">
        <f t="shared" si="208"/>
        <v>372704.58101536665</v>
      </c>
      <c r="AI97" s="4">
        <f t="shared" si="208"/>
        <v>298261.112605042</v>
      </c>
      <c r="AJ97" s="4">
        <f t="shared" si="208"/>
        <v>266298.08220699872</v>
      </c>
      <c r="AK97" s="4">
        <f t="shared" si="208"/>
        <v>222567.08981033842</v>
      </c>
      <c r="AL97" s="4">
        <f t="shared" si="208"/>
        <v>236906.16184222695</v>
      </c>
      <c r="AM97" s="4">
        <f t="shared" si="208"/>
        <v>252642.2008830022</v>
      </c>
      <c r="AN97" s="4">
        <f t="shared" si="208"/>
        <v>260731.99813293503</v>
      </c>
      <c r="AO97" s="4">
        <f t="shared" si="208"/>
        <v>247113.52251981141</v>
      </c>
      <c r="AP97" s="4">
        <f t="shared" si="208"/>
        <v>265170.46442666667</v>
      </c>
      <c r="AQ97" s="4">
        <f t="shared" si="208"/>
        <v>298326.78203723987</v>
      </c>
      <c r="AR97" s="4">
        <f t="shared" si="208"/>
        <v>151214.58181818182</v>
      </c>
      <c r="AS97" s="4">
        <f t="shared" si="208"/>
        <v>242693.07615855773</v>
      </c>
      <c r="AT97" s="4">
        <f t="shared" si="208"/>
        <v>213717.28455478634</v>
      </c>
      <c r="AU97" s="4">
        <f t="shared" si="208"/>
        <v>198199.0335202195</v>
      </c>
      <c r="AV97" s="4">
        <f t="shared" si="208"/>
        <v>206380.61592027853</v>
      </c>
      <c r="AW97" s="4">
        <f t="shared" si="208"/>
        <v>290064.69972083991</v>
      </c>
      <c r="AX97" s="4">
        <f t="shared" si="208"/>
        <v>377052.05051894463</v>
      </c>
      <c r="AY97" s="4">
        <f t="shared" si="208"/>
        <v>436539.84856262838</v>
      </c>
    </row>
    <row r="98" spans="2:51">
      <c r="B98" t="s">
        <v>5</v>
      </c>
      <c r="AC98" s="4">
        <f t="shared" ref="AC98:AY98" si="209">AC97-AC44</f>
        <v>17120.741379310344</v>
      </c>
      <c r="AD98" s="4">
        <f t="shared" si="209"/>
        <v>31794.838709677417</v>
      </c>
      <c r="AE98" s="4">
        <f t="shared" si="209"/>
        <v>42387.24832214765</v>
      </c>
      <c r="AF98" s="4">
        <f t="shared" si="209"/>
        <v>103573.89743906935</v>
      </c>
      <c r="AG98" s="4">
        <f t="shared" si="209"/>
        <v>166079.73040305718</v>
      </c>
      <c r="AH98" s="4">
        <f t="shared" si="209"/>
        <v>341096.58101536665</v>
      </c>
      <c r="AI98" s="4">
        <f t="shared" si="209"/>
        <v>256737.112605042</v>
      </c>
      <c r="AJ98" s="4">
        <f t="shared" si="209"/>
        <v>220557.08220699872</v>
      </c>
      <c r="AK98" s="4">
        <f t="shared" si="209"/>
        <v>169724.08981033842</v>
      </c>
      <c r="AL98" s="4">
        <f t="shared" si="209"/>
        <v>174166.16184222695</v>
      </c>
      <c r="AM98" s="4">
        <f t="shared" si="209"/>
        <v>179840.2008830022</v>
      </c>
      <c r="AN98" s="4">
        <f t="shared" si="209"/>
        <v>211976.99813293503</v>
      </c>
      <c r="AO98" s="4">
        <f t="shared" si="209"/>
        <v>203720.52251981141</v>
      </c>
      <c r="AP98" s="4">
        <f t="shared" si="209"/>
        <v>231642.46442666667</v>
      </c>
      <c r="AQ98" s="4">
        <f t="shared" si="209"/>
        <v>268076.78203723987</v>
      </c>
      <c r="AR98" s="4">
        <f t="shared" si="209"/>
        <v>120580.58181818182</v>
      </c>
      <c r="AS98" s="4">
        <f t="shared" si="209"/>
        <v>204090.07615855773</v>
      </c>
      <c r="AT98" s="4">
        <f t="shared" si="209"/>
        <v>162001.28455478634</v>
      </c>
      <c r="AU98" s="4">
        <f t="shared" si="209"/>
        <v>137327.0335202195</v>
      </c>
      <c r="AV98" s="4">
        <f t="shared" si="209"/>
        <v>134114.61592027853</v>
      </c>
      <c r="AW98" s="4">
        <f t="shared" si="209"/>
        <v>212403.69972083991</v>
      </c>
      <c r="AX98" s="4">
        <f t="shared" si="209"/>
        <v>377052.05051894463</v>
      </c>
      <c r="AY98" s="4">
        <f t="shared" si="209"/>
        <v>436539.84856262838</v>
      </c>
    </row>
    <row r="99" spans="2:51">
      <c r="B99" t="s">
        <v>224</v>
      </c>
      <c r="AC99" s="24">
        <f t="shared" ref="AC99:AY99" si="210">AC98/AC31</f>
        <v>13.85173250753264</v>
      </c>
      <c r="AD99" s="24">
        <f t="shared" si="210"/>
        <v>21.21069960618907</v>
      </c>
      <c r="AE99" s="24">
        <f t="shared" si="210"/>
        <v>19.310819281160661</v>
      </c>
      <c r="AF99" s="24">
        <f t="shared" si="210"/>
        <v>29.986652414322336</v>
      </c>
      <c r="AG99" s="24">
        <f t="shared" si="210"/>
        <v>34.905365784585371</v>
      </c>
      <c r="AH99" s="24">
        <f t="shared" si="210"/>
        <v>44.733977838080875</v>
      </c>
      <c r="AI99" s="24">
        <f t="shared" si="210"/>
        <v>27.710427696172907</v>
      </c>
      <c r="AJ99" s="24">
        <f t="shared" si="210"/>
        <v>27.989477437436385</v>
      </c>
      <c r="AK99" s="24">
        <f t="shared" si="210"/>
        <v>21.427103877078451</v>
      </c>
      <c r="AL99" s="24">
        <f t="shared" si="210"/>
        <v>17.311018968514755</v>
      </c>
      <c r="AM99" s="24">
        <f t="shared" si="210"/>
        <v>21.950470021115855</v>
      </c>
      <c r="AN99" s="24">
        <f t="shared" si="210"/>
        <v>17.298596224329607</v>
      </c>
      <c r="AO99" s="24">
        <f t="shared" si="210"/>
        <v>16.16957873798011</v>
      </c>
      <c r="AP99" s="24">
        <f t="shared" si="210"/>
        <v>16.469425128095747</v>
      </c>
      <c r="AQ99" s="24">
        <f t="shared" si="210"/>
        <v>15.161856345073236</v>
      </c>
      <c r="AR99" s="25">
        <f t="shared" si="210"/>
        <v>8.0931996656273455</v>
      </c>
      <c r="AS99" s="25">
        <f t="shared" si="210"/>
        <v>10.844894848746359</v>
      </c>
      <c r="AT99" s="25">
        <f t="shared" si="210"/>
        <v>6.9978956611138807</v>
      </c>
      <c r="AU99" s="25">
        <f t="shared" si="210"/>
        <v>5.9266770325069915</v>
      </c>
      <c r="AV99" s="25">
        <f t="shared" si="210"/>
        <v>6.1343189827689946</v>
      </c>
      <c r="AW99" s="25">
        <f t="shared" si="210"/>
        <v>9.5673032620530574</v>
      </c>
      <c r="AX99" s="25">
        <f t="shared" si="210"/>
        <v>16.98126691222053</v>
      </c>
      <c r="AY99" s="25">
        <f t="shared" si="210"/>
        <v>24.376806374951329</v>
      </c>
    </row>
    <row r="102" spans="2:51">
      <c r="AC102">
        <f>2023-1994</f>
        <v>29</v>
      </c>
      <c r="AD102">
        <v>28</v>
      </c>
      <c r="AE102">
        <v>27</v>
      </c>
      <c r="AF102" s="3">
        <v>26</v>
      </c>
      <c r="AG102" s="3">
        <f>2023-1998</f>
        <v>25</v>
      </c>
      <c r="AH102" s="3">
        <v>24</v>
      </c>
      <c r="AI102" s="3">
        <v>23</v>
      </c>
      <c r="AJ102" s="3">
        <v>22</v>
      </c>
      <c r="AK102" s="3">
        <v>21</v>
      </c>
      <c r="AL102" s="3">
        <v>20</v>
      </c>
      <c r="AM102" s="3">
        <v>19</v>
      </c>
      <c r="AN102" s="3">
        <v>18</v>
      </c>
      <c r="AO102">
        <v>17</v>
      </c>
      <c r="AP102">
        <v>16</v>
      </c>
      <c r="AQ102">
        <v>15</v>
      </c>
      <c r="AR102" s="3">
        <v>14</v>
      </c>
      <c r="AS102">
        <v>13</v>
      </c>
      <c r="AT102">
        <v>12</v>
      </c>
      <c r="AU102">
        <v>11</v>
      </c>
      <c r="AV102">
        <v>10</v>
      </c>
      <c r="AW102">
        <v>9</v>
      </c>
      <c r="AX102">
        <v>8</v>
      </c>
      <c r="AY102">
        <v>7</v>
      </c>
    </row>
    <row r="103" spans="2:51">
      <c r="AC103" s="4">
        <f>AC97*1.17^29</f>
        <v>1968287.8584171364</v>
      </c>
      <c r="AD103" s="4">
        <f>AD97*1.155^28</f>
        <v>2065958.5689269281</v>
      </c>
      <c r="AE103" s="4">
        <f>AE97*1.15^27</f>
        <v>2147477.2858793675</v>
      </c>
      <c r="AF103" s="6">
        <f>AF97*1.12^26</f>
        <v>2187435.7745846231</v>
      </c>
      <c r="AG103" s="6">
        <f>AG97*1.1^25</f>
        <v>2001275.6137996709</v>
      </c>
      <c r="AH103" s="6">
        <f>AH97*1.075^24</f>
        <v>2114306.1490662857</v>
      </c>
      <c r="AI103" s="6">
        <f>AI97*1.09^23</f>
        <v>2164741.7152216784</v>
      </c>
      <c r="AJ103" s="6">
        <f>AJ97*1.1^22</f>
        <v>2167739.6048092404</v>
      </c>
      <c r="AK103" s="6">
        <f>AK97*1.11^21</f>
        <v>1991789.7894720493</v>
      </c>
      <c r="AL103" s="6">
        <f>AL97*1.115^20</f>
        <v>2089650.7367206167</v>
      </c>
      <c r="AM103" s="6">
        <f>AM97*1.115^19</f>
        <v>1998611.4738145093</v>
      </c>
      <c r="AN103" s="6">
        <f>AN97*1.12^18</f>
        <v>2005020.1473098751</v>
      </c>
      <c r="AO103" s="4">
        <f>AO97*1.13^17</f>
        <v>1973467.8274649733</v>
      </c>
      <c r="AP103" s="4">
        <f>AP97*1.135^16</f>
        <v>2011217.0113389471</v>
      </c>
      <c r="AQ103" s="4">
        <f>AQ97*1.135^15</f>
        <v>1993563.9263761484</v>
      </c>
      <c r="AR103" s="6">
        <f>AR97*1.2^14</f>
        <v>1941471.9370539852</v>
      </c>
      <c r="AS103" s="6">
        <f>AS97*1.175^13</f>
        <v>1974920.6566503427</v>
      </c>
      <c r="AT103" s="6">
        <f>AT97*1.21^12</f>
        <v>2105058.1210641512</v>
      </c>
      <c r="AU103" s="6">
        <f>AU97*1.23^11</f>
        <v>1932225.2728441348</v>
      </c>
      <c r="AV103" s="6">
        <f>AV97*1.25^10</f>
        <v>1922069.2656960201</v>
      </c>
      <c r="AW103" s="6">
        <f>AW97*1.24^9</f>
        <v>2010435.0433981232</v>
      </c>
      <c r="AX103" s="6">
        <f>AX97*1.23^8</f>
        <v>1975341.5479007133</v>
      </c>
      <c r="AY103" s="6">
        <f>AY97*1.24^7</f>
        <v>1967776.1368191752</v>
      </c>
    </row>
    <row r="104" spans="2:51">
      <c r="AC104" s="12">
        <v>0.17</v>
      </c>
      <c r="AD104" s="12">
        <v>0.155</v>
      </c>
      <c r="AE104" s="12">
        <v>0.15</v>
      </c>
      <c r="AF104" s="18">
        <v>0.12</v>
      </c>
      <c r="AG104" s="18">
        <v>0.1</v>
      </c>
      <c r="AH104" s="18">
        <v>7.4999999999999997E-2</v>
      </c>
      <c r="AI104" s="18">
        <v>8.5000000000000006E-2</v>
      </c>
      <c r="AJ104" s="18">
        <v>0.1</v>
      </c>
      <c r="AK104" s="18">
        <v>0.11</v>
      </c>
      <c r="AL104" s="18">
        <v>0.115</v>
      </c>
      <c r="AM104" s="18">
        <v>0.115</v>
      </c>
      <c r="AN104" s="18">
        <v>0.12</v>
      </c>
      <c r="AO104" s="12">
        <v>0.13</v>
      </c>
      <c r="AP104" s="12">
        <v>0.13500000000000001</v>
      </c>
      <c r="AQ104" s="12">
        <v>0.13500000000000001</v>
      </c>
      <c r="AR104" s="18">
        <v>0.2</v>
      </c>
      <c r="AS104" s="18">
        <v>0.17499999999999999</v>
      </c>
      <c r="AT104" s="18">
        <v>0.21</v>
      </c>
      <c r="AU104" s="18">
        <v>0.23</v>
      </c>
      <c r="AV104" s="18">
        <v>0.25</v>
      </c>
      <c r="AW104" s="18">
        <v>0.24</v>
      </c>
      <c r="AX104" s="18">
        <v>0.23</v>
      </c>
      <c r="AY10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191</v>
      </c>
      <c r="M3" t="s">
        <v>240</v>
      </c>
    </row>
    <row r="4" spans="2:13">
      <c r="B4" s="22" t="s">
        <v>192</v>
      </c>
    </row>
    <row r="5" spans="2:13">
      <c r="B5" s="22" t="s">
        <v>193</v>
      </c>
    </row>
    <row r="6" spans="2:13">
      <c r="B6" s="22" t="s">
        <v>194</v>
      </c>
    </row>
    <row r="7" spans="2:13">
      <c r="B7" s="22" t="s">
        <v>195</v>
      </c>
    </row>
    <row r="8" spans="2:13">
      <c r="B8" s="22" t="s">
        <v>196</v>
      </c>
    </row>
    <row r="9" spans="2:13">
      <c r="B9" s="22" t="s">
        <v>197</v>
      </c>
    </row>
    <row r="10" spans="2:13">
      <c r="B10" s="22" t="s">
        <v>198</v>
      </c>
    </row>
    <row r="11" spans="2:13">
      <c r="B11" s="22" t="s">
        <v>199</v>
      </c>
    </row>
    <row r="12" spans="2:13">
      <c r="B12" s="22" t="s">
        <v>200</v>
      </c>
    </row>
    <row r="13" spans="2:13">
      <c r="B13" s="22" t="s">
        <v>201</v>
      </c>
    </row>
    <row r="14" spans="2:13">
      <c r="B14" s="22" t="s">
        <v>202</v>
      </c>
    </row>
    <row r="15" spans="2:13">
      <c r="B15" s="23" t="s">
        <v>203</v>
      </c>
    </row>
    <row r="16" spans="2:13">
      <c r="B16" s="22" t="s">
        <v>204</v>
      </c>
    </row>
    <row r="17" spans="2:2">
      <c r="B17" s="22" t="s">
        <v>205</v>
      </c>
    </row>
    <row r="18" spans="2:2">
      <c r="B18" s="22" t="s">
        <v>206</v>
      </c>
    </row>
    <row r="19" spans="2:2">
      <c r="B19" s="22" t="s">
        <v>207</v>
      </c>
    </row>
    <row r="20" spans="2:2">
      <c r="B20" s="22" t="s">
        <v>208</v>
      </c>
    </row>
    <row r="21" spans="2:2">
      <c r="B21" s="22" t="s">
        <v>209</v>
      </c>
    </row>
    <row r="22" spans="2:2">
      <c r="B22" s="22" t="s">
        <v>210</v>
      </c>
    </row>
    <row r="23" spans="2:2">
      <c r="B23" s="22" t="s">
        <v>211</v>
      </c>
    </row>
    <row r="24" spans="2:2">
      <c r="B24" s="22" t="s">
        <v>212</v>
      </c>
    </row>
    <row r="25" spans="2:2">
      <c r="B25" s="22" t="s">
        <v>213</v>
      </c>
    </row>
    <row r="26" spans="2:2">
      <c r="B26" s="22" t="s">
        <v>214</v>
      </c>
    </row>
    <row r="27" spans="2:2">
      <c r="B27" s="22" t="s">
        <v>215</v>
      </c>
    </row>
    <row r="28" spans="2:2">
      <c r="B28" s="22" t="s">
        <v>216</v>
      </c>
    </row>
    <row r="29" spans="2:2">
      <c r="B29" s="22" t="s">
        <v>217</v>
      </c>
    </row>
    <row r="30" spans="2:2">
      <c r="B30" s="22" t="s">
        <v>218</v>
      </c>
    </row>
    <row r="31" spans="2:2">
      <c r="B31" s="22" t="s">
        <v>219</v>
      </c>
    </row>
    <row r="34" spans="2:2">
      <c r="B34">
        <v>1997</v>
      </c>
    </row>
    <row r="35" spans="2:2">
      <c r="B35" s="22" t="s">
        <v>226</v>
      </c>
    </row>
    <row r="36" spans="2:2">
      <c r="B36" s="22" t="s">
        <v>227</v>
      </c>
    </row>
    <row r="37" spans="2:2">
      <c r="B37" s="22" t="s">
        <v>228</v>
      </c>
    </row>
    <row r="38" spans="2:2">
      <c r="B38" s="22" t="s">
        <v>229</v>
      </c>
    </row>
    <row r="39" spans="2:2">
      <c r="B39" s="22" t="s">
        <v>230</v>
      </c>
    </row>
    <row r="40" spans="2:2">
      <c r="B40" s="22" t="s">
        <v>231</v>
      </c>
    </row>
    <row r="41" spans="2:2">
      <c r="B41" s="22" t="s">
        <v>232</v>
      </c>
    </row>
    <row r="42" spans="2:2">
      <c r="B42" s="22" t="s">
        <v>233</v>
      </c>
    </row>
    <row r="43" spans="2:2">
      <c r="B43" s="22" t="s">
        <v>234</v>
      </c>
    </row>
    <row r="44" spans="2:2">
      <c r="B44" s="22" t="s">
        <v>235</v>
      </c>
    </row>
    <row r="45" spans="2:2">
      <c r="B45" s="22" t="s">
        <v>236</v>
      </c>
    </row>
    <row r="46" spans="2:2">
      <c r="B46" s="22" t="s">
        <v>237</v>
      </c>
    </row>
    <row r="47" spans="2:2">
      <c r="B47" s="22" t="s">
        <v>238</v>
      </c>
    </row>
    <row r="48" spans="2:2">
      <c r="B48" s="22" t="s">
        <v>239</v>
      </c>
    </row>
    <row r="53" spans="2:2">
      <c r="B53">
        <v>1998</v>
      </c>
    </row>
    <row r="54" spans="2:2">
      <c r="B54" s="22" t="s">
        <v>241</v>
      </c>
    </row>
    <row r="55" spans="2:2">
      <c r="B55" s="22" t="s">
        <v>242</v>
      </c>
    </row>
    <row r="56" spans="2:2">
      <c r="B56" s="22" t="s">
        <v>243</v>
      </c>
    </row>
    <row r="57" spans="2:2">
      <c r="B57" s="22" t="s">
        <v>244</v>
      </c>
    </row>
    <row r="58" spans="2:2">
      <c r="B58" s="22" t="s">
        <v>245</v>
      </c>
    </row>
    <row r="59" spans="2:2">
      <c r="B59" s="22" t="s">
        <v>246</v>
      </c>
    </row>
    <row r="60" spans="2:2">
      <c r="B60" s="22" t="s">
        <v>247</v>
      </c>
    </row>
    <row r="61" spans="2:2">
      <c r="B61" s="22" t="s">
        <v>248</v>
      </c>
    </row>
    <row r="62" spans="2:2">
      <c r="B62" s="22" t="s">
        <v>249</v>
      </c>
    </row>
    <row r="63" spans="2:2">
      <c r="B63" s="22" t="s">
        <v>242</v>
      </c>
    </row>
    <row r="64" spans="2:2">
      <c r="B64" s="22" t="s">
        <v>250</v>
      </c>
    </row>
    <row r="65" spans="2:2">
      <c r="B65" s="22" t="s">
        <v>251</v>
      </c>
    </row>
    <row r="66" spans="2:2">
      <c r="B66" s="22" t="s">
        <v>252</v>
      </c>
    </row>
    <row r="67" spans="2:2">
      <c r="B67" s="22" t="s">
        <v>253</v>
      </c>
    </row>
    <row r="68" spans="2:2">
      <c r="B68" s="22" t="s">
        <v>254</v>
      </c>
    </row>
    <row r="69" spans="2:2">
      <c r="B69" s="22" t="s">
        <v>255</v>
      </c>
    </row>
    <row r="70" spans="2:2">
      <c r="B70" s="22" t="s">
        <v>256</v>
      </c>
    </row>
    <row r="71" spans="2:2">
      <c r="B71" s="22" t="s">
        <v>257</v>
      </c>
    </row>
    <row r="72" spans="2:2">
      <c r="B72" s="22" t="s">
        <v>258</v>
      </c>
    </row>
    <row r="73" spans="2:2">
      <c r="B73" s="22" t="s">
        <v>259</v>
      </c>
    </row>
    <row r="74" spans="2:2">
      <c r="B74" s="22" t="s">
        <v>260</v>
      </c>
    </row>
    <row r="75" spans="2:2">
      <c r="B75" s="22" t="s">
        <v>261</v>
      </c>
    </row>
    <row r="76" spans="2:2">
      <c r="B76" s="22" t="s">
        <v>262</v>
      </c>
    </row>
    <row r="77" spans="2:2">
      <c r="B77" s="22" t="s">
        <v>263</v>
      </c>
    </row>
    <row r="78" spans="2:2">
      <c r="B78" s="22" t="s">
        <v>264</v>
      </c>
    </row>
    <row r="79" spans="2:2">
      <c r="B79" s="22" t="s">
        <v>265</v>
      </c>
    </row>
    <row r="80" spans="2:2">
      <c r="B80" s="22" t="s">
        <v>266</v>
      </c>
    </row>
    <row r="81" spans="2:2">
      <c r="B81" s="22" t="s">
        <v>267</v>
      </c>
    </row>
    <row r="82" spans="2:2">
      <c r="B82" s="22" t="s">
        <v>268</v>
      </c>
    </row>
    <row r="83" spans="2:2">
      <c r="B83" s="22" t="s">
        <v>269</v>
      </c>
    </row>
    <row r="86" spans="2:2">
      <c r="B86">
        <v>1999</v>
      </c>
    </row>
    <row r="87" spans="2:2">
      <c r="B87" s="22" t="s">
        <v>271</v>
      </c>
    </row>
    <row r="88" spans="2:2">
      <c r="B88" s="22" t="s">
        <v>272</v>
      </c>
    </row>
    <row r="89" spans="2:2">
      <c r="B89" s="22" t="s">
        <v>273</v>
      </c>
    </row>
    <row r="90" spans="2:2">
      <c r="B90" s="22" t="s">
        <v>274</v>
      </c>
    </row>
    <row r="91" spans="2:2">
      <c r="B91" s="22" t="s">
        <v>275</v>
      </c>
    </row>
    <row r="92" spans="2:2">
      <c r="B92" s="22" t="s">
        <v>276</v>
      </c>
    </row>
    <row r="93" spans="2:2">
      <c r="B93" s="22" t="s">
        <v>277</v>
      </c>
    </row>
    <row r="94" spans="2:2">
      <c r="B94" s="22" t="s">
        <v>278</v>
      </c>
    </row>
    <row r="95" spans="2:2">
      <c r="B95" s="22" t="s">
        <v>279</v>
      </c>
    </row>
    <row r="96" spans="2:2">
      <c r="B96" s="22" t="s">
        <v>280</v>
      </c>
    </row>
    <row r="97" spans="2:2">
      <c r="B97" s="22" t="s">
        <v>281</v>
      </c>
    </row>
    <row r="98" spans="2:2">
      <c r="B98" s="22" t="s">
        <v>282</v>
      </c>
    </row>
    <row r="99" spans="2:2">
      <c r="B99" s="22" t="s">
        <v>283</v>
      </c>
    </row>
    <row r="100" spans="2:2">
      <c r="B100" s="22" t="s">
        <v>284</v>
      </c>
    </row>
    <row r="101" spans="2:2">
      <c r="B101" s="22" t="s">
        <v>285</v>
      </c>
    </row>
    <row r="102" spans="2:2">
      <c r="B102" s="22" t="s">
        <v>286</v>
      </c>
    </row>
    <row r="103" spans="2:2">
      <c r="B103" s="22" t="s">
        <v>287</v>
      </c>
    </row>
    <row r="104" spans="2:2">
      <c r="B104" s="22" t="s">
        <v>288</v>
      </c>
    </row>
    <row r="105" spans="2:2">
      <c r="B105" s="22" t="s">
        <v>289</v>
      </c>
    </row>
    <row r="106" spans="2:2">
      <c r="B106" s="22" t="s">
        <v>284</v>
      </c>
    </row>
    <row r="108" spans="2:2">
      <c r="B108">
        <v>2000</v>
      </c>
    </row>
    <row r="109" spans="2:2">
      <c r="B109" s="22" t="s">
        <v>290</v>
      </c>
    </row>
    <row r="110" spans="2:2">
      <c r="B110" s="22" t="s">
        <v>291</v>
      </c>
    </row>
    <row r="111" spans="2:2">
      <c r="B111" s="22" t="s">
        <v>292</v>
      </c>
    </row>
    <row r="112" spans="2:2">
      <c r="B112" s="22" t="s">
        <v>293</v>
      </c>
    </row>
    <row r="113" spans="2:2">
      <c r="B113" s="22" t="s">
        <v>294</v>
      </c>
    </row>
    <row r="114" spans="2:2">
      <c r="B114" s="22" t="s">
        <v>295</v>
      </c>
    </row>
    <row r="115" spans="2:2">
      <c r="B115" s="22" t="s">
        <v>296</v>
      </c>
    </row>
    <row r="116" spans="2:2">
      <c r="B116" s="22" t="s">
        <v>297</v>
      </c>
    </row>
    <row r="117" spans="2:2">
      <c r="B117" s="22" t="s">
        <v>298</v>
      </c>
    </row>
    <row r="118" spans="2:2">
      <c r="B118" s="22" t="s">
        <v>299</v>
      </c>
    </row>
    <row r="119" spans="2:2">
      <c r="B119" s="22" t="s">
        <v>300</v>
      </c>
    </row>
    <row r="120" spans="2:2">
      <c r="B120" s="22" t="s">
        <v>301</v>
      </c>
    </row>
    <row r="121" spans="2:2">
      <c r="B121" s="22" t="s">
        <v>302</v>
      </c>
    </row>
    <row r="122" spans="2:2">
      <c r="B122" s="22" t="s">
        <v>303</v>
      </c>
    </row>
    <row r="123" spans="2:2">
      <c r="B123" s="22" t="s">
        <v>304</v>
      </c>
    </row>
    <row r="124" spans="2:2">
      <c r="B124" s="22" t="s">
        <v>298</v>
      </c>
    </row>
    <row r="125" spans="2:2">
      <c r="B125" s="22" t="s">
        <v>305</v>
      </c>
    </row>
    <row r="126" spans="2:2">
      <c r="B126" s="22" t="s">
        <v>306</v>
      </c>
    </row>
    <row r="127" spans="2:2">
      <c r="B127" s="22" t="s">
        <v>307</v>
      </c>
    </row>
    <row r="128" spans="2:2">
      <c r="B128" s="22" t="s">
        <v>308</v>
      </c>
    </row>
    <row r="129" spans="2:2">
      <c r="B129" s="22" t="s">
        <v>309</v>
      </c>
    </row>
    <row r="130" spans="2:2">
      <c r="B130" s="22" t="s">
        <v>310</v>
      </c>
    </row>
    <row r="131" spans="2:2">
      <c r="B131" s="22" t="s">
        <v>311</v>
      </c>
    </row>
    <row r="132" spans="2:2">
      <c r="B132" s="22" t="s">
        <v>312</v>
      </c>
    </row>
    <row r="133" spans="2:2">
      <c r="B133" s="22" t="s">
        <v>313</v>
      </c>
    </row>
    <row r="134" spans="2:2">
      <c r="B134" s="22" t="s">
        <v>314</v>
      </c>
    </row>
    <row r="135" spans="2:2">
      <c r="B135" s="22" t="s">
        <v>315</v>
      </c>
    </row>
    <row r="136" spans="2:2">
      <c r="B136" s="22" t="s">
        <v>316</v>
      </c>
    </row>
    <row r="137" spans="2:2">
      <c r="B137" s="22" t="s">
        <v>317</v>
      </c>
    </row>
    <row r="138" spans="2:2">
      <c r="B138" s="22" t="s">
        <v>318</v>
      </c>
    </row>
    <row r="139" spans="2:2">
      <c r="B139" s="22" t="s">
        <v>312</v>
      </c>
    </row>
    <row r="140" spans="2:2">
      <c r="B140" s="22" t="s">
        <v>319</v>
      </c>
    </row>
    <row r="141" spans="2:2">
      <c r="B141" s="22" t="s">
        <v>320</v>
      </c>
    </row>
    <row r="142" spans="2:2">
      <c r="B142" s="22" t="s">
        <v>321</v>
      </c>
    </row>
    <row r="143" spans="2:2">
      <c r="B143" s="22" t="s">
        <v>322</v>
      </c>
    </row>
    <row r="144" spans="2:2">
      <c r="B144" s="22" t="s">
        <v>323</v>
      </c>
    </row>
    <row r="145" spans="2:2">
      <c r="B145" s="22" t="s">
        <v>324</v>
      </c>
    </row>
    <row r="146" spans="2:2">
      <c r="B146" s="22" t="s">
        <v>325</v>
      </c>
    </row>
    <row r="147" spans="2:2">
      <c r="B147" s="22" t="s">
        <v>326</v>
      </c>
    </row>
    <row r="150" spans="2:2">
      <c r="B150">
        <v>2001</v>
      </c>
    </row>
    <row r="151" spans="2:2">
      <c r="B151" s="22" t="s">
        <v>327</v>
      </c>
    </row>
    <row r="152" spans="2:2">
      <c r="B152" s="22" t="s">
        <v>328</v>
      </c>
    </row>
    <row r="153" spans="2:2">
      <c r="B153" s="22" t="s">
        <v>329</v>
      </c>
    </row>
    <row r="154" spans="2:2">
      <c r="B154" s="22" t="s">
        <v>330</v>
      </c>
    </row>
    <row r="155" spans="2:2">
      <c r="B155" s="22" t="s">
        <v>331</v>
      </c>
    </row>
    <row r="156" spans="2:2">
      <c r="B156" s="22" t="s">
        <v>332</v>
      </c>
    </row>
    <row r="157" spans="2:2">
      <c r="B157" s="22" t="s">
        <v>333</v>
      </c>
    </row>
    <row r="158" spans="2:2">
      <c r="B158" s="22" t="s">
        <v>334</v>
      </c>
    </row>
    <row r="159" spans="2:2">
      <c r="B159" s="22" t="s">
        <v>335</v>
      </c>
    </row>
    <row r="160" spans="2:2">
      <c r="B160" s="22" t="s">
        <v>336</v>
      </c>
    </row>
    <row r="161" spans="2:2">
      <c r="B161" s="22" t="s">
        <v>337</v>
      </c>
    </row>
    <row r="162" spans="2:2">
      <c r="B162" s="22" t="s">
        <v>338</v>
      </c>
    </row>
    <row r="163" spans="2:2">
      <c r="B163" s="22" t="s">
        <v>339</v>
      </c>
    </row>
    <row r="164" spans="2:2">
      <c r="B164" s="22" t="s">
        <v>340</v>
      </c>
    </row>
    <row r="165" spans="2:2">
      <c r="B165" s="22" t="s">
        <v>341</v>
      </c>
    </row>
    <row r="166" spans="2:2">
      <c r="B166" s="22" t="s">
        <v>342</v>
      </c>
    </row>
    <row r="167" spans="2:2">
      <c r="B167" s="22" t="s">
        <v>343</v>
      </c>
    </row>
    <row r="168" spans="2:2">
      <c r="B168" s="22" t="s">
        <v>344</v>
      </c>
    </row>
    <row r="169" spans="2:2">
      <c r="B169" s="22" t="s">
        <v>345</v>
      </c>
    </row>
    <row r="170" spans="2:2">
      <c r="B170" s="22" t="s">
        <v>346</v>
      </c>
    </row>
    <row r="171" spans="2:2">
      <c r="B171" s="22" t="s">
        <v>347</v>
      </c>
    </row>
    <row r="172" spans="2:2">
      <c r="B172" s="22" t="s">
        <v>348</v>
      </c>
    </row>
    <row r="173" spans="2:2">
      <c r="B173" s="22" t="s">
        <v>349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350</v>
      </c>
      <c r="C179" s="29" t="s">
        <v>351</v>
      </c>
      <c r="D179" s="30" t="s">
        <v>352</v>
      </c>
      <c r="E179" s="29" t="s">
        <v>351</v>
      </c>
      <c r="F179" s="28" t="s">
        <v>353</v>
      </c>
    </row>
    <row r="180" spans="2:6">
      <c r="B180" s="31" t="s">
        <v>354</v>
      </c>
      <c r="C180" s="32" t="s">
        <v>351</v>
      </c>
      <c r="D180" s="33">
        <v>49</v>
      </c>
      <c r="E180" s="32" t="s">
        <v>351</v>
      </c>
      <c r="F180" s="34" t="s">
        <v>355</v>
      </c>
    </row>
    <row r="181" spans="2:6">
      <c r="B181" s="31" t="s">
        <v>356</v>
      </c>
      <c r="C181" s="32" t="s">
        <v>351</v>
      </c>
      <c r="D181" s="33">
        <v>49</v>
      </c>
      <c r="E181" s="32" t="s">
        <v>351</v>
      </c>
      <c r="F181" s="34" t="s">
        <v>357</v>
      </c>
    </row>
    <row r="182" spans="2:6">
      <c r="B182" s="31" t="s">
        <v>358</v>
      </c>
      <c r="C182" s="32" t="s">
        <v>351</v>
      </c>
      <c r="D182" s="33">
        <v>53</v>
      </c>
      <c r="E182" s="32" t="s">
        <v>351</v>
      </c>
      <c r="F182" s="34" t="s">
        <v>359</v>
      </c>
    </row>
    <row r="183" spans="2:6">
      <c r="B183" s="31" t="s">
        <v>360</v>
      </c>
      <c r="C183" s="32" t="s">
        <v>351</v>
      </c>
      <c r="D183" s="33">
        <v>43</v>
      </c>
      <c r="E183" s="32" t="s">
        <v>351</v>
      </c>
      <c r="F183" s="34" t="s">
        <v>361</v>
      </c>
    </row>
    <row r="184" spans="2:6">
      <c r="B184" s="31" t="s">
        <v>362</v>
      </c>
      <c r="C184" s="32" t="s">
        <v>351</v>
      </c>
      <c r="D184" s="33">
        <v>45</v>
      </c>
      <c r="E184" s="32" t="s">
        <v>351</v>
      </c>
      <c r="F184" s="34" t="s">
        <v>363</v>
      </c>
    </row>
    <row r="185" spans="2:6">
      <c r="B185" s="31" t="s">
        <v>364</v>
      </c>
      <c r="C185" s="32" t="s">
        <v>351</v>
      </c>
      <c r="D185" s="33">
        <v>49</v>
      </c>
      <c r="E185" s="32" t="s">
        <v>351</v>
      </c>
      <c r="F185" s="34" t="s">
        <v>365</v>
      </c>
    </row>
    <row r="186" spans="2:6">
      <c r="B186" s="31" t="s">
        <v>366</v>
      </c>
      <c r="C186" s="32" t="s">
        <v>351</v>
      </c>
      <c r="D186" s="33">
        <v>43</v>
      </c>
      <c r="E186" s="32" t="s">
        <v>351</v>
      </c>
      <c r="F186" s="34" t="s">
        <v>367</v>
      </c>
    </row>
    <row r="187" spans="2:6">
      <c r="B187" s="31" t="s">
        <v>368</v>
      </c>
      <c r="C187" s="32" t="s">
        <v>351</v>
      </c>
      <c r="D187" s="33">
        <v>45</v>
      </c>
      <c r="E187" s="32" t="s">
        <v>351</v>
      </c>
      <c r="F187" s="34" t="s">
        <v>369</v>
      </c>
    </row>
    <row r="188" spans="2:6">
      <c r="B188" s="31" t="s">
        <v>370</v>
      </c>
      <c r="C188" s="32" t="s">
        <v>351</v>
      </c>
      <c r="D188" s="33">
        <v>42</v>
      </c>
      <c r="E188" s="32" t="s">
        <v>351</v>
      </c>
      <c r="F188" s="34" t="s">
        <v>371</v>
      </c>
    </row>
    <row r="189" spans="2:6">
      <c r="B189" s="31" t="s">
        <v>372</v>
      </c>
      <c r="C189" s="32" t="s">
        <v>351</v>
      </c>
      <c r="D189" s="33">
        <v>44</v>
      </c>
      <c r="E189" s="32" t="s">
        <v>351</v>
      </c>
      <c r="F189" s="34" t="s">
        <v>373</v>
      </c>
    </row>
    <row r="190" spans="2:6">
      <c r="B190" s="31" t="s">
        <v>374</v>
      </c>
      <c r="C190" s="32" t="s">
        <v>351</v>
      </c>
      <c r="D190" s="33">
        <v>47</v>
      </c>
      <c r="E190" s="32" t="s">
        <v>351</v>
      </c>
      <c r="F190" s="34" t="s">
        <v>375</v>
      </c>
    </row>
    <row r="191" spans="2:6">
      <c r="B191" s="31" t="s">
        <v>376</v>
      </c>
      <c r="C191" s="32" t="s">
        <v>351</v>
      </c>
      <c r="D191" s="33">
        <v>38</v>
      </c>
      <c r="E191" s="32" t="s">
        <v>351</v>
      </c>
      <c r="F191" s="34" t="s">
        <v>377</v>
      </c>
    </row>
    <row r="192" spans="2:6">
      <c r="B192" s="31" t="s">
        <v>378</v>
      </c>
      <c r="C192" s="32" t="s">
        <v>351</v>
      </c>
      <c r="D192" s="33">
        <v>56</v>
      </c>
      <c r="E192" s="32" t="s">
        <v>351</v>
      </c>
      <c r="F192" s="34" t="s">
        <v>379</v>
      </c>
    </row>
    <row r="193" spans="2:6">
      <c r="B193" s="31" t="s">
        <v>380</v>
      </c>
      <c r="C193" s="32" t="s">
        <v>351</v>
      </c>
      <c r="D193" s="33">
        <v>47</v>
      </c>
      <c r="E193" s="32" t="s">
        <v>351</v>
      </c>
      <c r="F193" s="34" t="s">
        <v>381</v>
      </c>
    </row>
    <row r="194" spans="2:6">
      <c r="B194" s="31" t="s">
        <v>382</v>
      </c>
      <c r="C194" s="32" t="s">
        <v>351</v>
      </c>
      <c r="D194" s="33">
        <v>38</v>
      </c>
      <c r="E194" s="32" t="s">
        <v>351</v>
      </c>
      <c r="F194" s="34" t="s">
        <v>383</v>
      </c>
    </row>
    <row r="195" spans="2:6">
      <c r="B195" s="31" t="s">
        <v>384</v>
      </c>
      <c r="C195" s="32" t="s">
        <v>351</v>
      </c>
      <c r="D195" s="33">
        <v>46</v>
      </c>
      <c r="E195" s="32" t="s">
        <v>351</v>
      </c>
      <c r="F195" s="34" t="s">
        <v>385</v>
      </c>
    </row>
    <row r="199" spans="2:6">
      <c r="B199">
        <v>2006</v>
      </c>
    </row>
    <row r="200" spans="2:6">
      <c r="B200" t="s">
        <v>354</v>
      </c>
    </row>
    <row r="202" spans="2:6">
      <c r="B202" t="s">
        <v>386</v>
      </c>
      <c r="C202">
        <v>50</v>
      </c>
      <c r="D202" t="s">
        <v>386</v>
      </c>
      <c r="E202" t="s">
        <v>387</v>
      </c>
    </row>
    <row r="203" spans="2:6">
      <c r="B203" t="s">
        <v>356</v>
      </c>
    </row>
    <row r="205" spans="2:6">
      <c r="B205" t="s">
        <v>386</v>
      </c>
      <c r="C205">
        <v>50</v>
      </c>
      <c r="D205" t="s">
        <v>386</v>
      </c>
      <c r="E205" t="s">
        <v>357</v>
      </c>
    </row>
    <row r="206" spans="2:6">
      <c r="B206" t="s">
        <v>360</v>
      </c>
    </row>
    <row r="208" spans="2:6">
      <c r="B208" t="s">
        <v>386</v>
      </c>
      <c r="C208">
        <v>44</v>
      </c>
      <c r="D208" t="s">
        <v>386</v>
      </c>
      <c r="E208" t="s">
        <v>388</v>
      </c>
    </row>
    <row r="209" spans="2:5">
      <c r="B209" t="s">
        <v>389</v>
      </c>
    </row>
    <row r="211" spans="2:5">
      <c r="B211" t="s">
        <v>386</v>
      </c>
      <c r="C211">
        <v>46</v>
      </c>
      <c r="D211" t="s">
        <v>386</v>
      </c>
      <c r="E211" t="s">
        <v>390</v>
      </c>
    </row>
    <row r="212" spans="2:5">
      <c r="B212" t="s">
        <v>372</v>
      </c>
    </row>
    <row r="214" spans="2:5">
      <c r="B214" t="s">
        <v>386</v>
      </c>
      <c r="C214">
        <v>45</v>
      </c>
      <c r="D214" t="s">
        <v>386</v>
      </c>
      <c r="E214" t="s">
        <v>391</v>
      </c>
    </row>
    <row r="215" spans="2:5">
      <c r="B215" t="s">
        <v>374</v>
      </c>
    </row>
    <row r="217" spans="2:5">
      <c r="B217" t="s">
        <v>386</v>
      </c>
      <c r="C217">
        <v>48</v>
      </c>
      <c r="D217" t="s">
        <v>386</v>
      </c>
      <c r="E217" t="s">
        <v>392</v>
      </c>
    </row>
    <row r="218" spans="2:5">
      <c r="B218" t="s">
        <v>380</v>
      </c>
    </row>
    <row r="220" spans="2:5">
      <c r="B220" t="s">
        <v>386</v>
      </c>
      <c r="C220">
        <v>48</v>
      </c>
      <c r="D220" t="s">
        <v>386</v>
      </c>
      <c r="E220" t="s">
        <v>393</v>
      </c>
    </row>
    <row r="221" spans="2:5">
      <c r="B221" t="s">
        <v>384</v>
      </c>
    </row>
    <row r="223" spans="2:5">
      <c r="B223" t="s">
        <v>386</v>
      </c>
      <c r="C223">
        <v>47</v>
      </c>
      <c r="D223" t="s">
        <v>386</v>
      </c>
      <c r="E223" t="s">
        <v>394</v>
      </c>
    </row>
    <row r="224" spans="2:5">
      <c r="B224" t="s">
        <v>395</v>
      </c>
    </row>
    <row r="226" spans="2:8">
      <c r="B226" t="s">
        <v>386</v>
      </c>
      <c r="C226">
        <v>41</v>
      </c>
      <c r="D226" t="s">
        <v>386</v>
      </c>
      <c r="E226" t="s">
        <v>396</v>
      </c>
    </row>
    <row r="231" spans="2:8">
      <c r="B231">
        <v>2012</v>
      </c>
    </row>
    <row r="232" spans="2:8">
      <c r="B232" s="31" t="s">
        <v>398</v>
      </c>
      <c r="C232" s="32" t="s">
        <v>351</v>
      </c>
      <c r="D232" s="35"/>
      <c r="E232" s="36">
        <v>56</v>
      </c>
      <c r="F232" s="35" t="s">
        <v>351</v>
      </c>
      <c r="G232" s="32" t="s">
        <v>351</v>
      </c>
      <c r="H232" s="35" t="s">
        <v>357</v>
      </c>
    </row>
    <row r="233" spans="2:8">
      <c r="B233" s="31" t="s">
        <v>389</v>
      </c>
      <c r="C233" s="32" t="s">
        <v>351</v>
      </c>
      <c r="D233" s="35"/>
      <c r="E233" s="36">
        <v>52</v>
      </c>
      <c r="F233" s="35" t="s">
        <v>351</v>
      </c>
      <c r="G233" s="32" t="s">
        <v>351</v>
      </c>
      <c r="H233" s="35" t="s">
        <v>399</v>
      </c>
    </row>
    <row r="234" spans="2:8">
      <c r="B234" s="31" t="s">
        <v>400</v>
      </c>
      <c r="C234" s="32" t="s">
        <v>351</v>
      </c>
      <c r="D234" s="35"/>
      <c r="E234" s="36">
        <v>52</v>
      </c>
      <c r="F234" s="35" t="s">
        <v>351</v>
      </c>
      <c r="G234" s="32" t="s">
        <v>351</v>
      </c>
      <c r="H234" s="35" t="s">
        <v>401</v>
      </c>
    </row>
    <row r="235" spans="2:8">
      <c r="B235" s="31" t="s">
        <v>402</v>
      </c>
      <c r="C235" s="32" t="s">
        <v>351</v>
      </c>
      <c r="D235" s="35"/>
      <c r="E235" s="36">
        <v>49</v>
      </c>
      <c r="F235" s="35" t="s">
        <v>351</v>
      </c>
      <c r="G235" s="32" t="s">
        <v>351</v>
      </c>
      <c r="H235" s="35" t="s">
        <v>403</v>
      </c>
    </row>
    <row r="236" spans="2:8">
      <c r="B236" s="31" t="s">
        <v>378</v>
      </c>
      <c r="C236" s="32" t="s">
        <v>351</v>
      </c>
      <c r="D236" s="35"/>
      <c r="E236" s="36">
        <v>63</v>
      </c>
      <c r="F236" s="35" t="s">
        <v>351</v>
      </c>
      <c r="G236" s="32" t="s">
        <v>351</v>
      </c>
      <c r="H236" s="35" t="s">
        <v>404</v>
      </c>
    </row>
    <row r="237" spans="2:8">
      <c r="B237" s="31" t="s">
        <v>125</v>
      </c>
      <c r="C237" s="32" t="s">
        <v>351</v>
      </c>
      <c r="D237" s="35"/>
      <c r="E237" s="36">
        <v>44</v>
      </c>
      <c r="F237" s="35" t="s">
        <v>351</v>
      </c>
      <c r="G237" s="32" t="s">
        <v>351</v>
      </c>
      <c r="H237" s="35" t="s">
        <v>405</v>
      </c>
    </row>
    <row r="238" spans="2:8">
      <c r="B238" s="31" t="s">
        <v>406</v>
      </c>
      <c r="C238" s="32" t="s">
        <v>351</v>
      </c>
      <c r="D238" s="35"/>
      <c r="E238" s="36">
        <v>46</v>
      </c>
      <c r="F238" s="35" t="s">
        <v>351</v>
      </c>
      <c r="G238" s="32" t="s">
        <v>351</v>
      </c>
      <c r="H238" s="35" t="s">
        <v>407</v>
      </c>
    </row>
    <row r="239" spans="2:8">
      <c r="B239" s="31" t="s">
        <v>408</v>
      </c>
      <c r="C239" s="32" t="s">
        <v>351</v>
      </c>
      <c r="D239" s="35"/>
      <c r="E239" s="36">
        <v>53</v>
      </c>
      <c r="F239" s="35" t="s">
        <v>351</v>
      </c>
      <c r="G239" s="32" t="s">
        <v>351</v>
      </c>
      <c r="H239" s="35" t="s">
        <v>409</v>
      </c>
    </row>
    <row r="240" spans="2:8">
      <c r="B240" s="31" t="s">
        <v>410</v>
      </c>
      <c r="C240" s="32" t="s">
        <v>351</v>
      </c>
      <c r="D240" s="35"/>
      <c r="E240" s="36">
        <v>47</v>
      </c>
      <c r="F240" s="35" t="s">
        <v>351</v>
      </c>
      <c r="G240" s="32" t="s">
        <v>351</v>
      </c>
      <c r="H240" s="35" t="s">
        <v>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2023-08-15T01:48:44Z</dcterms:modified>
</cp:coreProperties>
</file>