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E9E76C6C-6F28-684F-8FC0-5B3748D004EC}" xr6:coauthVersionLast="47" xr6:coauthVersionMax="47" xr10:uidLastSave="{00000000-0000-0000-0000-000000000000}"/>
  <bookViews>
    <workbookView xWindow="0" yWindow="760" windowWidth="34560" windowHeight="20720" tabRatio="524" activeTab="2" xr2:uid="{00000000-000D-0000-FFFF-FFFF00000000}"/>
  </bookViews>
  <sheets>
    <sheet name="Master" sheetId="32" r:id="rId1"/>
    <sheet name="Main" sheetId="1" r:id="rId2"/>
    <sheet name="Model" sheetId="7" r:id="rId3"/>
    <sheet name="Tagrisso" sheetId="34" r:id="rId4"/>
    <sheet name="Soliris" sheetId="33" r:id="rId5"/>
    <sheet name="Farxiga" sheetId="29" r:id="rId6"/>
    <sheet name="Lynparza" sheetId="35" r:id="rId7"/>
    <sheet name="Symbicort" sheetId="10" r:id="rId8"/>
    <sheet name="Koselugo" sheetId="26" r:id="rId9"/>
    <sheet name="Nexium" sheetId="3" r:id="rId10"/>
    <sheet name="Seroquel" sheetId="4" r:id="rId11"/>
    <sheet name="Crestor" sheetId="2" r:id="rId12"/>
    <sheet name="Brilinta" sheetId="14" r:id="rId13"/>
    <sheet name="2171" sheetId="25" r:id="rId14"/>
    <sheet name="Iressa" sheetId="30" r:id="rId15"/>
    <sheet name="Zactima" sheetId="1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81" i="7" l="1"/>
  <c r="BQ81" i="7"/>
  <c r="BN81" i="7"/>
  <c r="BO81" i="7"/>
  <c r="BP81" i="7"/>
  <c r="BT81" i="7"/>
  <c r="BU81" i="7"/>
  <c r="BV81" i="7"/>
  <c r="CR88" i="7"/>
  <c r="CQ92" i="7"/>
  <c r="CP92" i="7"/>
  <c r="CO92" i="7"/>
  <c r="CM92" i="7"/>
  <c r="CL92" i="7"/>
  <c r="CK92" i="7"/>
  <c r="CK93" i="7" s="1"/>
  <c r="CN88" i="7"/>
  <c r="CN82" i="7"/>
  <c r="CR82" i="7"/>
  <c r="CR81" i="7"/>
  <c r="CR109" i="7"/>
  <c r="CQ109" i="7"/>
  <c r="CR108" i="7"/>
  <c r="CQ108" i="7"/>
  <c r="CQ101" i="7"/>
  <c r="CM52" i="7"/>
  <c r="DZ22" i="7"/>
  <c r="DZ21" i="7"/>
  <c r="DZ20" i="7"/>
  <c r="CN52" i="7"/>
  <c r="CO52" i="7"/>
  <c r="DZ37" i="7"/>
  <c r="DZ36" i="7"/>
  <c r="CP52" i="7"/>
  <c r="DZ44" i="7"/>
  <c r="CQ49" i="7"/>
  <c r="CQ81" i="7"/>
  <c r="CQ100" i="7" s="1"/>
  <c r="CP101" i="7"/>
  <c r="CO101" i="7"/>
  <c r="CM101" i="7"/>
  <c r="CL101" i="7"/>
  <c r="CK101" i="7"/>
  <c r="DY49" i="7"/>
  <c r="DY46" i="7"/>
  <c r="DY43" i="7"/>
  <c r="DY39" i="7"/>
  <c r="DY38" i="7"/>
  <c r="DY35" i="7"/>
  <c r="DY30" i="7"/>
  <c r="DY28" i="7"/>
  <c r="DZ26" i="7"/>
  <c r="DY5" i="7"/>
  <c r="DW80" i="7"/>
  <c r="DV80" i="7"/>
  <c r="DW79" i="7"/>
  <c r="DV79" i="7"/>
  <c r="DW78" i="7"/>
  <c r="DV78" i="7"/>
  <c r="DW77" i="7"/>
  <c r="DV77" i="7"/>
  <c r="DW76" i="7"/>
  <c r="DV76" i="7"/>
  <c r="DW75" i="7"/>
  <c r="DV75" i="7"/>
  <c r="DW74" i="7"/>
  <c r="DV74" i="7"/>
  <c r="DW73" i="7"/>
  <c r="DV73" i="7"/>
  <c r="DW72" i="7"/>
  <c r="DV72" i="7"/>
  <c r="DW71" i="7"/>
  <c r="DV71" i="7"/>
  <c r="DW70" i="7"/>
  <c r="DV70" i="7"/>
  <c r="DW69" i="7"/>
  <c r="DV69" i="7"/>
  <c r="DW68" i="7"/>
  <c r="DV68" i="7"/>
  <c r="DW67" i="7"/>
  <c r="DV67" i="7"/>
  <c r="DW66" i="7"/>
  <c r="DV66" i="7"/>
  <c r="DW65" i="7"/>
  <c r="DV65" i="7"/>
  <c r="DW64" i="7"/>
  <c r="DV64" i="7"/>
  <c r="DW63" i="7"/>
  <c r="DV63" i="7"/>
  <c r="DW62" i="7"/>
  <c r="DV62" i="7"/>
  <c r="DW61" i="7"/>
  <c r="DV61" i="7"/>
  <c r="DW60" i="7"/>
  <c r="DV60" i="7"/>
  <c r="DW56" i="7"/>
  <c r="DV56" i="7"/>
  <c r="DW55" i="7"/>
  <c r="DV55" i="7"/>
  <c r="DW54" i="7"/>
  <c r="DV54" i="7"/>
  <c r="DW53" i="7"/>
  <c r="DV53" i="7"/>
  <c r="DW52" i="7"/>
  <c r="DV52" i="7"/>
  <c r="DW51" i="7"/>
  <c r="DV51" i="7"/>
  <c r="DW50" i="7"/>
  <c r="DV50" i="7"/>
  <c r="DW49" i="7"/>
  <c r="DV49" i="7"/>
  <c r="DW46" i="7"/>
  <c r="DV46" i="7"/>
  <c r="DW45" i="7"/>
  <c r="DV45" i="7"/>
  <c r="DW43" i="7"/>
  <c r="DV43" i="7"/>
  <c r="DW11" i="7"/>
  <c r="DV11" i="7"/>
  <c r="DW42" i="7"/>
  <c r="DV42" i="7"/>
  <c r="DW41" i="7"/>
  <c r="DV41" i="7"/>
  <c r="DW40" i="7"/>
  <c r="DV40" i="7"/>
  <c r="DW39" i="7"/>
  <c r="DV39" i="7"/>
  <c r="DW38" i="7"/>
  <c r="DV38" i="7"/>
  <c r="DW35" i="7"/>
  <c r="DV35" i="7"/>
  <c r="DW34" i="7"/>
  <c r="DV34" i="7"/>
  <c r="DW33" i="7"/>
  <c r="DV33" i="7"/>
  <c r="DW32" i="7"/>
  <c r="DV32" i="7"/>
  <c r="DW31" i="7"/>
  <c r="DV31" i="7"/>
  <c r="DW30" i="7"/>
  <c r="DV30" i="7"/>
  <c r="DW29" i="7"/>
  <c r="DV29" i="7"/>
  <c r="DW28" i="7"/>
  <c r="DV28" i="7"/>
  <c r="DW27" i="7"/>
  <c r="DV27" i="7"/>
  <c r="DW26" i="7"/>
  <c r="DV26" i="7"/>
  <c r="DW24" i="7"/>
  <c r="DV24" i="7"/>
  <c r="DW23" i="7"/>
  <c r="DV23" i="7"/>
  <c r="DW19" i="7"/>
  <c r="DV19" i="7"/>
  <c r="DW18" i="7"/>
  <c r="DV18" i="7"/>
  <c r="DW17" i="7"/>
  <c r="DV17" i="7"/>
  <c r="DW16" i="7"/>
  <c r="DV16" i="7"/>
  <c r="DW15" i="7"/>
  <c r="DV15" i="7"/>
  <c r="DW14" i="7"/>
  <c r="DV14" i="7"/>
  <c r="DW13" i="7"/>
  <c r="DV13" i="7"/>
  <c r="DW12" i="7"/>
  <c r="DV12" i="7"/>
  <c r="DW10" i="7"/>
  <c r="DV10" i="7"/>
  <c r="DW9" i="7"/>
  <c r="DV9" i="7"/>
  <c r="DW8" i="7"/>
  <c r="DV8" i="7"/>
  <c r="DW7" i="7"/>
  <c r="DV7" i="7"/>
  <c r="DW6" i="7"/>
  <c r="DV6" i="7"/>
  <c r="DW5" i="7"/>
  <c r="DV5" i="7"/>
  <c r="DW4" i="7"/>
  <c r="DV4" i="7"/>
  <c r="DV3" i="7"/>
  <c r="DW3" i="7"/>
  <c r="DZ76" i="7"/>
  <c r="DY76" i="7"/>
  <c r="DX76" i="7"/>
  <c r="DZ75" i="7"/>
  <c r="DY75" i="7"/>
  <c r="DX75" i="7"/>
  <c r="DZ74" i="7"/>
  <c r="DY74" i="7"/>
  <c r="DX74" i="7"/>
  <c r="DZ73" i="7"/>
  <c r="DY73" i="7"/>
  <c r="DX73" i="7"/>
  <c r="DZ72" i="7"/>
  <c r="DY72" i="7"/>
  <c r="DX72" i="7"/>
  <c r="DZ71" i="7"/>
  <c r="DY71" i="7"/>
  <c r="DX71" i="7"/>
  <c r="DZ70" i="7"/>
  <c r="DY70" i="7"/>
  <c r="DX70" i="7"/>
  <c r="DZ69" i="7"/>
  <c r="DY69" i="7"/>
  <c r="DX69" i="7"/>
  <c r="DZ68" i="7"/>
  <c r="DY68" i="7"/>
  <c r="DX68" i="7"/>
  <c r="DZ67" i="7"/>
  <c r="DY67" i="7"/>
  <c r="DX67" i="7"/>
  <c r="DZ66" i="7"/>
  <c r="DY66" i="7"/>
  <c r="DX66" i="7"/>
  <c r="DZ65" i="7"/>
  <c r="DY65" i="7"/>
  <c r="DX65" i="7"/>
  <c r="DZ64" i="7"/>
  <c r="DY64" i="7"/>
  <c r="DX64" i="7"/>
  <c r="DZ63" i="7"/>
  <c r="DY63" i="7"/>
  <c r="DX63" i="7"/>
  <c r="DZ62" i="7"/>
  <c r="DY62" i="7"/>
  <c r="DX62" i="7"/>
  <c r="DZ61" i="7"/>
  <c r="DY61" i="7"/>
  <c r="DX61" i="7"/>
  <c r="DZ60" i="7"/>
  <c r="DY60" i="7"/>
  <c r="DX60" i="7"/>
  <c r="DZ56" i="7"/>
  <c r="DY56" i="7"/>
  <c r="DX56" i="7"/>
  <c r="DZ55" i="7"/>
  <c r="DY55" i="7"/>
  <c r="DX55" i="7"/>
  <c r="DZ54" i="7"/>
  <c r="DY54" i="7"/>
  <c r="DX54" i="7"/>
  <c r="DZ53" i="7"/>
  <c r="DY53" i="7"/>
  <c r="DX53" i="7"/>
  <c r="DX52" i="7"/>
  <c r="DX51" i="7"/>
  <c r="DX50" i="7"/>
  <c r="DX49" i="7"/>
  <c r="DX46" i="7"/>
  <c r="DX45" i="7"/>
  <c r="DX43" i="7"/>
  <c r="DX11" i="7"/>
  <c r="DX42" i="7"/>
  <c r="DX41" i="7"/>
  <c r="DX40" i="7"/>
  <c r="DX39" i="7"/>
  <c r="DX38" i="7"/>
  <c r="DX35" i="7"/>
  <c r="DX34" i="7"/>
  <c r="DX33" i="7"/>
  <c r="DX32" i="7"/>
  <c r="DX31" i="7"/>
  <c r="DX30" i="7"/>
  <c r="DX29" i="7"/>
  <c r="DX28" i="7"/>
  <c r="DX27" i="7"/>
  <c r="DX26" i="7"/>
  <c r="DX24" i="7"/>
  <c r="DX23" i="7"/>
  <c r="DX19" i="7"/>
  <c r="DX18" i="7"/>
  <c r="DX17" i="7"/>
  <c r="DX16" i="7"/>
  <c r="DX15" i="7"/>
  <c r="DX14" i="7"/>
  <c r="DX13" i="7"/>
  <c r="DX12" i="7"/>
  <c r="DX10" i="7"/>
  <c r="DZ9" i="7"/>
  <c r="DX9" i="7"/>
  <c r="DX7" i="7"/>
  <c r="DX6" i="7"/>
  <c r="DX5" i="7"/>
  <c r="DX4" i="7"/>
  <c r="DX3" i="7"/>
  <c r="DX8" i="7"/>
  <c r="EC2" i="7"/>
  <c r="ED2" i="7" s="1"/>
  <c r="EE2" i="7" s="1"/>
  <c r="EF2" i="7" s="1"/>
  <c r="EG2" i="7" s="1"/>
  <c r="EH2" i="7" s="1"/>
  <c r="EI2" i="7" s="1"/>
  <c r="EJ2" i="7" s="1"/>
  <c r="EK2" i="7" s="1"/>
  <c r="EL2" i="7" s="1"/>
  <c r="DY18" i="7"/>
  <c r="DY19" i="7"/>
  <c r="DY15" i="7"/>
  <c r="DY16" i="7"/>
  <c r="DY14" i="7"/>
  <c r="CO109" i="7"/>
  <c r="CN109" i="7"/>
  <c r="DY4" i="7"/>
  <c r="CJ109" i="7"/>
  <c r="CK109" i="7"/>
  <c r="CI109" i="7"/>
  <c r="CH109" i="7"/>
  <c r="CG109" i="7"/>
  <c r="CF109" i="7"/>
  <c r="CE109" i="7"/>
  <c r="CD109" i="7"/>
  <c r="CC109" i="7"/>
  <c r="CA88" i="7"/>
  <c r="CE88" i="7"/>
  <c r="CE82" i="7"/>
  <c r="CA82" i="7"/>
  <c r="BZ25" i="7"/>
  <c r="BZ81" i="7" s="1"/>
  <c r="BY25" i="7"/>
  <c r="BY81" i="7" s="1"/>
  <c r="BX25" i="7"/>
  <c r="BX81" i="7" s="1"/>
  <c r="BW25" i="7"/>
  <c r="BW81" i="7" s="1"/>
  <c r="CP108" i="7"/>
  <c r="CK108" i="7"/>
  <c r="CN108" i="7"/>
  <c r="CM108" i="7"/>
  <c r="CL108" i="7"/>
  <c r="CD108" i="7"/>
  <c r="CC108" i="7"/>
  <c r="CI108" i="7"/>
  <c r="CH108" i="7"/>
  <c r="CG108" i="7"/>
  <c r="CF108" i="7"/>
  <c r="CE108" i="7"/>
  <c r="CJ108" i="7"/>
  <c r="DY9" i="7"/>
  <c r="CD88" i="7"/>
  <c r="CD82" i="7"/>
  <c r="BZ88" i="7"/>
  <c r="BZ82" i="7"/>
  <c r="CF88" i="7"/>
  <c r="CF82" i="7"/>
  <c r="CB82" i="7"/>
  <c r="CB88" i="7"/>
  <c r="CG88" i="7"/>
  <c r="CG82" i="7"/>
  <c r="CC88" i="7"/>
  <c r="CC82" i="7"/>
  <c r="CQ97" i="7" l="1"/>
  <c r="CR83" i="7"/>
  <c r="CQ99" i="7"/>
  <c r="CR98" i="7"/>
  <c r="CQ98" i="7"/>
  <c r="CR97" i="7"/>
  <c r="CR87" i="7"/>
  <c r="CR89" i="7" s="1"/>
  <c r="CR99" i="7"/>
  <c r="CR92" i="7"/>
  <c r="CR93" i="7" s="1"/>
  <c r="CR101" i="7"/>
  <c r="CR100" i="7"/>
  <c r="DZ50" i="7"/>
  <c r="DY33" i="7"/>
  <c r="DY34" i="7"/>
  <c r="DY42" i="7"/>
  <c r="DY11" i="7"/>
  <c r="DY45" i="7"/>
  <c r="DY17" i="7"/>
  <c r="DZ12" i="7"/>
  <c r="EA12" i="7" s="1"/>
  <c r="EB12" i="7" s="1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DZ13" i="7"/>
  <c r="DY12" i="7"/>
  <c r="DY8" i="7"/>
  <c r="DZ14" i="7"/>
  <c r="EA14" i="7" s="1"/>
  <c r="EB14" i="7" s="1"/>
  <c r="EC14" i="7" s="1"/>
  <c r="ED14" i="7" s="1"/>
  <c r="EE14" i="7" s="1"/>
  <c r="EF14" i="7" s="1"/>
  <c r="EG14" i="7" s="1"/>
  <c r="EH14" i="7" s="1"/>
  <c r="EI14" i="7" s="1"/>
  <c r="EJ14" i="7" s="1"/>
  <c r="EK14" i="7" s="1"/>
  <c r="EL14" i="7" s="1"/>
  <c r="DZ19" i="7"/>
  <c r="EA19" i="7" s="1"/>
  <c r="EB19" i="7" s="1"/>
  <c r="EC19" i="7" s="1"/>
  <c r="ED19" i="7" s="1"/>
  <c r="EE19" i="7" s="1"/>
  <c r="EF19" i="7" s="1"/>
  <c r="EG19" i="7" s="1"/>
  <c r="EH19" i="7" s="1"/>
  <c r="EI19" i="7" s="1"/>
  <c r="EJ19" i="7" s="1"/>
  <c r="EK19" i="7" s="1"/>
  <c r="EL19" i="7" s="1"/>
  <c r="DZ7" i="7"/>
  <c r="EA7" i="7" s="1"/>
  <c r="EB7" i="7" s="1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DY26" i="7"/>
  <c r="DZ15" i="7"/>
  <c r="DZ18" i="7"/>
  <c r="EA18" i="7" s="1"/>
  <c r="EB18" i="7" s="1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DZ6" i="7"/>
  <c r="EA6" i="7" s="1"/>
  <c r="EB6" i="7" s="1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DY27" i="7"/>
  <c r="DZ46" i="7"/>
  <c r="DZ17" i="7"/>
  <c r="EA17" i="7" s="1"/>
  <c r="EB17" i="7" s="1"/>
  <c r="EC17" i="7" s="1"/>
  <c r="ED17" i="7" s="1"/>
  <c r="EE17" i="7" s="1"/>
  <c r="EF17" i="7" s="1"/>
  <c r="EG17" i="7" s="1"/>
  <c r="EH17" i="7" s="1"/>
  <c r="EI17" i="7" s="1"/>
  <c r="EJ17" i="7" s="1"/>
  <c r="EK17" i="7" s="1"/>
  <c r="EL17" i="7" s="1"/>
  <c r="DY52" i="7"/>
  <c r="DY13" i="7"/>
  <c r="DY3" i="7"/>
  <c r="DY7" i="7"/>
  <c r="DZ24" i="7"/>
  <c r="EA24" i="7" s="1"/>
  <c r="EB24" i="7" s="1"/>
  <c r="EC24" i="7" s="1"/>
  <c r="ED24" i="7" s="1"/>
  <c r="EE24" i="7" s="1"/>
  <c r="EF24" i="7" s="1"/>
  <c r="EG24" i="7" s="1"/>
  <c r="EH24" i="7" s="1"/>
  <c r="EI24" i="7" s="1"/>
  <c r="EJ24" i="7" s="1"/>
  <c r="EK24" i="7" s="1"/>
  <c r="EL24" i="7" s="1"/>
  <c r="DY31" i="7"/>
  <c r="DY50" i="7"/>
  <c r="CL109" i="7"/>
  <c r="DY41" i="7"/>
  <c r="CM109" i="7"/>
  <c r="DZ16" i="7"/>
  <c r="DZ8" i="7"/>
  <c r="EA8" i="7" s="1"/>
  <c r="EB8" i="7" s="1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DY6" i="7"/>
  <c r="DY32" i="7"/>
  <c r="DV25" i="7"/>
  <c r="DV81" i="7" s="1"/>
  <c r="CP109" i="7"/>
  <c r="DY23" i="7"/>
  <c r="DZ10" i="7"/>
  <c r="DZ5" i="7"/>
  <c r="EA5" i="7" s="1"/>
  <c r="EB5" i="7" s="1"/>
  <c r="EC5" i="7" s="1"/>
  <c r="ED5" i="7" s="1"/>
  <c r="EE5" i="7" s="1"/>
  <c r="EF5" i="7" s="1"/>
  <c r="EG5" i="7" s="1"/>
  <c r="EH5" i="7" s="1"/>
  <c r="EI5" i="7" s="1"/>
  <c r="EJ5" i="7" s="1"/>
  <c r="EK5" i="7" s="1"/>
  <c r="EL5" i="7" s="1"/>
  <c r="DY29" i="7"/>
  <c r="DY10" i="7"/>
  <c r="DZ23" i="7"/>
  <c r="EA23" i="7" s="1"/>
  <c r="EB23" i="7" s="1"/>
  <c r="EC23" i="7" s="1"/>
  <c r="ED23" i="7" s="1"/>
  <c r="EE23" i="7" s="1"/>
  <c r="EF23" i="7" s="1"/>
  <c r="EG23" i="7" s="1"/>
  <c r="EH23" i="7" s="1"/>
  <c r="EI23" i="7" s="1"/>
  <c r="EJ23" i="7" s="1"/>
  <c r="EK23" i="7" s="1"/>
  <c r="EL23" i="7" s="1"/>
  <c r="DY24" i="7"/>
  <c r="DY40" i="7"/>
  <c r="DY51" i="7"/>
  <c r="DZ40" i="7"/>
  <c r="DZ34" i="7"/>
  <c r="CK81" i="7"/>
  <c r="DZ3" i="7"/>
  <c r="EA3" i="7" s="1"/>
  <c r="EB3" i="7" s="1"/>
  <c r="EC3" i="7" s="1"/>
  <c r="CI82" i="7"/>
  <c r="CJ88" i="7"/>
  <c r="CJ82" i="7"/>
  <c r="CJ81" i="7"/>
  <c r="CJ98" i="7" s="1"/>
  <c r="CD25" i="7"/>
  <c r="CD81" i="7" s="1"/>
  <c r="CD106" i="7" s="1"/>
  <c r="CC25" i="7"/>
  <c r="CC81" i="7" s="1"/>
  <c r="CC106" i="7" s="1"/>
  <c r="CB25" i="7"/>
  <c r="CB81" i="7" s="1"/>
  <c r="CB106" i="7" s="1"/>
  <c r="CA25" i="7"/>
  <c r="V81" i="7"/>
  <c r="AC81" i="7"/>
  <c r="AV81" i="7"/>
  <c r="AW81" i="7"/>
  <c r="AX81" i="7"/>
  <c r="BA81" i="7"/>
  <c r="BB81" i="7"/>
  <c r="BE81" i="7"/>
  <c r="BF81" i="7"/>
  <c r="BG81" i="7"/>
  <c r="BH81" i="7"/>
  <c r="BI81" i="7"/>
  <c r="BJ81" i="7"/>
  <c r="BK81" i="7"/>
  <c r="BL81" i="7"/>
  <c r="BM81" i="7"/>
  <c r="CG25" i="7"/>
  <c r="CG81" i="7" s="1"/>
  <c r="CF25" i="7"/>
  <c r="CF81" i="7" s="1"/>
  <c r="CF83" i="7" s="1"/>
  <c r="CF87" i="7" s="1"/>
  <c r="CF100" i="7" s="1"/>
  <c r="CE25" i="7"/>
  <c r="CH88" i="7"/>
  <c r="CH82" i="7"/>
  <c r="CH25" i="7"/>
  <c r="CL81" i="7" s="1"/>
  <c r="CI81" i="7"/>
  <c r="CI98" i="7" s="1"/>
  <c r="CG106" i="7" l="1"/>
  <c r="DZ27" i="7"/>
  <c r="DZ45" i="7"/>
  <c r="CH81" i="7"/>
  <c r="CH98" i="7" s="1"/>
  <c r="DZ43" i="7"/>
  <c r="DZ39" i="7"/>
  <c r="CL99" i="7"/>
  <c r="CL98" i="7"/>
  <c r="CL100" i="7"/>
  <c r="CL97" i="7"/>
  <c r="CK98" i="7"/>
  <c r="CK99" i="7"/>
  <c r="CK100" i="7"/>
  <c r="CK97" i="7"/>
  <c r="CE81" i="7"/>
  <c r="CE98" i="7" s="1"/>
  <c r="DX25" i="7"/>
  <c r="DX81" i="7" s="1"/>
  <c r="DZ35" i="7"/>
  <c r="DY25" i="7"/>
  <c r="DY81" i="7" s="1"/>
  <c r="CA81" i="7"/>
  <c r="CA98" i="7" s="1"/>
  <c r="DW25" i="7"/>
  <c r="DW81" i="7" s="1"/>
  <c r="ED3" i="7"/>
  <c r="DZ11" i="7"/>
  <c r="DZ4" i="7"/>
  <c r="EA4" i="7" s="1"/>
  <c r="DZ52" i="7"/>
  <c r="DZ49" i="7"/>
  <c r="DZ41" i="7"/>
  <c r="DZ38" i="7"/>
  <c r="DZ33" i="7"/>
  <c r="DZ31" i="7"/>
  <c r="DZ30" i="7"/>
  <c r="DZ29" i="7"/>
  <c r="DZ28" i="7"/>
  <c r="CG99" i="7"/>
  <c r="CG98" i="7"/>
  <c r="CJ99" i="7"/>
  <c r="CJ106" i="7"/>
  <c r="CL106" i="7"/>
  <c r="CH83" i="7"/>
  <c r="CH87" i="7" s="1"/>
  <c r="CH100" i="7" s="1"/>
  <c r="CI99" i="7"/>
  <c r="CO108" i="7"/>
  <c r="CK106" i="7"/>
  <c r="CF98" i="7"/>
  <c r="CF106" i="7"/>
  <c r="CC83" i="7"/>
  <c r="CC98" i="7"/>
  <c r="CC99" i="7"/>
  <c r="CF99" i="7"/>
  <c r="CJ83" i="7"/>
  <c r="BZ99" i="7"/>
  <c r="BZ98" i="7"/>
  <c r="CG83" i="7"/>
  <c r="CG87" i="7" s="1"/>
  <c r="CB98" i="7"/>
  <c r="CB99" i="7"/>
  <c r="CB83" i="7"/>
  <c r="CD99" i="7"/>
  <c r="CD98" i="7"/>
  <c r="CD83" i="7"/>
  <c r="BZ83" i="7"/>
  <c r="CF97" i="7"/>
  <c r="CF89" i="7"/>
  <c r="CH99" i="7" l="1"/>
  <c r="CH106" i="7"/>
  <c r="CA106" i="7"/>
  <c r="CA99" i="7"/>
  <c r="CA83" i="7"/>
  <c r="CA87" i="7" s="1"/>
  <c r="CE99" i="7"/>
  <c r="CI106" i="7"/>
  <c r="CE106" i="7"/>
  <c r="EB4" i="7"/>
  <c r="EA81" i="7"/>
  <c r="EE3" i="7"/>
  <c r="CE83" i="7"/>
  <c r="CE87" i="7" s="1"/>
  <c r="CH97" i="7"/>
  <c r="CH89" i="7"/>
  <c r="CH92" i="7" s="1"/>
  <c r="CH93" i="7" s="1"/>
  <c r="CM81" i="7"/>
  <c r="CQ106" i="7" s="1"/>
  <c r="DZ51" i="7"/>
  <c r="DZ42" i="7"/>
  <c r="DZ32" i="7"/>
  <c r="CA97" i="7"/>
  <c r="BZ87" i="7"/>
  <c r="BZ97" i="7"/>
  <c r="CG89" i="7"/>
  <c r="CG100" i="7"/>
  <c r="CJ87" i="7"/>
  <c r="CJ97" i="7"/>
  <c r="CD87" i="7"/>
  <c r="CD97" i="7"/>
  <c r="CB87" i="7"/>
  <c r="CB97" i="7"/>
  <c r="CG97" i="7"/>
  <c r="CC97" i="7"/>
  <c r="CC87" i="7"/>
  <c r="CF92" i="7"/>
  <c r="CF93" i="7" s="1"/>
  <c r="CF101" i="7"/>
  <c r="BD88" i="7"/>
  <c r="BD82" i="7"/>
  <c r="BD56" i="7"/>
  <c r="BD81" i="7" s="1"/>
  <c r="AZ56" i="7"/>
  <c r="AZ81" i="7" s="1"/>
  <c r="BB82" i="7"/>
  <c r="BA82" i="7"/>
  <c r="BC56" i="7"/>
  <c r="BC81" i="7" s="1"/>
  <c r="AY56" i="7"/>
  <c r="AY81" i="7" s="1"/>
  <c r="DP54" i="7"/>
  <c r="DQ54" i="7" s="1"/>
  <c r="DR54" i="7" s="1"/>
  <c r="DS54" i="7" s="1"/>
  <c r="DT54" i="7" s="1"/>
  <c r="DT52" i="7"/>
  <c r="DM94" i="7"/>
  <c r="DN91" i="7"/>
  <c r="DO80" i="7"/>
  <c r="DO71" i="7"/>
  <c r="DP71" i="7" s="1"/>
  <c r="DQ71" i="7" s="1"/>
  <c r="DR71" i="7" s="1"/>
  <c r="DS71" i="7" s="1"/>
  <c r="DT71" i="7" s="1"/>
  <c r="AV94" i="7"/>
  <c r="AW94" i="7" s="1"/>
  <c r="AX85" i="7"/>
  <c r="AW85" i="7"/>
  <c r="DO65" i="7"/>
  <c r="DP65" i="7" s="1"/>
  <c r="DQ65" i="7" s="1"/>
  <c r="DR65" i="7" s="1"/>
  <c r="DS65" i="7" s="1"/>
  <c r="DT65" i="7" s="1"/>
  <c r="DO67" i="7"/>
  <c r="DP67" i="7" s="1"/>
  <c r="DQ67" i="7" s="1"/>
  <c r="DR67" i="7" s="1"/>
  <c r="DS67" i="7" s="1"/>
  <c r="DT67" i="7" s="1"/>
  <c r="DO46" i="7"/>
  <c r="DP46" i="7" s="1"/>
  <c r="DQ46" i="7" s="1"/>
  <c r="DR46" i="7" s="1"/>
  <c r="DS46" i="7" s="1"/>
  <c r="DT46" i="7" s="1"/>
  <c r="AS88" i="7"/>
  <c r="AS82" i="7"/>
  <c r="AS80" i="7"/>
  <c r="DO39" i="7"/>
  <c r="DP39" i="7" s="1"/>
  <c r="DQ39" i="7" s="1"/>
  <c r="DR39" i="7" s="1"/>
  <c r="DS39" i="7" s="1"/>
  <c r="DT39" i="7" s="1"/>
  <c r="DO17" i="7"/>
  <c r="DP17" i="7" s="1"/>
  <c r="DQ17" i="7" s="1"/>
  <c r="AS56" i="7"/>
  <c r="AT88" i="7"/>
  <c r="AT82" i="7"/>
  <c r="AT56" i="7"/>
  <c r="AT81" i="7" s="1"/>
  <c r="AU91" i="7"/>
  <c r="AU88" i="7"/>
  <c r="AU82" i="7"/>
  <c r="AU42" i="7"/>
  <c r="AU56" i="7"/>
  <c r="DO56" i="7" s="1"/>
  <c r="DP56" i="7" s="1"/>
  <c r="DQ56" i="7" s="1"/>
  <c r="DR56" i="7" s="1"/>
  <c r="DS56" i="7" s="1"/>
  <c r="DT56" i="7" s="1"/>
  <c r="AR17" i="7"/>
  <c r="DN17" i="7" s="1"/>
  <c r="DN70" i="7"/>
  <c r="AR94" i="7"/>
  <c r="DN94" i="7" s="1"/>
  <c r="AR88" i="7"/>
  <c r="AR86" i="7"/>
  <c r="DN86" i="7" s="1"/>
  <c r="AR85" i="7"/>
  <c r="DN85" i="7" s="1"/>
  <c r="AR84" i="7"/>
  <c r="DN84" i="7" s="1"/>
  <c r="AR66" i="7"/>
  <c r="DN66" i="7" s="1"/>
  <c r="AR49" i="7"/>
  <c r="DN49" i="7" s="1"/>
  <c r="AR67" i="7"/>
  <c r="DN67" i="7" s="1"/>
  <c r="AR29" i="7"/>
  <c r="DN29" i="7" s="1"/>
  <c r="AR68" i="7"/>
  <c r="DN68" i="7" s="1"/>
  <c r="AR71" i="7"/>
  <c r="DN71" i="7" s="1"/>
  <c r="AR46" i="7"/>
  <c r="DN46" i="7" s="1"/>
  <c r="AR15" i="7"/>
  <c r="DN15" i="7" s="1"/>
  <c r="AR75" i="7"/>
  <c r="DN75" i="7" s="1"/>
  <c r="DP75" i="7"/>
  <c r="DQ75" i="7" s="1"/>
  <c r="DR75" i="7" s="1"/>
  <c r="DS75" i="7" s="1"/>
  <c r="DT75" i="7" s="1"/>
  <c r="AR51" i="7"/>
  <c r="DN51" i="7" s="1"/>
  <c r="AR38" i="7"/>
  <c r="DN38" i="7" s="1"/>
  <c r="DO38" i="7"/>
  <c r="DP38" i="7" s="1"/>
  <c r="DQ38" i="7" s="1"/>
  <c r="DR38" i="7" s="1"/>
  <c r="DS38" i="7" s="1"/>
  <c r="DT38" i="7" s="1"/>
  <c r="AR65" i="7"/>
  <c r="DN65" i="7" s="1"/>
  <c r="AR64" i="7"/>
  <c r="DN64" i="7" s="1"/>
  <c r="AR63" i="7"/>
  <c r="DN63" i="7" s="1"/>
  <c r="AR60" i="7"/>
  <c r="DN60" i="7" s="1"/>
  <c r="AR25" i="7"/>
  <c r="DN25" i="7" s="1"/>
  <c r="AR62" i="7"/>
  <c r="DN62" i="7" s="1"/>
  <c r="AR50" i="7"/>
  <c r="DN50" i="7" s="1"/>
  <c r="AR18" i="7"/>
  <c r="DN18" i="7" s="1"/>
  <c r="AR61" i="7"/>
  <c r="DN61" i="7" s="1"/>
  <c r="AR19" i="7"/>
  <c r="DN19" i="7" s="1"/>
  <c r="AR53" i="7"/>
  <c r="DN53" i="7" s="1"/>
  <c r="AR55" i="7"/>
  <c r="DN55" i="7" s="1"/>
  <c r="AR23" i="7"/>
  <c r="DN23" i="7" s="1"/>
  <c r="DO23" i="7"/>
  <c r="DP23" i="7" s="1"/>
  <c r="DQ23" i="7" s="1"/>
  <c r="DR23" i="7" s="1"/>
  <c r="DS23" i="7" s="1"/>
  <c r="DT23" i="7" s="1"/>
  <c r="AR40" i="7"/>
  <c r="DN40" i="7" s="1"/>
  <c r="AQ88" i="7"/>
  <c r="AQ82" i="7"/>
  <c r="AQ69" i="7"/>
  <c r="AR69" i="7" s="1"/>
  <c r="AQ80" i="7"/>
  <c r="AR80" i="7" s="1"/>
  <c r="AQ42" i="7"/>
  <c r="C21" i="4"/>
  <c r="C22" i="4"/>
  <c r="DJ2" i="7"/>
  <c r="DK2" i="7" s="1"/>
  <c r="DL2" i="7" s="1"/>
  <c r="DM2" i="7" s="1"/>
  <c r="DN2" i="7" s="1"/>
  <c r="DO2" i="7" s="1"/>
  <c r="DP2" i="7" s="1"/>
  <c r="DQ2" i="7" s="1"/>
  <c r="DR2" i="7" s="1"/>
  <c r="AM14" i="7"/>
  <c r="AR14" i="7"/>
  <c r="AT110" i="7"/>
  <c r="DH14" i="7"/>
  <c r="DI14" i="7"/>
  <c r="DJ14" i="7"/>
  <c r="DK14" i="7"/>
  <c r="DL14" i="7"/>
  <c r="AN56" i="7"/>
  <c r="AR56" i="7" s="1"/>
  <c r="AO56" i="7"/>
  <c r="AP56" i="7"/>
  <c r="DH56" i="7"/>
  <c r="DI56" i="7"/>
  <c r="DJ56" i="7"/>
  <c r="DK56" i="7"/>
  <c r="DL56" i="7"/>
  <c r="AM17" i="7"/>
  <c r="AM112" i="7" s="1"/>
  <c r="DH17" i="7"/>
  <c r="DI17" i="7"/>
  <c r="DJ17" i="7"/>
  <c r="DK17" i="7"/>
  <c r="DL17" i="7"/>
  <c r="AR7" i="7"/>
  <c r="DN7" i="7" s="1"/>
  <c r="DO7" i="7"/>
  <c r="DP7" i="7" s="1"/>
  <c r="DQ7" i="7" s="1"/>
  <c r="DR7" i="7" s="1"/>
  <c r="DS7" i="7" s="1"/>
  <c r="DT7" i="7" s="1"/>
  <c r="DH7" i="7"/>
  <c r="DI7" i="7"/>
  <c r="DJ7" i="7"/>
  <c r="DK7" i="7"/>
  <c r="DL7" i="7"/>
  <c r="DM7" i="7"/>
  <c r="W39" i="7"/>
  <c r="DI39" i="7" s="1"/>
  <c r="AA39" i="7"/>
  <c r="DJ39" i="7" s="1"/>
  <c r="AR39" i="7"/>
  <c r="DN39" i="7" s="1"/>
  <c r="DH39" i="7"/>
  <c r="DK39" i="7"/>
  <c r="DL39" i="7"/>
  <c r="DM39" i="7"/>
  <c r="W40" i="7"/>
  <c r="DI40" i="7" s="1"/>
  <c r="AA40" i="7"/>
  <c r="DJ40" i="7" s="1"/>
  <c r="DH40" i="7"/>
  <c r="DK40" i="7"/>
  <c r="DL40" i="7"/>
  <c r="DM40" i="7"/>
  <c r="W23" i="7"/>
  <c r="AA23" i="7"/>
  <c r="DJ23" i="7" s="1"/>
  <c r="DH23" i="7"/>
  <c r="DK23" i="7"/>
  <c r="DL23" i="7"/>
  <c r="DM23" i="7"/>
  <c r="W55" i="7"/>
  <c r="DI55" i="7" s="1"/>
  <c r="AA55" i="7"/>
  <c r="DJ55" i="7" s="1"/>
  <c r="AM55" i="7"/>
  <c r="DM55" i="7" s="1"/>
  <c r="DH55" i="7"/>
  <c r="DK55" i="7"/>
  <c r="DL55" i="7"/>
  <c r="W53" i="7"/>
  <c r="DI53" i="7" s="1"/>
  <c r="AA53" i="7"/>
  <c r="DJ53" i="7" s="1"/>
  <c r="AM53" i="7"/>
  <c r="DM53" i="7" s="1"/>
  <c r="DH53" i="7"/>
  <c r="DK53" i="7"/>
  <c r="DL53" i="7"/>
  <c r="W19" i="7"/>
  <c r="DI19" i="7" s="1"/>
  <c r="AA19" i="7"/>
  <c r="DH19" i="7"/>
  <c r="DK19" i="7"/>
  <c r="DL19" i="7"/>
  <c r="DM19" i="7"/>
  <c r="DH61" i="7"/>
  <c r="DI61" i="7"/>
  <c r="DJ61" i="7"/>
  <c r="DK61" i="7"/>
  <c r="DL61" i="7"/>
  <c r="DM61" i="7"/>
  <c r="W18" i="7"/>
  <c r="AA18" i="7"/>
  <c r="AM18" i="7"/>
  <c r="DM18" i="7" s="1"/>
  <c r="DH18" i="7"/>
  <c r="DK18" i="7"/>
  <c r="DL18" i="7"/>
  <c r="DJ50" i="7"/>
  <c r="DK50" i="7"/>
  <c r="DL50" i="7"/>
  <c r="DM50" i="7"/>
  <c r="DH62" i="7"/>
  <c r="DI62" i="7"/>
  <c r="DJ62" i="7"/>
  <c r="DK62" i="7" s="1"/>
  <c r="DL62" i="7"/>
  <c r="DM62" i="7"/>
  <c r="DH25" i="7"/>
  <c r="DI25" i="7"/>
  <c r="DJ25" i="7"/>
  <c r="DK25" i="7" s="1"/>
  <c r="DL25" i="7"/>
  <c r="DM25" i="7"/>
  <c r="W60" i="7"/>
  <c r="DI60" i="7" s="1"/>
  <c r="AA60" i="7"/>
  <c r="DJ60" i="7" s="1"/>
  <c r="DK60" i="7" s="1"/>
  <c r="DH60" i="7"/>
  <c r="DL60" i="7"/>
  <c r="DM60" i="7"/>
  <c r="W63" i="7"/>
  <c r="DI63" i="7" s="1"/>
  <c r="AA63" i="7"/>
  <c r="DJ63" i="7" s="1"/>
  <c r="DK63" i="7" s="1"/>
  <c r="DH63" i="7"/>
  <c r="DL63" i="7"/>
  <c r="DM63" i="7"/>
  <c r="W64" i="7"/>
  <c r="DI64" i="7" s="1"/>
  <c r="AA64" i="7"/>
  <c r="DJ64" i="7" s="1"/>
  <c r="DK64" i="7" s="1"/>
  <c r="DH64" i="7"/>
  <c r="DL64" i="7"/>
  <c r="DM64" i="7"/>
  <c r="W65" i="7"/>
  <c r="DI65" i="7" s="1"/>
  <c r="AA65" i="7"/>
  <c r="DJ65" i="7" s="1"/>
  <c r="DK65" i="7" s="1"/>
  <c r="DH65" i="7"/>
  <c r="DL65" i="7"/>
  <c r="DM65" i="7"/>
  <c r="W38" i="7"/>
  <c r="DI38" i="7" s="1"/>
  <c r="AA38" i="7"/>
  <c r="DJ38" i="7" s="1"/>
  <c r="DH38" i="7"/>
  <c r="DK38" i="7"/>
  <c r="DL38" i="7"/>
  <c r="DM38" i="7"/>
  <c r="DH51" i="7"/>
  <c r="DI51" i="7"/>
  <c r="DJ51" i="7"/>
  <c r="DK51" i="7" s="1"/>
  <c r="DL51" i="7"/>
  <c r="DM51" i="7"/>
  <c r="DH49" i="7"/>
  <c r="DI49" i="7"/>
  <c r="DJ49" i="7"/>
  <c r="DK49" i="7" s="1"/>
  <c r="DL49" i="7"/>
  <c r="DM49" i="7"/>
  <c r="AB42" i="7"/>
  <c r="DH42" i="7"/>
  <c r="DI42" i="7"/>
  <c r="DL42" i="7"/>
  <c r="DM42" i="7"/>
  <c r="DH66" i="7"/>
  <c r="DI66" i="7"/>
  <c r="DJ66" i="7"/>
  <c r="DK66" i="7" s="1"/>
  <c r="DL66" i="7"/>
  <c r="DM66" i="7"/>
  <c r="DH67" i="7"/>
  <c r="DI67" i="7"/>
  <c r="DJ67" i="7"/>
  <c r="DK67" i="7" s="1"/>
  <c r="DL67" i="7"/>
  <c r="DM67" i="7"/>
  <c r="DH68" i="7"/>
  <c r="DI68" i="7"/>
  <c r="DJ68" i="7"/>
  <c r="DK68" i="7" s="1"/>
  <c r="DL68" i="7"/>
  <c r="DM68" i="7"/>
  <c r="AE69" i="7"/>
  <c r="DH69" i="7"/>
  <c r="DI69" i="7"/>
  <c r="DJ69" i="7"/>
  <c r="DK69" i="7" s="1"/>
  <c r="DL69" i="7"/>
  <c r="DM69" i="7"/>
  <c r="DL29" i="7"/>
  <c r="DM29" i="7"/>
  <c r="DL46" i="7"/>
  <c r="DM46" i="7"/>
  <c r="DL70" i="7"/>
  <c r="DM70" i="7"/>
  <c r="W72" i="7"/>
  <c r="DI72" i="7" s="1"/>
  <c r="AA72" i="7"/>
  <c r="DJ72" i="7" s="1"/>
  <c r="DK72" i="7" s="1"/>
  <c r="DH72" i="7"/>
  <c r="DL72" i="7"/>
  <c r="W73" i="7"/>
  <c r="DI73" i="7" s="1"/>
  <c r="AA73" i="7"/>
  <c r="DJ73" i="7" s="1"/>
  <c r="DK73" i="7" s="1"/>
  <c r="DH73" i="7"/>
  <c r="DL73" i="7"/>
  <c r="DJ74" i="7"/>
  <c r="DK74" i="7" s="1"/>
  <c r="DL74" i="7"/>
  <c r="W26" i="7"/>
  <c r="DI26" i="7" s="1"/>
  <c r="AA26" i="7"/>
  <c r="DH26" i="7"/>
  <c r="W75" i="7"/>
  <c r="DI75" i="7" s="1"/>
  <c r="AA75" i="7"/>
  <c r="DJ75" i="7" s="1"/>
  <c r="DK75" i="7" s="1"/>
  <c r="DH75" i="7"/>
  <c r="DL75" i="7"/>
  <c r="W80" i="7"/>
  <c r="X80" i="7"/>
  <c r="Y80" i="7"/>
  <c r="Y81" i="7" s="1"/>
  <c r="Z80" i="7"/>
  <c r="AA80" i="7"/>
  <c r="AB80" i="7"/>
  <c r="AD80" i="7"/>
  <c r="AD81" i="7" s="1"/>
  <c r="AF80" i="7"/>
  <c r="AF81" i="7" s="1"/>
  <c r="AG80" i="7"/>
  <c r="AG81" i="7" s="1"/>
  <c r="AH80" i="7"/>
  <c r="AH81" i="7" s="1"/>
  <c r="AI80" i="7"/>
  <c r="AI81" i="7" s="1"/>
  <c r="AJ80" i="7"/>
  <c r="AK80" i="7"/>
  <c r="AL80" i="7"/>
  <c r="AM80" i="7"/>
  <c r="AN80" i="7"/>
  <c r="AO80" i="7"/>
  <c r="AP80" i="7"/>
  <c r="DH80" i="7"/>
  <c r="V100" i="7"/>
  <c r="AC98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DK97" i="7"/>
  <c r="DL82" i="7"/>
  <c r="DI84" i="7"/>
  <c r="DJ84" i="7" s="1"/>
  <c r="DK84" i="7" s="1"/>
  <c r="DL84" i="7"/>
  <c r="DM84" i="7"/>
  <c r="DI85" i="7"/>
  <c r="DJ85" i="7" s="1"/>
  <c r="DK85" i="7" s="1"/>
  <c r="DL85" i="7"/>
  <c r="DM85" i="7"/>
  <c r="DI86" i="7"/>
  <c r="DJ86" i="7" s="1"/>
  <c r="DK86" i="7" s="1"/>
  <c r="DL86" i="7"/>
  <c r="DM86" i="7"/>
  <c r="W88" i="7"/>
  <c r="X88" i="7"/>
  <c r="Y88" i="7"/>
  <c r="Z88" i="7"/>
  <c r="AA88" i="7"/>
  <c r="AB88" i="7"/>
  <c r="AC88" i="7"/>
  <c r="AD88" i="7"/>
  <c r="AF88" i="7"/>
  <c r="AG88" i="7"/>
  <c r="AH88" i="7"/>
  <c r="AI88" i="7"/>
  <c r="AJ88" i="7"/>
  <c r="AK88" i="7"/>
  <c r="AL88" i="7"/>
  <c r="AM88" i="7"/>
  <c r="AN88" i="7"/>
  <c r="AO88" i="7"/>
  <c r="AP88" i="7"/>
  <c r="DK88" i="7"/>
  <c r="DM90" i="7"/>
  <c r="DI90" i="7"/>
  <c r="DL90" i="7"/>
  <c r="DL91" i="7"/>
  <c r="DM91" i="7"/>
  <c r="AD94" i="7"/>
  <c r="DK94" i="7"/>
  <c r="DL94" i="7"/>
  <c r="R97" i="7"/>
  <c r="S97" i="7"/>
  <c r="T97" i="7"/>
  <c r="U97" i="7"/>
  <c r="S100" i="7"/>
  <c r="T100" i="7"/>
  <c r="U100" i="7"/>
  <c r="AE103" i="7"/>
  <c r="AD103" i="7" s="1"/>
  <c r="AN115" i="7"/>
  <c r="AN103" i="7" s="1"/>
  <c r="AB104" i="7"/>
  <c r="AN125" i="7"/>
  <c r="AN104" i="7" s="1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N110" i="7"/>
  <c r="AO110" i="7"/>
  <c r="AP110" i="7"/>
  <c r="AS110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Q111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N112" i="7"/>
  <c r="AO112" i="7"/>
  <c r="AP112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M116" i="7"/>
  <c r="AN116" i="7"/>
  <c r="AM117" i="7"/>
  <c r="AM121" i="7"/>
  <c r="AN121" i="7"/>
  <c r="AM125" i="7"/>
  <c r="AM128" i="7"/>
  <c r="AN128" i="7"/>
  <c r="AM129" i="7"/>
  <c r="AN129" i="7"/>
  <c r="K4" i="1"/>
  <c r="K7" i="1" s="1"/>
  <c r="DQ80" i="7"/>
  <c r="DR80" i="7" s="1"/>
  <c r="DS80" i="7" s="1"/>
  <c r="DT80" i="7" s="1"/>
  <c r="DO68" i="7"/>
  <c r="DP68" i="7" s="1"/>
  <c r="DQ68" i="7" s="1"/>
  <c r="DR68" i="7" s="1"/>
  <c r="DS68" i="7" s="1"/>
  <c r="DT68" i="7" s="1"/>
  <c r="DN26" i="7"/>
  <c r="DO88" i="7"/>
  <c r="DP88" i="7"/>
  <c r="DO26" i="7"/>
  <c r="DP26" i="7" s="1"/>
  <c r="DQ26" i="7" s="1"/>
  <c r="DR26" i="7" s="1"/>
  <c r="DS26" i="7" s="1"/>
  <c r="DT26" i="7" s="1"/>
  <c r="DO50" i="7"/>
  <c r="DP50" i="7" s="1"/>
  <c r="DQ50" i="7" s="1"/>
  <c r="DR50" i="7" s="1"/>
  <c r="DS50" i="7" s="1"/>
  <c r="DT50" i="7" s="1"/>
  <c r="DO29" i="7"/>
  <c r="DP29" i="7" s="1"/>
  <c r="DQ29" i="7" s="1"/>
  <c r="DR29" i="7" s="1"/>
  <c r="DS29" i="7" s="1"/>
  <c r="DT29" i="7" s="1"/>
  <c r="DO69" i="7"/>
  <c r="DP69" i="7" s="1"/>
  <c r="DQ69" i="7" s="1"/>
  <c r="DR69" i="7" s="1"/>
  <c r="DS69" i="7" s="1"/>
  <c r="DT69" i="7" s="1"/>
  <c r="DO62" i="7"/>
  <c r="DP62" i="7" s="1"/>
  <c r="DQ62" i="7" s="1"/>
  <c r="DR62" i="7" s="1"/>
  <c r="DS62" i="7" s="1"/>
  <c r="DT62" i="7" s="1"/>
  <c r="DO63" i="7"/>
  <c r="DP63" i="7" s="1"/>
  <c r="DQ63" i="7" s="1"/>
  <c r="DR63" i="7" s="1"/>
  <c r="DS63" i="7" s="1"/>
  <c r="DT63" i="7" s="1"/>
  <c r="DO61" i="7"/>
  <c r="DP61" i="7" s="1"/>
  <c r="DQ61" i="7" s="1"/>
  <c r="DR61" i="7" s="1"/>
  <c r="DS61" i="7" s="1"/>
  <c r="DT61" i="7" s="1"/>
  <c r="DO77" i="7"/>
  <c r="DP77" i="7" s="1"/>
  <c r="DQ77" i="7" s="1"/>
  <c r="DR77" i="7" s="1"/>
  <c r="DS77" i="7" s="1"/>
  <c r="DT77" i="7" s="1"/>
  <c r="DO14" i="7"/>
  <c r="DP14" i="7" s="1"/>
  <c r="DQ14" i="7" s="1"/>
  <c r="DR14" i="7" s="1"/>
  <c r="DS14" i="7" s="1"/>
  <c r="AV98" i="7"/>
  <c r="DO25" i="7"/>
  <c r="DP25" i="7" s="1"/>
  <c r="DQ25" i="7" s="1"/>
  <c r="DR25" i="7" s="1"/>
  <c r="DS25" i="7" s="1"/>
  <c r="DT25" i="7" s="1"/>
  <c r="DO18" i="7"/>
  <c r="DP18" i="7" s="1"/>
  <c r="DQ18" i="7" s="1"/>
  <c r="DR18" i="7" s="1"/>
  <c r="DS18" i="7" s="1"/>
  <c r="DT18" i="7" s="1"/>
  <c r="DO15" i="7"/>
  <c r="DP15" i="7" s="1"/>
  <c r="DQ15" i="7" s="1"/>
  <c r="DR15" i="7" s="1"/>
  <c r="DS15" i="7" s="1"/>
  <c r="DT15" i="7" s="1"/>
  <c r="DO66" i="7"/>
  <c r="DP66" i="7" s="1"/>
  <c r="DQ66" i="7" s="1"/>
  <c r="DR66" i="7" s="1"/>
  <c r="DS66" i="7" s="1"/>
  <c r="DT66" i="7" s="1"/>
  <c r="DO49" i="7"/>
  <c r="DP49" i="7" s="1"/>
  <c r="DQ49" i="7" s="1"/>
  <c r="DR49" i="7" s="1"/>
  <c r="DS49" i="7" s="1"/>
  <c r="DT49" i="7" s="1"/>
  <c r="DO53" i="7"/>
  <c r="DP53" i="7" s="1"/>
  <c r="DQ53" i="7" s="1"/>
  <c r="DR53" i="7" s="1"/>
  <c r="DS53" i="7" s="1"/>
  <c r="DT53" i="7" s="1"/>
  <c r="DO55" i="7"/>
  <c r="DP55" i="7" s="1"/>
  <c r="DQ55" i="7" s="1"/>
  <c r="DR55" i="7" s="1"/>
  <c r="DS55" i="7" s="1"/>
  <c r="DT55" i="7" s="1"/>
  <c r="DO40" i="7"/>
  <c r="DO60" i="7"/>
  <c r="DP60" i="7" s="1"/>
  <c r="DQ60" i="7" s="1"/>
  <c r="DO19" i="7"/>
  <c r="DP19" i="7" s="1"/>
  <c r="DQ19" i="7" s="1"/>
  <c r="DR19" i="7" s="1"/>
  <c r="DS19" i="7" s="1"/>
  <c r="DT19" i="7" s="1"/>
  <c r="AX98" i="7"/>
  <c r="AW83" i="7"/>
  <c r="DO51" i="7"/>
  <c r="DP51" i="7" s="1"/>
  <c r="DQ51" i="7" s="1"/>
  <c r="DR51" i="7" s="1"/>
  <c r="DS51" i="7" s="1"/>
  <c r="DT51" i="7" s="1"/>
  <c r="CE97" i="7" l="1"/>
  <c r="CO81" i="7"/>
  <c r="CN81" i="7"/>
  <c r="CM99" i="7"/>
  <c r="CM98" i="7"/>
  <c r="CM100" i="7"/>
  <c r="CM97" i="7"/>
  <c r="CM106" i="7"/>
  <c r="CH101" i="7"/>
  <c r="EF3" i="7"/>
  <c r="EC4" i="7"/>
  <c r="EB81" i="7"/>
  <c r="CA100" i="7"/>
  <c r="CA89" i="7"/>
  <c r="CE100" i="7"/>
  <c r="CE89" i="7"/>
  <c r="CC100" i="7"/>
  <c r="CC89" i="7"/>
  <c r="CB89" i="7"/>
  <c r="CB100" i="7"/>
  <c r="CD89" i="7"/>
  <c r="CD100" i="7"/>
  <c r="CJ100" i="7"/>
  <c r="CJ89" i="7"/>
  <c r="CG92" i="7"/>
  <c r="CG93" i="7" s="1"/>
  <c r="CG101" i="7"/>
  <c r="AS81" i="7"/>
  <c r="AS99" i="7" s="1"/>
  <c r="BZ100" i="7"/>
  <c r="BZ89" i="7"/>
  <c r="AO81" i="7"/>
  <c r="AO99" i="7" s="1"/>
  <c r="AQ81" i="7"/>
  <c r="AK81" i="7"/>
  <c r="AK98" i="7" s="1"/>
  <c r="AP111" i="7"/>
  <c r="AP81" i="7"/>
  <c r="AP83" i="7" s="1"/>
  <c r="AJ81" i="7"/>
  <c r="AJ98" i="7" s="1"/>
  <c r="AN111" i="7"/>
  <c r="AN81" i="7"/>
  <c r="DJ42" i="7"/>
  <c r="DK42" i="7" s="1"/>
  <c r="AB81" i="7"/>
  <c r="AE80" i="7"/>
  <c r="AE81" i="7" s="1"/>
  <c r="AI106" i="7" s="1"/>
  <c r="DO42" i="7"/>
  <c r="DP42" i="7" s="1"/>
  <c r="DQ42" i="7" s="1"/>
  <c r="DR42" i="7" s="1"/>
  <c r="DS42" i="7" s="1"/>
  <c r="DT42" i="7" s="1"/>
  <c r="AU81" i="7"/>
  <c r="AU99" i="7" s="1"/>
  <c r="DJ18" i="7"/>
  <c r="AA81" i="7"/>
  <c r="Z81" i="7"/>
  <c r="Z99" i="7" s="1"/>
  <c r="DI18" i="7"/>
  <c r="W81" i="7"/>
  <c r="AR110" i="7"/>
  <c r="DM14" i="7"/>
  <c r="AM81" i="7"/>
  <c r="AL81" i="7"/>
  <c r="AL99" i="7" s="1"/>
  <c r="X81" i="7"/>
  <c r="X99" i="7" s="1"/>
  <c r="AW98" i="7"/>
  <c r="CI83" i="7"/>
  <c r="AS111" i="7"/>
  <c r="DN69" i="7"/>
  <c r="DN14" i="7"/>
  <c r="AX99" i="7"/>
  <c r="DN56" i="7"/>
  <c r="AT111" i="7"/>
  <c r="AV85" i="7"/>
  <c r="AV99" i="7" s="1"/>
  <c r="DL80" i="7"/>
  <c r="DL81" i="7" s="1"/>
  <c r="DL83" i="7" s="1"/>
  <c r="DI80" i="7"/>
  <c r="AM132" i="7"/>
  <c r="AM134" i="7" s="1"/>
  <c r="AN132" i="7"/>
  <c r="AN134" i="7" s="1"/>
  <c r="AH98" i="7"/>
  <c r="AH83" i="7"/>
  <c r="DL88" i="7"/>
  <c r="AC83" i="7"/>
  <c r="DN80" i="7"/>
  <c r="AM123" i="7"/>
  <c r="AG106" i="7"/>
  <c r="AG99" i="7"/>
  <c r="AM110" i="7"/>
  <c r="AG83" i="7"/>
  <c r="DN88" i="7"/>
  <c r="DI88" i="7"/>
  <c r="AG98" i="7"/>
  <c r="AQ110" i="7"/>
  <c r="Y99" i="7"/>
  <c r="Y106" i="7"/>
  <c r="Y98" i="7"/>
  <c r="Y83" i="7"/>
  <c r="AC106" i="7"/>
  <c r="DI82" i="7"/>
  <c r="AX83" i="7"/>
  <c r="AH106" i="7"/>
  <c r="AW99" i="7"/>
  <c r="DM88" i="7"/>
  <c r="DM17" i="7"/>
  <c r="AN123" i="7"/>
  <c r="V97" i="7"/>
  <c r="AC99" i="7"/>
  <c r="DR17" i="7"/>
  <c r="DS17" i="7" s="1"/>
  <c r="DT17" i="7" s="1"/>
  <c r="AW87" i="7"/>
  <c r="AW97" i="7"/>
  <c r="DT14" i="7"/>
  <c r="AI99" i="7"/>
  <c r="AI83" i="7"/>
  <c r="DM56" i="7"/>
  <c r="AR42" i="7"/>
  <c r="DN42" i="7" s="1"/>
  <c r="AV83" i="7"/>
  <c r="AF99" i="7"/>
  <c r="AF83" i="7"/>
  <c r="AF98" i="7"/>
  <c r="AD98" i="7"/>
  <c r="AD99" i="7"/>
  <c r="AD83" i="7"/>
  <c r="DH81" i="7"/>
  <c r="BD98" i="7"/>
  <c r="BD99" i="7"/>
  <c r="BD83" i="7"/>
  <c r="AW82" i="7"/>
  <c r="DJ80" i="7"/>
  <c r="DK80" i="7" s="1"/>
  <c r="AX94" i="7"/>
  <c r="DO94" i="7" s="1"/>
  <c r="DP94" i="7" s="1"/>
  <c r="DQ94" i="7" s="1"/>
  <c r="DR94" i="7" s="1"/>
  <c r="DS94" i="7" s="1"/>
  <c r="DT94" i="7" s="1"/>
  <c r="DU94" i="7" s="1"/>
  <c r="DV94" i="7" s="1"/>
  <c r="DW94" i="7" s="1"/>
  <c r="DX94" i="7" s="1"/>
  <c r="DY94" i="7" s="1"/>
  <c r="DZ94" i="7" s="1"/>
  <c r="EA94" i="7" s="1"/>
  <c r="EB94" i="7" s="1"/>
  <c r="AT99" i="7"/>
  <c r="AT98" i="7"/>
  <c r="AT83" i="7"/>
  <c r="AR111" i="7"/>
  <c r="DP40" i="7"/>
  <c r="DQ40" i="7" s="1"/>
  <c r="DR40" i="7" s="1"/>
  <c r="DS40" i="7" s="1"/>
  <c r="DT40" i="7" s="1"/>
  <c r="AI98" i="7"/>
  <c r="DJ19" i="7"/>
  <c r="AO111" i="7"/>
  <c r="DI23" i="7"/>
  <c r="DM80" i="7"/>
  <c r="AH99" i="7"/>
  <c r="CN83" i="7" l="1"/>
  <c r="CN87" i="7" s="1"/>
  <c r="CN89" i="7" s="1"/>
  <c r="CR106" i="7"/>
  <c r="EG3" i="7"/>
  <c r="CN106" i="7"/>
  <c r="CN97" i="7"/>
  <c r="CN98" i="7"/>
  <c r="CN100" i="7"/>
  <c r="CN99" i="7"/>
  <c r="ED4" i="7"/>
  <c r="EC81" i="7"/>
  <c r="CO106" i="7"/>
  <c r="CO98" i="7"/>
  <c r="CO97" i="7"/>
  <c r="CO100" i="7"/>
  <c r="CO99" i="7"/>
  <c r="CA101" i="7"/>
  <c r="CA92" i="7"/>
  <c r="CA93" i="7" s="1"/>
  <c r="BZ92" i="7"/>
  <c r="BZ93" i="7" s="1"/>
  <c r="BZ101" i="7"/>
  <c r="CJ92" i="7"/>
  <c r="CJ93" i="7" s="1"/>
  <c r="CJ101" i="7"/>
  <c r="CC92" i="7"/>
  <c r="CC93" i="7" s="1"/>
  <c r="CC101" i="7"/>
  <c r="CD92" i="7"/>
  <c r="CD93" i="7" s="1"/>
  <c r="CD101" i="7"/>
  <c r="AK83" i="7"/>
  <c r="AK97" i="7" s="1"/>
  <c r="AK106" i="7"/>
  <c r="CE92" i="7"/>
  <c r="CE93" i="7" s="1"/>
  <c r="CE101" i="7"/>
  <c r="AK99" i="7"/>
  <c r="CB92" i="7"/>
  <c r="CB93" i="7" s="1"/>
  <c r="CB101" i="7"/>
  <c r="AJ106" i="7"/>
  <c r="CI87" i="7"/>
  <c r="CI97" i="7"/>
  <c r="AJ83" i="7"/>
  <c r="AJ97" i="7" s="1"/>
  <c r="AJ99" i="7"/>
  <c r="AD106" i="7"/>
  <c r="Z106" i="7"/>
  <c r="AL106" i="7"/>
  <c r="Z98" i="7"/>
  <c r="X83" i="7"/>
  <c r="X97" i="7" s="1"/>
  <c r="X98" i="7"/>
  <c r="AB106" i="7"/>
  <c r="AL98" i="7"/>
  <c r="DO81" i="7"/>
  <c r="DO85" i="7" s="1"/>
  <c r="Z83" i="7"/>
  <c r="Z97" i="7" s="1"/>
  <c r="AL83" i="7"/>
  <c r="AL97" i="7" s="1"/>
  <c r="DK81" i="7"/>
  <c r="DK99" i="7" s="1"/>
  <c r="Z87" i="7"/>
  <c r="Z89" i="7" s="1"/>
  <c r="Z101" i="7" s="1"/>
  <c r="AR81" i="7"/>
  <c r="AR98" i="7" s="1"/>
  <c r="AS98" i="7"/>
  <c r="AS83" i="7"/>
  <c r="AS87" i="7" s="1"/>
  <c r="DN81" i="7"/>
  <c r="DN98" i="7" s="1"/>
  <c r="AP106" i="7"/>
  <c r="AP98" i="7"/>
  <c r="AP99" i="7"/>
  <c r="AO106" i="7"/>
  <c r="DI81" i="7"/>
  <c r="DI99" i="7" s="1"/>
  <c r="AO98" i="7"/>
  <c r="AO83" i="7"/>
  <c r="AO97" i="7" s="1"/>
  <c r="AU98" i="7"/>
  <c r="AU83" i="7"/>
  <c r="AU97" i="7" s="1"/>
  <c r="DJ81" i="7"/>
  <c r="DJ83" i="7" s="1"/>
  <c r="DJ87" i="7" s="1"/>
  <c r="DJ89" i="7" s="1"/>
  <c r="AC97" i="7"/>
  <c r="AC87" i="7"/>
  <c r="AB83" i="7"/>
  <c r="AB87" i="7" s="1"/>
  <c r="AB98" i="7"/>
  <c r="AF106" i="7"/>
  <c r="AB99" i="7"/>
  <c r="AH97" i="7"/>
  <c r="AH87" i="7"/>
  <c r="DL99" i="7"/>
  <c r="AG97" i="7"/>
  <c r="AG87" i="7"/>
  <c r="AM98" i="7"/>
  <c r="AM106" i="7"/>
  <c r="AM83" i="7"/>
  <c r="AM99" i="7"/>
  <c r="Y87" i="7"/>
  <c r="Y97" i="7"/>
  <c r="DM81" i="7"/>
  <c r="AE83" i="7"/>
  <c r="AE99" i="7"/>
  <c r="AE98" i="7"/>
  <c r="W99" i="7"/>
  <c r="W83" i="7"/>
  <c r="W98" i="7"/>
  <c r="AX82" i="7"/>
  <c r="AX87" i="7"/>
  <c r="AX97" i="7"/>
  <c r="AV87" i="7"/>
  <c r="AV97" i="7"/>
  <c r="AN99" i="7"/>
  <c r="AN98" i="7"/>
  <c r="AN106" i="7"/>
  <c r="AN83" i="7"/>
  <c r="DT81" i="7"/>
  <c r="AP97" i="7"/>
  <c r="AP87" i="7"/>
  <c r="DP81" i="7"/>
  <c r="AI87" i="7"/>
  <c r="AI97" i="7"/>
  <c r="AQ98" i="7"/>
  <c r="AQ83" i="7"/>
  <c r="AQ99" i="7"/>
  <c r="DR81" i="7"/>
  <c r="BD97" i="7"/>
  <c r="BD87" i="7"/>
  <c r="DL97" i="7"/>
  <c r="DL87" i="7"/>
  <c r="DL89" i="7" s="1"/>
  <c r="DL92" i="7" s="1"/>
  <c r="DL93" i="7" s="1"/>
  <c r="AF97" i="7"/>
  <c r="AF87" i="7"/>
  <c r="DQ81" i="7"/>
  <c r="DS81" i="7"/>
  <c r="AW100" i="7"/>
  <c r="AW89" i="7"/>
  <c r="AA98" i="7"/>
  <c r="AA83" i="7"/>
  <c r="AA99" i="7"/>
  <c r="AE106" i="7"/>
  <c r="AA106" i="7"/>
  <c r="AD87" i="7"/>
  <c r="AD97" i="7"/>
  <c r="AT97" i="7"/>
  <c r="AT87" i="7"/>
  <c r="AV82" i="7"/>
  <c r="CN101" i="7" l="1"/>
  <c r="CN92" i="7"/>
  <c r="CN93" i="7" s="1"/>
  <c r="AK87" i="7"/>
  <c r="CP81" i="7"/>
  <c r="DZ25" i="7"/>
  <c r="DZ81" i="7" s="1"/>
  <c r="AJ87" i="7"/>
  <c r="EC85" i="7"/>
  <c r="EC98" i="7"/>
  <c r="EE4" i="7"/>
  <c r="ED81" i="7"/>
  <c r="X87" i="7"/>
  <c r="X100" i="7" s="1"/>
  <c r="EH3" i="7"/>
  <c r="CI89" i="7"/>
  <c r="CI100" i="7"/>
  <c r="DO98" i="7"/>
  <c r="Z100" i="7"/>
  <c r="DK83" i="7"/>
  <c r="DK87" i="7" s="1"/>
  <c r="DK89" i="7" s="1"/>
  <c r="DK90" i="7" s="1"/>
  <c r="DK92" i="7" s="1"/>
  <c r="DK93" i="7" s="1"/>
  <c r="AL87" i="7"/>
  <c r="AL89" i="7" s="1"/>
  <c r="AL101" i="7" s="1"/>
  <c r="Z92" i="7"/>
  <c r="Z93" i="7" s="1"/>
  <c r="AS97" i="7"/>
  <c r="DO106" i="7"/>
  <c r="DN106" i="7"/>
  <c r="AR83" i="7"/>
  <c r="AR82" i="7" s="1"/>
  <c r="DN82" i="7" s="1"/>
  <c r="AR99" i="7"/>
  <c r="DM98" i="7"/>
  <c r="DI83" i="7"/>
  <c r="DI97" i="7" s="1"/>
  <c r="DI98" i="7"/>
  <c r="AO87" i="7"/>
  <c r="AO100" i="7" s="1"/>
  <c r="DJ99" i="7"/>
  <c r="DM106" i="7"/>
  <c r="DJ82" i="7"/>
  <c r="AB97" i="7"/>
  <c r="AU87" i="7"/>
  <c r="AU89" i="7" s="1"/>
  <c r="AH100" i="7"/>
  <c r="AH89" i="7"/>
  <c r="AG89" i="7"/>
  <c r="AG100" i="7"/>
  <c r="AC100" i="7"/>
  <c r="AC89" i="7"/>
  <c r="DM99" i="7"/>
  <c r="Y100" i="7"/>
  <c r="Y89" i="7"/>
  <c r="W97" i="7"/>
  <c r="W87" i="7"/>
  <c r="AS100" i="7"/>
  <c r="AS89" i="7"/>
  <c r="AX89" i="7"/>
  <c r="AX90" i="7" s="1"/>
  <c r="AX100" i="7"/>
  <c r="AM87" i="7"/>
  <c r="AM97" i="7"/>
  <c r="AE97" i="7"/>
  <c r="AE87" i="7"/>
  <c r="AN87" i="7"/>
  <c r="AN97" i="7"/>
  <c r="DM83" i="7"/>
  <c r="DS106" i="7"/>
  <c r="DS85" i="7"/>
  <c r="DS98" i="7"/>
  <c r="AK100" i="7"/>
  <c r="AK89" i="7"/>
  <c r="AA97" i="7"/>
  <c r="AA87" i="7"/>
  <c r="DJ90" i="7"/>
  <c r="DJ92" i="7" s="1"/>
  <c r="AV89" i="7"/>
  <c r="AV100" i="7"/>
  <c r="BD100" i="7"/>
  <c r="BD89" i="7"/>
  <c r="DQ106" i="7"/>
  <c r="DQ98" i="7"/>
  <c r="DQ85" i="7"/>
  <c r="AI100" i="7"/>
  <c r="AI89" i="7"/>
  <c r="DR106" i="7"/>
  <c r="DR98" i="7"/>
  <c r="DR85" i="7"/>
  <c r="AF89" i="7"/>
  <c r="AF100" i="7"/>
  <c r="DU81" i="7"/>
  <c r="AD100" i="7"/>
  <c r="AD89" i="7"/>
  <c r="DP106" i="7"/>
  <c r="DP85" i="7"/>
  <c r="DP98" i="7"/>
  <c r="AP100" i="7"/>
  <c r="AP89" i="7"/>
  <c r="AW90" i="7"/>
  <c r="AW101" i="7" s="1"/>
  <c r="AT100" i="7"/>
  <c r="AT89" i="7"/>
  <c r="AQ97" i="7"/>
  <c r="AQ87" i="7"/>
  <c r="AB89" i="7"/>
  <c r="AB100" i="7"/>
  <c r="AJ100" i="7"/>
  <c r="AJ89" i="7"/>
  <c r="DT106" i="7"/>
  <c r="DT98" i="7"/>
  <c r="DT85" i="7"/>
  <c r="CP100" i="7" l="1"/>
  <c r="CP98" i="7"/>
  <c r="CP106" i="7"/>
  <c r="CP97" i="7"/>
  <c r="CP99" i="7"/>
  <c r="ED85" i="7"/>
  <c r="ED98" i="7"/>
  <c r="EF4" i="7"/>
  <c r="EE81" i="7"/>
  <c r="DK82" i="7"/>
  <c r="X89" i="7"/>
  <c r="X92" i="7" s="1"/>
  <c r="X93" i="7" s="1"/>
  <c r="EI3" i="7"/>
  <c r="CI92" i="7"/>
  <c r="CI93" i="7" s="1"/>
  <c r="CI101" i="7"/>
  <c r="AL92" i="7"/>
  <c r="AL93" i="7" s="1"/>
  <c r="AL100" i="7"/>
  <c r="AR87" i="7"/>
  <c r="AR89" i="7" s="1"/>
  <c r="AR97" i="7"/>
  <c r="DN83" i="7"/>
  <c r="DN87" i="7" s="1"/>
  <c r="DN100" i="7" s="1"/>
  <c r="DI87" i="7"/>
  <c r="DI89" i="7" s="1"/>
  <c r="AU100" i="7"/>
  <c r="AO89" i="7"/>
  <c r="AO101" i="7" s="1"/>
  <c r="AG101" i="7"/>
  <c r="AG92" i="7"/>
  <c r="AG93" i="7" s="1"/>
  <c r="AH92" i="7"/>
  <c r="AH93" i="7" s="1"/>
  <c r="AH101" i="7"/>
  <c r="AC92" i="7"/>
  <c r="AC93" i="7" s="1"/>
  <c r="AC101" i="7"/>
  <c r="AM89" i="7"/>
  <c r="AM100" i="7"/>
  <c r="AX92" i="7"/>
  <c r="AX93" i="7" s="1"/>
  <c r="AX101" i="7"/>
  <c r="AU101" i="7"/>
  <c r="AU92" i="7"/>
  <c r="AU93" i="7" s="1"/>
  <c r="AS101" i="7"/>
  <c r="AS92" i="7"/>
  <c r="AS93" i="7" s="1"/>
  <c r="W100" i="7"/>
  <c r="W89" i="7"/>
  <c r="AE100" i="7"/>
  <c r="AE89" i="7"/>
  <c r="Y101" i="7"/>
  <c r="Y92" i="7"/>
  <c r="Y93" i="7" s="1"/>
  <c r="BD101" i="7"/>
  <c r="BD92" i="7"/>
  <c r="BD93" i="7" s="1"/>
  <c r="AJ92" i="7"/>
  <c r="AJ93" i="7" s="1"/>
  <c r="AJ101" i="7"/>
  <c r="AA100" i="7"/>
  <c r="AA89" i="7"/>
  <c r="AW92" i="7"/>
  <c r="AW93" i="7" s="1"/>
  <c r="AV90" i="7"/>
  <c r="AV101" i="7" s="1"/>
  <c r="DU85" i="7"/>
  <c r="DU106" i="7"/>
  <c r="DU98" i="7"/>
  <c r="AK92" i="7"/>
  <c r="AK93" i="7" s="1"/>
  <c r="AK101" i="7"/>
  <c r="DM87" i="7"/>
  <c r="DM97" i="7"/>
  <c r="DN97" i="7" s="1"/>
  <c r="DO97" i="7" s="1"/>
  <c r="DM82" i="7"/>
  <c r="AP101" i="7"/>
  <c r="AP92" i="7"/>
  <c r="AP93" i="7" s="1"/>
  <c r="AD92" i="7"/>
  <c r="AD93" i="7" s="1"/>
  <c r="AD101" i="7"/>
  <c r="AB92" i="7"/>
  <c r="AB93" i="7" s="1"/>
  <c r="AB101" i="7"/>
  <c r="AI92" i="7"/>
  <c r="AI93" i="7" s="1"/>
  <c r="AI101" i="7"/>
  <c r="AQ100" i="7"/>
  <c r="AQ89" i="7"/>
  <c r="AT101" i="7"/>
  <c r="AT92" i="7"/>
  <c r="AT93" i="7" s="1"/>
  <c r="AF92" i="7"/>
  <c r="AF93" i="7" s="1"/>
  <c r="AF101" i="7"/>
  <c r="AN89" i="7"/>
  <c r="AN100" i="7"/>
  <c r="DI100" i="7" l="1"/>
  <c r="X101" i="7"/>
  <c r="DN89" i="7"/>
  <c r="EE85" i="7"/>
  <c r="EE98" i="7"/>
  <c r="EG4" i="7"/>
  <c r="EF81" i="7"/>
  <c r="EJ3" i="7"/>
  <c r="AO92" i="7"/>
  <c r="AO93" i="7" s="1"/>
  <c r="AR100" i="7"/>
  <c r="AE101" i="7"/>
  <c r="AE92" i="7"/>
  <c r="AE93" i="7" s="1"/>
  <c r="W101" i="7"/>
  <c r="W92" i="7"/>
  <c r="W93" i="7" s="1"/>
  <c r="AM92" i="7"/>
  <c r="AM93" i="7" s="1"/>
  <c r="AM101" i="7"/>
  <c r="AN101" i="7"/>
  <c r="AN92" i="7"/>
  <c r="AN93" i="7" s="1"/>
  <c r="AQ92" i="7"/>
  <c r="AQ93" i="7" s="1"/>
  <c r="AQ101" i="7"/>
  <c r="AA92" i="7"/>
  <c r="AA93" i="7" s="1"/>
  <c r="AA101" i="7"/>
  <c r="DV85" i="7"/>
  <c r="DV98" i="7"/>
  <c r="DV106" i="7"/>
  <c r="AR90" i="7"/>
  <c r="AR92" i="7" s="1"/>
  <c r="AR93" i="7" s="1"/>
  <c r="DP97" i="7"/>
  <c r="DO83" i="7"/>
  <c r="DM89" i="7"/>
  <c r="DM100" i="7"/>
  <c r="AV92" i="7"/>
  <c r="AV93" i="7" s="1"/>
  <c r="DI92" i="7"/>
  <c r="DI101" i="7"/>
  <c r="EH4" i="7" l="1"/>
  <c r="EG81" i="7"/>
  <c r="EK3" i="7"/>
  <c r="EF98" i="7"/>
  <c r="EF85" i="7"/>
  <c r="DW85" i="7"/>
  <c r="DW98" i="7"/>
  <c r="DW106" i="7"/>
  <c r="DM101" i="7"/>
  <c r="DM92" i="7"/>
  <c r="DM93" i="7" s="1"/>
  <c r="DO87" i="7"/>
  <c r="DO82" i="7"/>
  <c r="DQ97" i="7"/>
  <c r="DP83" i="7"/>
  <c r="DN90" i="7"/>
  <c r="AR101" i="7"/>
  <c r="EL3" i="7" l="1"/>
  <c r="EG98" i="7"/>
  <c r="EG85" i="7"/>
  <c r="EI4" i="7"/>
  <c r="EH81" i="7"/>
  <c r="DO89" i="7"/>
  <c r="DO100" i="7"/>
  <c r="DN101" i="7"/>
  <c r="DN92" i="7"/>
  <c r="DR97" i="7"/>
  <c r="DQ83" i="7"/>
  <c r="DP87" i="7"/>
  <c r="DP82" i="7"/>
  <c r="DX85" i="7"/>
  <c r="DX98" i="7"/>
  <c r="DX106" i="7"/>
  <c r="EH98" i="7" l="1"/>
  <c r="EH85" i="7"/>
  <c r="EJ4" i="7"/>
  <c r="EI81" i="7"/>
  <c r="DY106" i="7"/>
  <c r="DY85" i="7"/>
  <c r="DY98" i="7"/>
  <c r="DP100" i="7"/>
  <c r="DP89" i="7"/>
  <c r="DQ87" i="7"/>
  <c r="DQ82" i="7"/>
  <c r="DS97" i="7"/>
  <c r="DR83" i="7"/>
  <c r="DN93" i="7"/>
  <c r="DO90" i="7"/>
  <c r="DO101" i="7" s="1"/>
  <c r="EI98" i="7" l="1"/>
  <c r="EI85" i="7"/>
  <c r="EK4" i="7"/>
  <c r="EJ81" i="7"/>
  <c r="DR87" i="7"/>
  <c r="DR82" i="7"/>
  <c r="DT97" i="7"/>
  <c r="DS83" i="7"/>
  <c r="DQ100" i="7"/>
  <c r="DP90" i="7"/>
  <c r="DP101" i="7" s="1"/>
  <c r="DO92" i="7"/>
  <c r="DZ85" i="7"/>
  <c r="DZ98" i="7"/>
  <c r="DZ106" i="7"/>
  <c r="EJ85" i="7" l="1"/>
  <c r="EJ98" i="7"/>
  <c r="EL4" i="7"/>
  <c r="EL81" i="7" s="1"/>
  <c r="EK81" i="7"/>
  <c r="DP92" i="7"/>
  <c r="DP93" i="7" s="1"/>
  <c r="DS87" i="7"/>
  <c r="DS82" i="7"/>
  <c r="EA98" i="7"/>
  <c r="EA85" i="7"/>
  <c r="EA106" i="7"/>
  <c r="DO93" i="7"/>
  <c r="DU97" i="7"/>
  <c r="DT83" i="7"/>
  <c r="DR100" i="7"/>
  <c r="EB85" i="7"/>
  <c r="EB98" i="7"/>
  <c r="EB106" i="7"/>
  <c r="EK85" i="7" l="1"/>
  <c r="EK98" i="7"/>
  <c r="EL85" i="7"/>
  <c r="EL98" i="7"/>
  <c r="DP103" i="7"/>
  <c r="DQ88" i="7" s="1"/>
  <c r="DQ89" i="7" s="1"/>
  <c r="DU83" i="7"/>
  <c r="DT87" i="7"/>
  <c r="DT82" i="7"/>
  <c r="DS100" i="7"/>
  <c r="DT100" i="7" l="1"/>
  <c r="DQ90" i="7"/>
  <c r="DQ101" i="7" s="1"/>
  <c r="DU87" i="7"/>
  <c r="DU82" i="7"/>
  <c r="DV83" i="7"/>
  <c r="DV87" i="7" l="1"/>
  <c r="DV82" i="7"/>
  <c r="DW83" i="7"/>
  <c r="DU100" i="7"/>
  <c r="DQ92" i="7"/>
  <c r="DW87" i="7" l="1"/>
  <c r="DW82" i="7"/>
  <c r="DQ93" i="7"/>
  <c r="DQ103" i="7"/>
  <c r="DX83" i="7"/>
  <c r="DV100" i="7"/>
  <c r="DY83" i="7" l="1"/>
  <c r="DX87" i="7"/>
  <c r="DX82" i="7"/>
  <c r="DR88" i="7"/>
  <c r="DR89" i="7" s="1"/>
  <c r="DW100" i="7"/>
  <c r="DR90" i="7" l="1"/>
  <c r="DR101" i="7" s="1"/>
  <c r="DX100" i="7"/>
  <c r="DY87" i="7"/>
  <c r="DY82" i="7"/>
  <c r="DZ83" i="7"/>
  <c r="EA83" i="7" l="1"/>
  <c r="DZ87" i="7"/>
  <c r="DZ82" i="7"/>
  <c r="DY100" i="7"/>
  <c r="DR92" i="7"/>
  <c r="EB83" i="7" l="1"/>
  <c r="EB87" i="7" s="1"/>
  <c r="DR93" i="7"/>
  <c r="DR103" i="7"/>
  <c r="DZ100" i="7"/>
  <c r="EA87" i="7"/>
  <c r="EA82" i="7"/>
  <c r="EB82" i="7" l="1"/>
  <c r="EC83" i="7"/>
  <c r="EA100" i="7"/>
  <c r="EB100" i="7"/>
  <c r="DS88" i="7"/>
  <c r="DS89" i="7" s="1"/>
  <c r="EC82" i="7" l="1"/>
  <c r="EC87" i="7"/>
  <c r="ED83" i="7"/>
  <c r="DS90" i="7"/>
  <c r="DS101" i="7" s="1"/>
  <c r="ED82" i="7" l="1"/>
  <c r="ED87" i="7"/>
  <c r="EC100" i="7"/>
  <c r="EC89" i="7"/>
  <c r="EE83" i="7"/>
  <c r="DS92" i="7"/>
  <c r="DS93" i="7" s="1"/>
  <c r="EE82" i="7" l="1"/>
  <c r="EE87" i="7"/>
  <c r="EC101" i="7"/>
  <c r="EC92" i="7"/>
  <c r="ED100" i="7"/>
  <c r="ED89" i="7"/>
  <c r="EF83" i="7"/>
  <c r="DS103" i="7"/>
  <c r="DT88" i="7" s="1"/>
  <c r="DT89" i="7" s="1"/>
  <c r="EF82" i="7" l="1"/>
  <c r="EF87" i="7"/>
  <c r="ED101" i="7"/>
  <c r="ED92" i="7"/>
  <c r="EE100" i="7"/>
  <c r="EE89" i="7"/>
  <c r="EG83" i="7"/>
  <c r="DT90" i="7"/>
  <c r="DT101" i="7" s="1"/>
  <c r="EG82" i="7" l="1"/>
  <c r="EG87" i="7"/>
  <c r="EE101" i="7"/>
  <c r="EE92" i="7"/>
  <c r="EF100" i="7"/>
  <c r="EF89" i="7"/>
  <c r="EH83" i="7"/>
  <c r="DT92" i="7"/>
  <c r="DT93" i="7" s="1"/>
  <c r="EH82" i="7" l="1"/>
  <c r="EH87" i="7"/>
  <c r="EF101" i="7"/>
  <c r="EF92" i="7"/>
  <c r="EG89" i="7"/>
  <c r="EG100" i="7"/>
  <c r="EI83" i="7"/>
  <c r="DT103" i="7"/>
  <c r="DU88" i="7" s="1"/>
  <c r="DU89" i="7" s="1"/>
  <c r="EI82" i="7" l="1"/>
  <c r="EI87" i="7"/>
  <c r="EG92" i="7"/>
  <c r="EG101" i="7"/>
  <c r="EH89" i="7"/>
  <c r="EH100" i="7"/>
  <c r="EJ83" i="7"/>
  <c r="DU90" i="7"/>
  <c r="DU101" i="7" s="1"/>
  <c r="EJ82" i="7" l="1"/>
  <c r="EJ87" i="7"/>
  <c r="EH101" i="7"/>
  <c r="EH92" i="7"/>
  <c r="EI100" i="7"/>
  <c r="EI89" i="7"/>
  <c r="EL83" i="7"/>
  <c r="EK83" i="7"/>
  <c r="DU92" i="7"/>
  <c r="DU93" i="7" s="1"/>
  <c r="EK82" i="7" l="1"/>
  <c r="EK87" i="7"/>
  <c r="EL82" i="7"/>
  <c r="EL87" i="7"/>
  <c r="EI101" i="7"/>
  <c r="EI92" i="7"/>
  <c r="EJ89" i="7"/>
  <c r="EJ100" i="7"/>
  <c r="DU103" i="7"/>
  <c r="DV88" i="7" s="1"/>
  <c r="DV89" i="7" s="1"/>
  <c r="EJ101" i="7" l="1"/>
  <c r="EJ92" i="7"/>
  <c r="EL89" i="7"/>
  <c r="EL100" i="7"/>
  <c r="EK100" i="7"/>
  <c r="EK89" i="7"/>
  <c r="DV90" i="7"/>
  <c r="DV101" i="7" s="1"/>
  <c r="EK101" i="7" l="1"/>
  <c r="EK92" i="7"/>
  <c r="EL92" i="7"/>
  <c r="EL101" i="7"/>
  <c r="DV92" i="7"/>
  <c r="DV93" i="7" s="1"/>
  <c r="DV103" i="7" l="1"/>
  <c r="DW88" i="7" s="1"/>
  <c r="DW89" i="7" s="1"/>
  <c r="DW90" i="7" l="1"/>
  <c r="DW101" i="7" s="1"/>
  <c r="DW92" i="7" l="1"/>
  <c r="DW93" i="7" s="1"/>
  <c r="DW103" i="7" l="1"/>
  <c r="DX88" i="7" s="1"/>
  <c r="DX89" i="7" s="1"/>
  <c r="DX90" i="7" l="1"/>
  <c r="DX101" i="7" s="1"/>
  <c r="DX92" i="7" l="1"/>
  <c r="DX93" i="7" l="1"/>
  <c r="DX103" i="7"/>
  <c r="DY88" i="7" l="1"/>
  <c r="DY89" i="7" s="1"/>
  <c r="DY90" i="7" l="1"/>
  <c r="DY101" i="7" s="1"/>
  <c r="DY92" i="7" l="1"/>
  <c r="DY93" i="7" s="1"/>
  <c r="DY103" i="7" l="1"/>
  <c r="DZ88" i="7" s="1"/>
  <c r="DZ89" i="7" s="1"/>
  <c r="DZ90" i="7" l="1"/>
  <c r="DZ101" i="7" s="1"/>
  <c r="DZ92" i="7" l="1"/>
  <c r="DZ93" i="7" s="1"/>
  <c r="DZ103" i="7" l="1"/>
  <c r="EA88" i="7" s="1"/>
  <c r="EA89" i="7" s="1"/>
  <c r="EA90" i="7" l="1"/>
  <c r="EA101" i="7" s="1"/>
  <c r="EA92" i="7" l="1"/>
  <c r="EA93" i="7" l="1"/>
  <c r="EA103" i="7"/>
  <c r="EB88" i="7" l="1"/>
  <c r="EB89" i="7" s="1"/>
  <c r="EB90" i="7" l="1"/>
  <c r="EB101" i="7" s="1"/>
  <c r="EB92" i="7" l="1"/>
  <c r="EB93" i="7" l="1"/>
  <c r="EM92" i="7"/>
  <c r="EN92" i="7" s="1"/>
  <c r="EO92" i="7" s="1"/>
  <c r="EP92" i="7" s="1"/>
  <c r="EQ92" i="7" s="1"/>
  <c r="ER92" i="7" s="1"/>
  <c r="ES92" i="7" s="1"/>
  <c r="ET92" i="7" s="1"/>
  <c r="EU92" i="7" s="1"/>
  <c r="EV92" i="7" s="1"/>
  <c r="EW92" i="7" s="1"/>
  <c r="EX92" i="7" s="1"/>
  <c r="EY92" i="7" s="1"/>
  <c r="EZ92" i="7" s="1"/>
  <c r="FA92" i="7" s="1"/>
  <c r="FB92" i="7" s="1"/>
  <c r="FC92" i="7" s="1"/>
  <c r="FD92" i="7" s="1"/>
  <c r="FE92" i="7" s="1"/>
  <c r="FF92" i="7" s="1"/>
  <c r="FG92" i="7" s="1"/>
  <c r="FH92" i="7" s="1"/>
  <c r="FI92" i="7" s="1"/>
  <c r="FJ92" i="7" s="1"/>
  <c r="FK92" i="7" s="1"/>
  <c r="FL92" i="7" s="1"/>
  <c r="FM92" i="7" s="1"/>
  <c r="FN92" i="7" s="1"/>
  <c r="FO92" i="7" s="1"/>
  <c r="FP92" i="7" s="1"/>
  <c r="FQ92" i="7" s="1"/>
  <c r="FR92" i="7" s="1"/>
  <c r="FS92" i="7" s="1"/>
  <c r="FT92" i="7" s="1"/>
  <c r="FU92" i="7" s="1"/>
  <c r="FV92" i="7" s="1"/>
  <c r="FW92" i="7" s="1"/>
  <c r="FX92" i="7" s="1"/>
  <c r="FY92" i="7" s="1"/>
  <c r="FZ92" i="7" s="1"/>
  <c r="GA92" i="7" s="1"/>
  <c r="GB92" i="7" s="1"/>
  <c r="GC92" i="7" s="1"/>
  <c r="GD92" i="7" s="1"/>
  <c r="GE92" i="7" s="1"/>
  <c r="GF92" i="7" s="1"/>
  <c r="GG92" i="7" s="1"/>
  <c r="GH92" i="7" s="1"/>
  <c r="GI92" i="7" s="1"/>
  <c r="GJ92" i="7" s="1"/>
  <c r="GK92" i="7" s="1"/>
  <c r="GL92" i="7" s="1"/>
  <c r="GM92" i="7" s="1"/>
  <c r="GN92" i="7" s="1"/>
  <c r="GO92" i="7" s="1"/>
  <c r="GP92" i="7" s="1"/>
  <c r="GQ92" i="7" s="1"/>
  <c r="EO99" i="7" s="1"/>
  <c r="EO100" i="7" s="1"/>
  <c r="EB103" i="7"/>
  <c r="BR8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tc={6DCB1BC1-8D2E-4EF8-B674-A4FBAAB84212}</author>
    <author>tc={9F14EA27-52F6-4D58-A621-BE9B3020F31F}</author>
    <author>MSMB</author>
    <author>Martin</author>
    <author xml:space="preserve"> </author>
    <author>tc={8323C141-3819-4911-BF8C-26B7E5B6D8CB}</author>
  </authors>
  <commentList>
    <comment ref="CK5" authorId="0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EB8" authorId="1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K12" authorId="2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AM14" authorId="3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Q14" authorId="4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7" authorId="5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S17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J18" authorId="5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8" authorId="3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B25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AP39" authorId="3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39" authorId="4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AM53" authorId="3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55" authorId="3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O56" authorId="4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P56" authorId="4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T56" authorId="4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DN81" authorId="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AS86" authorId="4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M90" authorId="3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CK93" authorId="6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DM93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AJ106" authorId="5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M106" authorId="3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AM112" authorId="3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</commentList>
</comments>
</file>

<file path=xl/sharedStrings.xml><?xml version="1.0" encoding="utf-8"?>
<sst xmlns="http://schemas.openxmlformats.org/spreadsheetml/2006/main" count="828" uniqueCount="654">
  <si>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</si>
  <si>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</si>
  <si>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</si>
  <si>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</si>
  <si>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</si>
  <si>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</si>
  <si>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</si>
  <si>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</si>
  <si>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</si>
  <si>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</si>
  <si>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</si>
  <si>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</si>
  <si>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</si>
  <si>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</si>
  <si>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</si>
  <si>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</si>
  <si>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</si>
  <si>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</si>
  <si>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</si>
  <si>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</si>
  <si>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</si>
  <si>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</si>
  <si>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</si>
  <si>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</si>
  <si>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</si>
  <si>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</si>
  <si>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</si>
  <si>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</si>
  <si>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</si>
  <si>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</si>
  <si>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</si>
  <si>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</si>
  <si>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</si>
  <si>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</si>
  <si>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</si>
  <si>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</si>
  <si>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</si>
  <si>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</si>
  <si>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</si>
  <si>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</si>
  <si>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</si>
  <si>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</si>
  <si>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</si>
  <si>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</si>
  <si>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</si>
  <si>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</si>
  <si>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</si>
  <si>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</si>
  <si>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</si>
  <si>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</si>
  <si>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</si>
  <si>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</si>
  <si>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</si>
  <si>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</si>
  <si>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</si>
  <si>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</si>
  <si>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</si>
  <si>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</si>
  <si>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</si>
  <si>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I/II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</si>
  <si>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</si>
  <si>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</si>
  <si>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</si>
  <si>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</si>
  <si>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</si>
  <si>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</si>
  <si>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</si>
  <si>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</si>
  <si>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</si>
  <si>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</si>
  <si>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</si>
  <si>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</si>
  <si>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</si>
  <si>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</si>
  <si>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</si>
  <si>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</si>
  <si>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</si>
  <si>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</si>
  <si>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</si>
  <si>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</si>
  <si>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</si>
  <si>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</si>
  <si>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</si>
  <si>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</si>
  <si>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</si>
  <si>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</si>
  <si>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</si>
  <si>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</si>
  <si>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</si>
  <si>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</si>
  <si>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</si>
  <si>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</si>
  <si>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</si>
  <si>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</si>
  <si>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</si>
  <si>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</si>
  <si>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</si>
  <si>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</si>
  <si>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</si>
  <si>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</si>
  <si>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</si>
  <si>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</si>
  <si>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</si>
  <si>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</si>
  <si>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</si>
  <si>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</si>
  <si>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</si>
  <si>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</si>
  <si>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</si>
  <si>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</si>
  <si>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</si>
  <si>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</si>
  <si>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</si>
  <si>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</si>
  <si>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chemokine antagonist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</si>
  <si>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</si>
  <si>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</si>
  <si>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</si>
  <si>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</si>
  <si>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</si>
  <si>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</si>
  <si>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</si>
  <si>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</si>
  <si>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</si>
  <si>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</si>
  <si>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</si>
  <si>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</si>
  <si>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</si>
  <si>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</si>
  <si>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</si>
  <si>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</si>
  <si>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</si>
  <si>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</si>
  <si>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</si>
  <si>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</si>
  <si>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</si>
  <si>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</si>
  <si>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</si>
  <si>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</si>
  <si>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</si>
  <si>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</si>
  <si>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</si>
  <si>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</si>
  <si>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</si>
  <si>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</si>
  <si>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</si>
  <si>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</si>
  <si>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</si>
  <si>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</si>
  <si>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</si>
  <si>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</si>
  <si>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</si>
  <si>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</si>
  <si>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</si>
  <si>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</si>
  <si>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</si>
  <si>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</si>
  <si>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</si>
  <si>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</si>
  <si>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</si>
  <si>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</si>
  <si>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</si>
  <si>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</si>
  <si>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</si>
  <si>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</si>
  <si>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</si>
  <si>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</si>
  <si>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</si>
  <si>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</si>
  <si>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</si>
  <si>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</si>
  <si>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</si>
  <si>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</si>
  <si>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</si>
  <si>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</si>
  <si>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</si>
  <si>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</si>
  <si>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</si>
  <si>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</si>
  <si>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</si>
  <si>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</si>
  <si>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</si>
  <si>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</si>
  <si>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</si>
  <si>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</si>
  <si>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</si>
  <si>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</si>
  <si>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</si>
  <si>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(GI)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</si>
  <si>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</si>
  <si>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</si>
  <si>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</si>
  <si>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</si>
  <si>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</si>
  <si>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</si>
  <si>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</si>
  <si>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</si>
  <si>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</si>
  <si>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</si>
  <si>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</si>
  <si>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</si>
  <si>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</si>
  <si>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</si>
  <si>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</si>
  <si>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</si>
  <si>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</si>
  <si>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</si>
  <si>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</si>
  <si>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</si>
  <si>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</si>
  <si>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</si>
  <si>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</si>
  <si>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</si>
  <si>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</si>
  <si>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</si>
  <si>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</si>
  <si>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</si>
  <si>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</si>
  <si>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</si>
  <si>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</si>
  <si>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</si>
  <si>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</si>
  <si>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</si>
  <si>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</si>
  <si>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</si>
  <si>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</si>
  <si>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</si>
  <si>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</si>
  <si>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</si>
  <si>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</si>
  <si>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</si>
  <si>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</si>
  <si>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</si>
  <si>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</si>
  <si>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</si>
  <si>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</si>
  <si>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</si>
  <si>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</si>
  <si>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</si>
  <si>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</si>
  <si>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</si>
  <si>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</si>
  <si>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</si>
  <si>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</si>
  <si>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</si>
  <si>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</si>
  <si>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</si>
  <si>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</si>
  <si>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</si>
  <si>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</si>
  <si>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</si>
  <si>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</si>
  <si>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6370</t>
  </si>
  <si>
    <t>Diabetes</t>
  </si>
  <si>
    <t>GK Activator</t>
  </si>
  <si>
    <t>Pain</t>
  </si>
  <si>
    <t>1386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</si>
  <si>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</si>
  <si>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</si>
  <si>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</si>
  <si>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</si>
  <si>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</si>
  <si>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</si>
  <si>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</si>
  <si>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</si>
  <si>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</si>
  <si>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</si>
  <si>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</si>
  <si>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</si>
  <si>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</si>
  <si>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</si>
  <si>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</si>
  <si>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</si>
  <si>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</si>
  <si>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</si>
  <si>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</si>
  <si>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</si>
  <si>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</si>
  <si>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</si>
  <si>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</si>
  <si>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</si>
  <si>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</si>
  <si>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</si>
  <si>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</si>
  <si>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</si>
  <si>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</si>
  <si>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</si>
  <si>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</si>
  <si>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</si>
  <si>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</si>
  <si>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</si>
  <si>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</si>
  <si>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</si>
  <si>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</si>
  <si>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</si>
  <si>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</si>
  <si>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</si>
  <si>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</si>
  <si>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</si>
  <si>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</si>
  <si>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</si>
  <si>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</si>
  <si>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</si>
  <si>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</si>
  <si>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</si>
  <si>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</si>
  <si>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</si>
  <si>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</si>
  <si>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</si>
  <si>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</si>
  <si>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</si>
  <si>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</si>
  <si>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</si>
  <si>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</si>
  <si>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</si>
  <si>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</si>
  <si>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</si>
  <si>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</si>
  <si>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</si>
  <si>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</si>
  <si>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</si>
  <si>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MEDI-545</t>
  </si>
  <si>
    <t>SLE</t>
  </si>
  <si>
    <t>Anti-interferon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</si>
  <si>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</si>
  <si>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</si>
  <si>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</si>
  <si>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</si>
  <si>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</si>
  <si>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</si>
  <si>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</si>
  <si>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</si>
  <si>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</si>
  <si>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PDGF</t>
  </si>
  <si>
    <t>Epha2</t>
  </si>
  <si>
    <t>SGEN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</si>
  <si>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</si>
  <si>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</si>
  <si>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</si>
  <si>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</si>
  <si>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</si>
  <si>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</si>
  <si>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</si>
  <si>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</si>
  <si>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</si>
  <si>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</si>
  <si>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</si>
  <si>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</si>
  <si>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</si>
  <si>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</si>
  <si>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</si>
  <si>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</si>
  <si>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</si>
  <si>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</si>
  <si>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</si>
  <si>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</si>
  <si>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</si>
  <si>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</si>
  <si>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</si>
  <si>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</si>
  <si>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</si>
  <si>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</si>
  <si>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</si>
  <si>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</si>
  <si>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</si>
  <si>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</si>
  <si>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</si>
  <si>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7295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</si>
  <si>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</si>
  <si>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</si>
  <si>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</si>
  <si>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</si>
  <si>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</si>
  <si>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</si>
  <si>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</si>
  <si>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</si>
  <si>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</si>
  <si>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</si>
  <si>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</si>
  <si>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</si>
  <si>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</si>
  <si>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</si>
  <si>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Scleroderma</t>
  </si>
  <si>
    <t>AZD3342</t>
  </si>
  <si>
    <t>AZD0328</t>
  </si>
  <si>
    <t>AZD2479</t>
  </si>
  <si>
    <t>AZD6610</t>
  </si>
  <si>
    <t>Movatizumab/Numax</t>
  </si>
  <si>
    <t>AZD7009</t>
  </si>
  <si>
    <t>Exanta</t>
  </si>
  <si>
    <t>6765</t>
  </si>
  <si>
    <t>Depression</t>
  </si>
  <si>
    <t>Enkephalinergic</t>
  </si>
  <si>
    <t>AZD5180</t>
  </si>
  <si>
    <t>AZD2043</t>
  </si>
  <si>
    <t>6482</t>
  </si>
  <si>
    <t>PI3K-beta</t>
  </si>
  <si>
    <t>4017</t>
  </si>
  <si>
    <t>11BHSD</t>
  </si>
  <si>
    <t>8329</t>
  </si>
  <si>
    <t>7687</t>
  </si>
  <si>
    <t>DAT-1</t>
  </si>
  <si>
    <t>3355 (lesogaberan)</t>
  </si>
  <si>
    <t>2066</t>
  </si>
  <si>
    <t>MEDI-546</t>
  </si>
  <si>
    <t>mGlu5 antagonist</t>
  </si>
  <si>
    <t>2516</t>
  </si>
  <si>
    <t>ADHD</t>
  </si>
  <si>
    <t>NMDA</t>
  </si>
  <si>
    <t>2327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</si>
  <si>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</si>
  <si>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</si>
  <si>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</si>
  <si>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</si>
  <si>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</si>
  <si>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</si>
  <si>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</si>
  <si>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</si>
  <si>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</si>
  <si>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</si>
  <si>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</si>
  <si>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</si>
  <si>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</si>
  <si>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</si>
  <si>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</si>
  <si>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</si>
  <si>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</si>
  <si>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</si>
  <si>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</si>
  <si>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</si>
  <si>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</si>
  <si>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</si>
  <si>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</si>
  <si>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</si>
  <si>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</si>
  <si>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</si>
  <si>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</si>
  <si>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</si>
  <si>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</si>
  <si>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</si>
  <si>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</si>
  <si>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</si>
  <si>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</si>
  <si>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</si>
  <si>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</si>
  <si>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</si>
  <si>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</si>
  <si>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</si>
  <si>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</si>
  <si>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</si>
  <si>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</si>
  <si>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</si>
  <si>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</si>
  <si>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</si>
  <si>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</si>
  <si>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</si>
  <si>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</si>
  <si>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</si>
  <si>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</si>
  <si>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</si>
  <si>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</si>
  <si>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</si>
  <si>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</si>
  <si>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</si>
  <si>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</si>
  <si>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</si>
  <si>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</si>
  <si>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</si>
  <si>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</si>
  <si>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</si>
  <si>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</si>
  <si>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</si>
  <si>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</si>
  <si>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</si>
  <si>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</si>
  <si>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</si>
  <si>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</si>
  <si>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</si>
  <si>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</si>
  <si>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</si>
  <si>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</si>
  <si>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</si>
  <si>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</si>
  <si>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</si>
  <si>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</si>
  <si>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AZD-1152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</si>
  <si>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</si>
  <si>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</si>
  <si>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</si>
  <si>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</si>
  <si>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</si>
  <si>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</si>
  <si>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</si>
  <si>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</si>
  <si>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</si>
  <si>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</si>
  <si>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</si>
  <si>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</si>
  <si>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</si>
  <si>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</si>
  <si>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</si>
  <si>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</si>
  <si>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</si>
  <si>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</si>
  <si>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</si>
  <si>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</si>
  <si>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</si>
  <si>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</si>
  <si>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</si>
  <si>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</si>
  <si>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</si>
  <si>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</si>
  <si>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</si>
  <si>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</si>
  <si>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</si>
  <si>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</si>
  <si>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</si>
  <si>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</si>
  <si>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</si>
  <si>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</si>
  <si>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</si>
  <si>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</si>
  <si>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</si>
  <si>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</si>
  <si>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</si>
  <si>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</si>
  <si>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</si>
  <si>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</si>
  <si>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</si>
  <si>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</si>
  <si>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</si>
  <si>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</si>
  <si>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</si>
  <si>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</si>
  <si>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</si>
  <si>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</si>
  <si>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</si>
  <si>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</si>
  <si>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</si>
  <si>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</si>
  <si>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</si>
  <si>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</si>
  <si>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</si>
  <si>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</si>
  <si>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</si>
  <si>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</si>
  <si>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</si>
  <si>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</si>
  <si>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</si>
  <si>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</si>
  <si>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</si>
  <si>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</si>
  <si>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</si>
  <si>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</si>
  <si>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7/29/22: 1H22 results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</si>
  <si>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</si>
  <si>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</si>
  <si>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</si>
  <si>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</si>
  <si>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</si>
  <si>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</si>
  <si>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</si>
  <si>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</si>
  <si>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</si>
  <si>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</si>
  <si>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</si>
  <si>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</si>
  <si>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</si>
  <si>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</si>
  <si>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</si>
  <si>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</si>
  <si>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</si>
  <si>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</si>
  <si>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</si>
  <si>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</si>
  <si>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</si>
  <si>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</si>
  <si>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</si>
  <si>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</si>
  <si>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</si>
  <si>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</si>
  <si>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</si>
  <si>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</si>
  <si>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</si>
  <si>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</si>
  <si>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</si>
  <si>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</si>
  <si>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</si>
  <si>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</si>
  <si>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EGFRm NSCLC</t>
  </si>
  <si>
    <t>EGFR inhibitor</t>
  </si>
  <si>
    <t>EGFR TKI</t>
  </si>
  <si>
    <t>ADD0837 (atecegatran)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</si>
  <si>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</si>
  <si>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</si>
  <si>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</si>
  <si>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</si>
  <si>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</si>
  <si>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</si>
  <si>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</si>
  <si>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</si>
  <si>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</si>
  <si>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MRK, ARRY/PFE</t>
  </si>
  <si>
    <t>ARRY/PFE, MRK</t>
  </si>
  <si>
    <t>NF1</t>
  </si>
  <si>
    <t>AZD1480</t>
  </si>
  <si>
    <t>MPN</t>
  </si>
  <si>
    <t>Imfinzi (durvalumab), FKA MEDI-4736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</si>
  <si>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</si>
  <si>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</si>
  <si>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</si>
  <si>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</si>
  <si>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</si>
  <si>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</si>
  <si>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</si>
  <si>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</si>
  <si>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</si>
  <si>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</si>
  <si>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</si>
  <si>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</si>
  <si>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</si>
  <si>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</si>
  <si>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</si>
  <si>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</si>
  <si>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</si>
  <si>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</si>
  <si>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</si>
  <si>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</si>
  <si>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</si>
  <si>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</si>
  <si>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Once part of BMY diabetes alliance</t>
  </si>
  <si>
    <t>6515117 COM expires 2025</t>
  </si>
  <si>
    <t>10973836 MOU expires 2040!</t>
  </si>
  <si>
    <t>CEO: Pascal Soriot</t>
  </si>
  <si>
    <t>Q124</t>
  </si>
  <si>
    <t>Q224</t>
  </si>
  <si>
    <t>Q324</t>
  </si>
  <si>
    <t>Q424</t>
  </si>
  <si>
    <t>Q125</t>
  </si>
  <si>
    <t>Q225</t>
  </si>
  <si>
    <t>Q325</t>
  </si>
  <si>
    <t>Q425</t>
  </si>
  <si>
    <t>Imjudo (tremelimumab)</t>
  </si>
  <si>
    <t>Imfinzi (durvalumab)</t>
  </si>
  <si>
    <t>Truqap (capivasertib)</t>
  </si>
  <si>
    <t>Wainua (eplontersen)</t>
  </si>
  <si>
    <t>Tezspire (tezepelumab)</t>
  </si>
  <si>
    <t>Airsupra (albuterol/budesonide)</t>
  </si>
  <si>
    <t>Beyfortus (nirsevimab)</t>
  </si>
  <si>
    <t>Movantik</t>
  </si>
  <si>
    <t>Symlin</t>
  </si>
  <si>
    <t>Duaklir</t>
  </si>
  <si>
    <t>Tudorza</t>
  </si>
  <si>
    <t>Qtern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</si>
</sst>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2" borderId="4" xfId="0" quotePrefix="1" applyFill="1" applyBorder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4" fillId="2" borderId="0" xfId="0" applyFont="1" applyFill="1" applyAlignment="1">
      <alignment horizontal="center"/>
    </xf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9" fontId="4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2" fillId="2" borderId="0" xfId="3" applyFill="1" applyBorder="1" applyAlignment="1" applyProtection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  <xf numFmtId="166" fontId="1" fillId="2" borderId="0" xfId="0" applyNumberFormat="1" applyFont="1" applyFill="1"/>
    <xf numFmtId="0" fontId="0" fillId="2" borderId="0" xfId="0" applyFill="1" applyBorder="1"/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9" fontId="5" fillId="0" borderId="0" xfId="2" applyNumberFormat="1" applyFont="1" applyFill="1" applyAlignment="1">
      <alignment horizontal="right"/>
    </xf>
    <xf numFmtId="3" fontId="1" fillId="0" borderId="0" xfId="2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50363</xdr:colOff>
      <xdr:row>0</xdr:row>
      <xdr:rowOff>0</xdr:rowOff>
    </xdr:from>
    <xdr:to>
      <xdr:col>96</xdr:col>
      <xdr:colOff>50363</xdr:colOff>
      <xdr:row>126</xdr:row>
      <xdr:rowOff>38100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9825604" y="0"/>
          <a:ext cx="0" cy="201829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19050</xdr:colOff>
      <xdr:row>0</xdr:row>
      <xdr:rowOff>0</xdr:rowOff>
    </xdr:from>
    <xdr:to>
      <xdr:col>118</xdr:col>
      <xdr:colOff>19050</xdr:colOff>
      <xdr:row>126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31422975" y="0"/>
          <a:ext cx="0" cy="14954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24</xdr:row>
      <xdr:rowOff>105276</xdr:rowOff>
    </xdr:from>
    <xdr:to>
      <xdr:col>14</xdr:col>
      <xdr:colOff>588544</xdr:colOff>
      <xdr:row>39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B8" dT="2023-01-03T03:18:16.36" personId="{A895112F-5F85-4B64-BDC7-EC2B8A981C44}" id="{6DCB1BC1-8D2E-4EF8-B674-A4FBAAB84212}">
    <text>Most patents expire 2024</text>
  </threadedComment>
  <threadedComment ref="CK12" dT="2023-01-03T02:57:13.37" personId="{A895112F-5F85-4B64-BDC7-EC2B8A981C44}" id="{9F14EA27-52F6-4D58-A621-BE9B3020F31F}">
    <text>7/21/21 acquisition close</text>
  </threadedComment>
  <threadedComment ref="CK93" dT="2023-01-03T02:56:36.43" personId="{A895112F-5F85-4B64-BDC7-EC2B8A981C44}" id="{8323C141-3819-4911-BF8C-26B7E5B6D8CB}">
    <text>Core 1.67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I80"/>
  <sheetViews>
    <sheetView topLeftCell="A42" workbookViewId="0">
      <selection activeCell="B78" sqref="B78:B80"/>
    </sheetView>
  </sheetViews>
  <sheetFormatPr baseColWidth="10" defaultColWidth="8.83203125" defaultRowHeight="13"/>
  <sheetData>
    <row r="2" spans="2:9">
      <c r="B2" s="61" t="s">
        <v>446</v>
      </c>
    </row>
    <row r="3" spans="2:9">
      <c r="B3" s="11" t="s">
        <v>36</v>
      </c>
    </row>
    <row r="4" spans="2:9">
      <c r="B4" s="11" t="s">
        <v>37</v>
      </c>
    </row>
    <row r="5" spans="2:9">
      <c r="B5" s="11" t="s">
        <v>42</v>
      </c>
    </row>
    <row r="6" spans="2:9">
      <c r="B6" s="34" t="s">
        <v>283</v>
      </c>
      <c r="C6" s="7" t="s">
        <v>96</v>
      </c>
      <c r="D6" s="7" t="s">
        <v>208</v>
      </c>
      <c r="E6" s="41">
        <v>40298</v>
      </c>
      <c r="F6" s="22" t="s">
        <v>421</v>
      </c>
      <c r="G6" s="22" t="s">
        <v>422</v>
      </c>
      <c r="H6" s="22" t="s">
        <v>95</v>
      </c>
      <c r="I6" s="42" t="s">
        <v>423</v>
      </c>
    </row>
    <row r="7" spans="2:9">
      <c r="B7" s="5" t="s">
        <v>119</v>
      </c>
      <c r="C7" s="7" t="s">
        <v>121</v>
      </c>
      <c r="D7" s="6" t="s">
        <v>120</v>
      </c>
      <c r="E7" s="6"/>
      <c r="F7" s="7" t="s">
        <v>214</v>
      </c>
    </row>
    <row r="8" spans="2:9">
      <c r="B8" s="39" t="s">
        <v>338</v>
      </c>
      <c r="C8" s="22" t="s">
        <v>339</v>
      </c>
      <c r="D8" s="22" t="s">
        <v>572</v>
      </c>
      <c r="E8" s="22" t="s">
        <v>52</v>
      </c>
      <c r="F8" s="22" t="s">
        <v>411</v>
      </c>
    </row>
    <row r="9" spans="2:9">
      <c r="B9" s="13" t="s">
        <v>296</v>
      </c>
      <c r="C9" s="7" t="s">
        <v>82</v>
      </c>
      <c r="D9" s="6"/>
      <c r="E9" s="6"/>
      <c r="F9" s="7"/>
      <c r="G9" s="7" t="s">
        <v>95</v>
      </c>
    </row>
    <row r="10" spans="2:9">
      <c r="B10" s="124"/>
      <c r="C10" s="7"/>
      <c r="D10" s="6"/>
      <c r="E10" s="6"/>
      <c r="F10" s="7"/>
      <c r="G10" s="7"/>
    </row>
    <row r="11" spans="2:9">
      <c r="B11" s="13" t="s">
        <v>447</v>
      </c>
      <c r="C11" s="7" t="s">
        <v>82</v>
      </c>
      <c r="D11" s="6"/>
      <c r="E11" s="6"/>
      <c r="F11" s="7"/>
      <c r="G11" s="7" t="s">
        <v>95</v>
      </c>
    </row>
    <row r="12" spans="2:9">
      <c r="B12" s="13" t="s">
        <v>291</v>
      </c>
      <c r="C12" s="7" t="s">
        <v>96</v>
      </c>
      <c r="D12" s="6">
        <v>1</v>
      </c>
      <c r="E12" s="6"/>
      <c r="F12" s="7" t="s">
        <v>163</v>
      </c>
      <c r="G12" s="7" t="s">
        <v>95</v>
      </c>
      <c r="H12" s="31"/>
    </row>
    <row r="13" spans="2:9">
      <c r="B13" s="13" t="s">
        <v>318</v>
      </c>
      <c r="C13" s="7" t="s">
        <v>60</v>
      </c>
      <c r="D13" s="6" t="s">
        <v>58</v>
      </c>
      <c r="E13" s="41">
        <v>37845</v>
      </c>
      <c r="F13" s="7" t="s">
        <v>162</v>
      </c>
      <c r="G13" s="7" t="s">
        <v>95</v>
      </c>
      <c r="H13" s="8"/>
    </row>
    <row r="14" spans="2:9">
      <c r="B14" s="13" t="s">
        <v>319</v>
      </c>
      <c r="C14" s="7" t="s">
        <v>94</v>
      </c>
      <c r="D14" s="6">
        <v>1</v>
      </c>
      <c r="E14" s="23">
        <v>39219</v>
      </c>
      <c r="F14" s="7" t="s">
        <v>164</v>
      </c>
      <c r="G14" s="7" t="s">
        <v>95</v>
      </c>
      <c r="H14" s="42"/>
    </row>
    <row r="15" spans="2:9">
      <c r="B15" s="13" t="s">
        <v>320</v>
      </c>
      <c r="C15" s="7" t="s">
        <v>94</v>
      </c>
      <c r="D15" s="6">
        <v>1</v>
      </c>
      <c r="E15" s="23">
        <v>35699</v>
      </c>
      <c r="F15" s="22" t="s">
        <v>164</v>
      </c>
      <c r="G15" s="22" t="s">
        <v>95</v>
      </c>
      <c r="H15" s="42"/>
    </row>
    <row r="16" spans="2:9">
      <c r="B16" s="39" t="s">
        <v>293</v>
      </c>
      <c r="C16" s="22" t="s">
        <v>294</v>
      </c>
      <c r="D16" s="40" t="s">
        <v>207</v>
      </c>
      <c r="E16" s="40"/>
      <c r="F16" s="22" t="s">
        <v>295</v>
      </c>
      <c r="G16" s="22" t="s">
        <v>95</v>
      </c>
      <c r="H16" s="8"/>
    </row>
    <row r="17" spans="2:8">
      <c r="B17" s="5" t="s">
        <v>40</v>
      </c>
      <c r="C17" s="22" t="s">
        <v>127</v>
      </c>
      <c r="D17" s="6"/>
      <c r="E17" s="6"/>
      <c r="F17" s="7"/>
      <c r="G17" s="7"/>
      <c r="H17" s="8"/>
    </row>
    <row r="18" spans="2:8">
      <c r="B18" s="5" t="s">
        <v>39</v>
      </c>
      <c r="C18" s="22" t="s">
        <v>127</v>
      </c>
      <c r="D18" s="6"/>
      <c r="E18" s="6"/>
      <c r="F18" s="7"/>
      <c r="G18" s="7"/>
    </row>
    <row r="19" spans="2:8">
      <c r="B19" s="131" t="s">
        <v>416</v>
      </c>
      <c r="C19" s="7"/>
      <c r="D19" s="6"/>
      <c r="E19" s="6"/>
      <c r="F19" s="7"/>
      <c r="G19" s="7"/>
    </row>
    <row r="20" spans="2:8">
      <c r="B20" s="34" t="s">
        <v>326</v>
      </c>
      <c r="C20" s="22" t="s">
        <v>327</v>
      </c>
      <c r="D20" s="40" t="s">
        <v>328</v>
      </c>
      <c r="E20" s="22" t="s">
        <v>52</v>
      </c>
      <c r="F20" s="22" t="s">
        <v>445</v>
      </c>
      <c r="G20" s="7"/>
    </row>
    <row r="21" spans="2:8">
      <c r="B21" s="124"/>
      <c r="C21" s="7"/>
      <c r="D21" s="6"/>
      <c r="E21" s="6"/>
      <c r="F21" s="7"/>
      <c r="G21" s="7"/>
    </row>
    <row r="22" spans="2:8">
      <c r="B22" s="61" t="s">
        <v>371</v>
      </c>
    </row>
    <row r="23" spans="2:8">
      <c r="B23" s="126" t="s">
        <v>575</v>
      </c>
      <c r="C23" s="127" t="s">
        <v>574</v>
      </c>
    </row>
    <row r="24" spans="2:8">
      <c r="B24" s="11" t="s">
        <v>372</v>
      </c>
    </row>
    <row r="25" spans="2:8">
      <c r="B25" s="126" t="s">
        <v>581</v>
      </c>
      <c r="C25" s="127" t="s">
        <v>292</v>
      </c>
    </row>
    <row r="26" spans="2:8">
      <c r="B26" s="11" t="s">
        <v>375</v>
      </c>
    </row>
    <row r="27" spans="2:8">
      <c r="B27" s="11" t="s">
        <v>376</v>
      </c>
    </row>
    <row r="28" spans="2:8">
      <c r="B28" s="11" t="s">
        <v>377</v>
      </c>
    </row>
    <row r="29" spans="2:8">
      <c r="B29" s="126" t="s">
        <v>605</v>
      </c>
      <c r="C29" s="127" t="s">
        <v>606</v>
      </c>
      <c r="D29" s="127" t="s">
        <v>370</v>
      </c>
    </row>
    <row r="30" spans="2:8">
      <c r="B30" s="11" t="s">
        <v>378</v>
      </c>
    </row>
    <row r="31" spans="2:8">
      <c r="B31" s="11" t="s">
        <v>380</v>
      </c>
    </row>
    <row r="32" spans="2:8">
      <c r="B32" s="11" t="s">
        <v>381</v>
      </c>
    </row>
    <row r="33" spans="2:4">
      <c r="B33" s="126" t="s">
        <v>593</v>
      </c>
      <c r="C33" s="127" t="s">
        <v>594</v>
      </c>
    </row>
    <row r="34" spans="2:4">
      <c r="B34" s="11" t="s">
        <v>251</v>
      </c>
    </row>
    <row r="35" spans="2:4">
      <c r="B35" s="11" t="s">
        <v>383</v>
      </c>
    </row>
    <row r="36" spans="2:4">
      <c r="B36" s="11" t="s">
        <v>384</v>
      </c>
    </row>
    <row r="37" spans="2:4">
      <c r="B37" s="11" t="s">
        <v>385</v>
      </c>
    </row>
    <row r="38" spans="2:4">
      <c r="B38" s="11" t="s">
        <v>386</v>
      </c>
    </row>
    <row r="39" spans="2:4">
      <c r="B39" s="11" t="s">
        <v>387</v>
      </c>
    </row>
    <row r="40" spans="2:4">
      <c r="B40" s="11" t="s">
        <v>388</v>
      </c>
    </row>
    <row r="41" spans="2:4">
      <c r="B41" s="11" t="s">
        <v>389</v>
      </c>
    </row>
    <row r="42" spans="2:4">
      <c r="B42" s="11" t="s">
        <v>393</v>
      </c>
    </row>
    <row r="43" spans="2:4">
      <c r="B43" s="11" t="s">
        <v>394</v>
      </c>
    </row>
    <row r="44" spans="2:4">
      <c r="B44" s="126" t="s">
        <v>596</v>
      </c>
      <c r="C44" s="127" t="s">
        <v>595</v>
      </c>
      <c r="D44" s="127" t="s">
        <v>128</v>
      </c>
    </row>
    <row r="45" spans="2:4">
      <c r="B45" s="126" t="s">
        <v>592</v>
      </c>
      <c r="C45" s="127" t="s">
        <v>574</v>
      </c>
    </row>
    <row r="46" spans="2:4">
      <c r="B46" s="11" t="s">
        <v>462</v>
      </c>
    </row>
    <row r="47" spans="2:4">
      <c r="B47" s="11" t="s">
        <v>469</v>
      </c>
    </row>
    <row r="48" spans="2:4">
      <c r="B48" s="11" t="s">
        <v>412</v>
      </c>
    </row>
    <row r="49" spans="2:8">
      <c r="B49" s="11" t="s">
        <v>480</v>
      </c>
    </row>
    <row r="50" spans="2:8">
      <c r="B50" s="11" t="s">
        <v>481</v>
      </c>
    </row>
    <row r="51" spans="2:8">
      <c r="B51" s="11" t="s">
        <v>482</v>
      </c>
    </row>
    <row r="52" spans="2:8">
      <c r="B52" s="11" t="s">
        <v>483</v>
      </c>
    </row>
    <row r="53" spans="2:8">
      <c r="B53" s="11" t="s">
        <v>484</v>
      </c>
    </row>
    <row r="54" spans="2:8">
      <c r="B54" s="11" t="s">
        <v>413</v>
      </c>
    </row>
    <row r="55" spans="2:8">
      <c r="B55" s="34" t="s">
        <v>360</v>
      </c>
      <c r="C55" s="16" t="s">
        <v>361</v>
      </c>
      <c r="D55" s="28" t="s">
        <v>571</v>
      </c>
      <c r="E55" s="16" t="s">
        <v>52</v>
      </c>
      <c r="F55" s="16" t="s">
        <v>362</v>
      </c>
      <c r="G55" s="16" t="s">
        <v>95</v>
      </c>
      <c r="H55" s="29" t="s">
        <v>363</v>
      </c>
    </row>
    <row r="56" spans="2:8">
      <c r="B56" s="11" t="s">
        <v>485</v>
      </c>
    </row>
    <row r="57" spans="2:8">
      <c r="B57" s="11" t="s">
        <v>486</v>
      </c>
    </row>
    <row r="58" spans="2:8">
      <c r="B58" s="11" t="s">
        <v>172</v>
      </c>
    </row>
    <row r="59" spans="2:8">
      <c r="B59" s="13" t="s">
        <v>136</v>
      </c>
      <c r="C59" s="7" t="s">
        <v>53</v>
      </c>
      <c r="D59" s="6">
        <v>1</v>
      </c>
      <c r="E59" s="22" t="s">
        <v>284</v>
      </c>
      <c r="F59" s="7" t="s">
        <v>124</v>
      </c>
      <c r="G59" s="7" t="s">
        <v>95</v>
      </c>
    </row>
    <row r="60" spans="2:8">
      <c r="B60" s="34" t="s">
        <v>414</v>
      </c>
      <c r="C60" s="7" t="s">
        <v>54</v>
      </c>
      <c r="D60" s="7" t="s">
        <v>128</v>
      </c>
      <c r="E60" s="7" t="s">
        <v>51</v>
      </c>
      <c r="F60" s="22" t="s">
        <v>374</v>
      </c>
      <c r="G60" s="22" t="s">
        <v>95</v>
      </c>
      <c r="H60" s="8"/>
    </row>
    <row r="61" spans="2:8">
      <c r="B61" s="18">
        <v>3480</v>
      </c>
      <c r="C61" s="22" t="s">
        <v>407</v>
      </c>
      <c r="D61" s="7" t="s">
        <v>128</v>
      </c>
      <c r="E61" s="7" t="s">
        <v>51</v>
      </c>
      <c r="F61" s="22" t="s">
        <v>373</v>
      </c>
      <c r="G61" s="22" t="s">
        <v>95</v>
      </c>
      <c r="H61" s="8"/>
    </row>
    <row r="62" spans="2:8">
      <c r="B62" s="19" t="s">
        <v>365</v>
      </c>
      <c r="C62" s="7" t="s">
        <v>94</v>
      </c>
      <c r="D62" s="6">
        <v>1</v>
      </c>
      <c r="E62" s="7" t="s">
        <v>51</v>
      </c>
      <c r="F62" s="7" t="s">
        <v>366</v>
      </c>
      <c r="G62" s="7"/>
      <c r="H62" s="8"/>
    </row>
    <row r="63" spans="2:8">
      <c r="B63" s="19" t="s">
        <v>367</v>
      </c>
      <c r="C63" s="7" t="s">
        <v>368</v>
      </c>
      <c r="D63" s="6">
        <v>1</v>
      </c>
      <c r="E63" s="7" t="s">
        <v>51</v>
      </c>
      <c r="F63" s="7" t="s">
        <v>369</v>
      </c>
    </row>
    <row r="64" spans="2:8">
      <c r="B64" s="34" t="s">
        <v>329</v>
      </c>
      <c r="C64" s="22" t="s">
        <v>127</v>
      </c>
      <c r="D64" s="6">
        <v>1</v>
      </c>
      <c r="E64" s="22" t="s">
        <v>57</v>
      </c>
      <c r="F64" s="22" t="s">
        <v>332</v>
      </c>
    </row>
    <row r="65" spans="2:6">
      <c r="B65" t="s">
        <v>115</v>
      </c>
      <c r="C65" t="s">
        <v>116</v>
      </c>
      <c r="D65" s="35" t="s">
        <v>299</v>
      </c>
      <c r="F65" t="s">
        <v>117</v>
      </c>
    </row>
    <row r="66" spans="2:6">
      <c r="B66" s="63" t="s">
        <v>390</v>
      </c>
      <c r="C66" s="22" t="s">
        <v>391</v>
      </c>
      <c r="D66" s="6">
        <v>1</v>
      </c>
      <c r="E66" s="22" t="s">
        <v>51</v>
      </c>
      <c r="F66" s="22" t="s">
        <v>408</v>
      </c>
    </row>
    <row r="67" spans="2:6">
      <c r="B67" s="63" t="s">
        <v>409</v>
      </c>
      <c r="C67" s="22" t="s">
        <v>410</v>
      </c>
      <c r="D67" s="6">
        <v>1</v>
      </c>
      <c r="E67" s="22" t="s">
        <v>51</v>
      </c>
      <c r="F67" s="22" t="s">
        <v>392</v>
      </c>
    </row>
    <row r="68" spans="2:6">
      <c r="B68" s="63" t="s">
        <v>415</v>
      </c>
      <c r="C68" s="22" t="s">
        <v>410</v>
      </c>
      <c r="D68" s="6">
        <v>1</v>
      </c>
      <c r="E68" s="22" t="s">
        <v>51</v>
      </c>
      <c r="F68" s="22" t="s">
        <v>392</v>
      </c>
    </row>
    <row r="69" spans="2:6">
      <c r="B69" s="63" t="s">
        <v>403</v>
      </c>
      <c r="C69" s="22" t="s">
        <v>255</v>
      </c>
      <c r="D69" s="6">
        <v>1</v>
      </c>
      <c r="E69" s="22" t="s">
        <v>51</v>
      </c>
      <c r="F69" s="22" t="s">
        <v>405</v>
      </c>
    </row>
    <row r="70" spans="2:6">
      <c r="B70" s="68" t="s">
        <v>402</v>
      </c>
      <c r="C70" s="7" t="s">
        <v>56</v>
      </c>
      <c r="D70" s="6">
        <v>1</v>
      </c>
      <c r="E70" s="22" t="s">
        <v>51</v>
      </c>
      <c r="F70" s="22" t="s">
        <v>379</v>
      </c>
    </row>
    <row r="71" spans="2:6">
      <c r="B71" s="12" t="s">
        <v>252</v>
      </c>
      <c r="C71" s="7" t="s">
        <v>253</v>
      </c>
      <c r="D71" s="6">
        <v>1</v>
      </c>
      <c r="E71" s="22" t="s">
        <v>51</v>
      </c>
      <c r="F71" s="7" t="s">
        <v>254</v>
      </c>
    </row>
    <row r="72" spans="2:6">
      <c r="B72" s="68" t="s">
        <v>395</v>
      </c>
      <c r="C72" s="22" t="s">
        <v>55</v>
      </c>
      <c r="D72" s="6">
        <v>1</v>
      </c>
      <c r="E72" s="22" t="s">
        <v>57</v>
      </c>
      <c r="F72" s="22" t="s">
        <v>396</v>
      </c>
    </row>
    <row r="73" spans="2:6">
      <c r="B73" s="68" t="s">
        <v>397</v>
      </c>
      <c r="C73" s="22" t="s">
        <v>253</v>
      </c>
      <c r="D73" s="6">
        <v>1</v>
      </c>
      <c r="E73" s="22" t="s">
        <v>57</v>
      </c>
      <c r="F73" s="22" t="s">
        <v>398</v>
      </c>
    </row>
    <row r="74" spans="2:6">
      <c r="B74" s="68" t="s">
        <v>399</v>
      </c>
      <c r="C74" s="22" t="s">
        <v>253</v>
      </c>
      <c r="D74" s="6">
        <v>1</v>
      </c>
      <c r="E74" s="22" t="s">
        <v>57</v>
      </c>
      <c r="F74" s="22" t="s">
        <v>398</v>
      </c>
    </row>
    <row r="75" spans="2:6">
      <c r="B75" s="68" t="s">
        <v>400</v>
      </c>
      <c r="C75" s="22" t="s">
        <v>253</v>
      </c>
      <c r="D75" s="6">
        <v>1</v>
      </c>
      <c r="E75" s="22" t="s">
        <v>57</v>
      </c>
      <c r="F75" s="22" t="s">
        <v>401</v>
      </c>
    </row>
    <row r="76" spans="2:6">
      <c r="B76" s="12" t="s">
        <v>256</v>
      </c>
      <c r="C76" s="22" t="s">
        <v>56</v>
      </c>
      <c r="D76" s="6">
        <v>1</v>
      </c>
      <c r="E76" s="22" t="s">
        <v>51</v>
      </c>
      <c r="F76" s="7" t="s">
        <v>257</v>
      </c>
    </row>
    <row r="77" spans="2:6">
      <c r="B77" s="68" t="s">
        <v>406</v>
      </c>
      <c r="C77" s="22" t="s">
        <v>56</v>
      </c>
      <c r="D77" s="6">
        <v>1</v>
      </c>
      <c r="E77" s="22" t="s">
        <v>57</v>
      </c>
      <c r="F77" s="22" t="s">
        <v>405</v>
      </c>
    </row>
    <row r="78" spans="2:6">
      <c r="B78" s="35" t="s">
        <v>300</v>
      </c>
    </row>
    <row r="79" spans="2:6">
      <c r="B79" s="35" t="s">
        <v>301</v>
      </c>
    </row>
    <row r="80" spans="2:6">
      <c r="B80" s="35" t="s">
        <v>302</v>
      </c>
    </row>
  </sheetData>
  <hyperlinks>
    <hyperlink ref="B59" location="Zactima!A1" display="Zactima" xr:uid="{00000000-0004-0000-0000-000009000000}"/>
    <hyperlink ref="B9" location="'Toprol-XL'!A1" display="Toprol XL" xr:uid="{00000000-0004-0000-0000-000006000000}"/>
    <hyperlink ref="B11" location="Atacand!A1" display="Atacand" xr:uid="{00000000-0004-0000-0000-000005000000}"/>
    <hyperlink ref="B13" location="Crestor!A1" display="Crestor" xr:uid="{5A900483-973F-4F3D-ADB4-620416E5D4AD}"/>
    <hyperlink ref="B12" location="'Nexium-Prilosec'!A1" display="Nexium" xr:uid="{0C970C23-5C52-48C3-B55D-49238936BD4A}"/>
    <hyperlink ref="B14" location="Seroquel!A1" display="Seroquel" xr:uid="{8913E2A4-8F49-4CF7-A160-574DBB9C1F30}"/>
    <hyperlink ref="B15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baseColWidth="10" defaultColWidth="9.1640625" defaultRowHeight="13"/>
  <cols>
    <col min="1" max="1" width="5" style="1" bestFit="1" customWidth="1"/>
    <col min="2" max="2" width="11.5" style="1" customWidth="1"/>
    <col min="3" max="16384" width="9.1640625" style="1"/>
  </cols>
  <sheetData>
    <row r="1" spans="1:3">
      <c r="A1" s="14" t="s">
        <v>66</v>
      </c>
    </row>
    <row r="2" spans="1:3">
      <c r="B2" s="1" t="s">
        <v>79</v>
      </c>
      <c r="C2" s="1" t="s">
        <v>6</v>
      </c>
    </row>
    <row r="3" spans="1:3">
      <c r="B3" s="1" t="s">
        <v>85</v>
      </c>
      <c r="C3" s="1" t="s">
        <v>98</v>
      </c>
    </row>
    <row r="4" spans="1:3">
      <c r="B4" s="1" t="s">
        <v>68</v>
      </c>
      <c r="C4" s="1" t="s">
        <v>69</v>
      </c>
    </row>
    <row r="5" spans="1:3">
      <c r="B5" s="1" t="s">
        <v>4</v>
      </c>
      <c r="C5" s="11" t="s">
        <v>290</v>
      </c>
    </row>
    <row r="6" spans="1:3">
      <c r="C6" s="1" t="s">
        <v>237</v>
      </c>
    </row>
    <row r="7" spans="1:3">
      <c r="C7" s="1" t="s">
        <v>99</v>
      </c>
    </row>
    <row r="8" spans="1:3">
      <c r="C8" s="1" t="s">
        <v>171</v>
      </c>
    </row>
    <row r="9" spans="1:3">
      <c r="C9" s="1" t="s">
        <v>235</v>
      </c>
    </row>
    <row r="10" spans="1:3">
      <c r="C10" s="1" t="s">
        <v>211</v>
      </c>
    </row>
    <row r="11" spans="1:3">
      <c r="C11" s="11" t="s">
        <v>448</v>
      </c>
    </row>
    <row r="12" spans="1:3">
      <c r="B12" s="1" t="s">
        <v>209</v>
      </c>
      <c r="C12" s="1" t="s">
        <v>210</v>
      </c>
    </row>
    <row r="13" spans="1:3">
      <c r="C13" s="1" t="s">
        <v>67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baseColWidth="10" defaultColWidth="9.1640625" defaultRowHeight="13"/>
  <cols>
    <col min="1" max="1" width="5" style="1" bestFit="1" customWidth="1"/>
    <col min="2" max="2" width="14" style="1" bestFit="1" customWidth="1"/>
    <col min="3" max="3" width="9.5" style="1" bestFit="1" customWidth="1"/>
    <col min="4" max="4" width="10.33203125" style="1" bestFit="1" customWidth="1"/>
    <col min="5" max="5" width="9.33203125" style="1" bestFit="1" customWidth="1"/>
    <col min="6" max="16384" width="9.1640625" style="1"/>
  </cols>
  <sheetData>
    <row r="1" spans="1:3">
      <c r="A1" s="14" t="s">
        <v>66</v>
      </c>
    </row>
    <row r="2" spans="1:3">
      <c r="B2" s="1" t="s">
        <v>79</v>
      </c>
      <c r="C2" s="11" t="s">
        <v>460</v>
      </c>
    </row>
    <row r="3" spans="1:3">
      <c r="B3" s="1" t="s">
        <v>1</v>
      </c>
      <c r="C3" s="1" t="s">
        <v>103</v>
      </c>
    </row>
    <row r="4" spans="1:3">
      <c r="B4" s="1" t="s">
        <v>80</v>
      </c>
      <c r="C4" s="1" t="s">
        <v>101</v>
      </c>
    </row>
    <row r="5" spans="1:3">
      <c r="B5" s="1" t="s">
        <v>77</v>
      </c>
      <c r="C5" s="1" t="s">
        <v>104</v>
      </c>
    </row>
    <row r="6" spans="1:3">
      <c r="B6" s="1" t="s">
        <v>68</v>
      </c>
      <c r="C6" s="1" t="s">
        <v>100</v>
      </c>
    </row>
    <row r="7" spans="1:3">
      <c r="B7" s="1" t="s">
        <v>3</v>
      </c>
      <c r="C7" s="11" t="s">
        <v>461</v>
      </c>
    </row>
    <row r="8" spans="1:3">
      <c r="B8" s="1" t="s">
        <v>107</v>
      </c>
      <c r="C8" s="1" t="s">
        <v>108</v>
      </c>
    </row>
    <row r="9" spans="1:3">
      <c r="B9" s="1" t="s">
        <v>4</v>
      </c>
      <c r="C9" s="1" t="s">
        <v>250</v>
      </c>
    </row>
    <row r="10" spans="1:3">
      <c r="C10" s="1" t="s">
        <v>249</v>
      </c>
    </row>
    <row r="11" spans="1:3">
      <c r="C11" s="11" t="s">
        <v>449</v>
      </c>
    </row>
    <row r="12" spans="1:3">
      <c r="C12" s="11" t="s">
        <v>450</v>
      </c>
    </row>
    <row r="13" spans="1:3">
      <c r="B13" s="1" t="s">
        <v>81</v>
      </c>
      <c r="C13" s="1" t="s">
        <v>106</v>
      </c>
    </row>
    <row r="14" spans="1:3">
      <c r="C14" s="1" t="s">
        <v>105</v>
      </c>
    </row>
    <row r="16" spans="1:3">
      <c r="C16" s="1" t="s">
        <v>170</v>
      </c>
    </row>
    <row r="19" spans="2:5">
      <c r="B19" s="1" t="s">
        <v>102</v>
      </c>
      <c r="C19" s="7"/>
      <c r="D19" s="7" t="s">
        <v>179</v>
      </c>
      <c r="E19" s="7" t="s">
        <v>180</v>
      </c>
    </row>
    <row r="20" spans="2:5">
      <c r="C20" s="23">
        <v>39234</v>
      </c>
      <c r="D20" s="24">
        <v>287913</v>
      </c>
      <c r="E20" s="24">
        <v>141565</v>
      </c>
    </row>
    <row r="21" spans="2:5">
      <c r="C21" s="23">
        <f>C20-7</f>
        <v>39227</v>
      </c>
      <c r="D21" s="24">
        <v>297841</v>
      </c>
      <c r="E21" s="24">
        <v>152431</v>
      </c>
    </row>
    <row r="22" spans="2:5">
      <c r="C22" s="23">
        <f>C20-365</f>
        <v>38869</v>
      </c>
      <c r="D22" s="24">
        <v>264850</v>
      </c>
      <c r="E22" s="24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baseColWidth="10" defaultColWidth="9.1640625" defaultRowHeight="13"/>
  <cols>
    <col min="1" max="1" width="5" style="1" bestFit="1" customWidth="1"/>
    <col min="2" max="2" width="13.5" style="1" customWidth="1"/>
    <col min="3" max="8" width="9.1640625" style="7"/>
    <col min="9" max="16384" width="9.1640625" style="1"/>
  </cols>
  <sheetData>
    <row r="1" spans="1:8">
      <c r="A1" s="14" t="s">
        <v>66</v>
      </c>
    </row>
    <row r="2" spans="1:8">
      <c r="B2" s="1" t="s">
        <v>79</v>
      </c>
      <c r="C2" s="1" t="s">
        <v>7</v>
      </c>
    </row>
    <row r="3" spans="1:8">
      <c r="B3" s="1" t="s">
        <v>83</v>
      </c>
      <c r="C3" s="11" t="s">
        <v>345</v>
      </c>
    </row>
    <row r="4" spans="1:8">
      <c r="B4" s="1" t="s">
        <v>77</v>
      </c>
      <c r="C4" s="1" t="s">
        <v>78</v>
      </c>
    </row>
    <row r="5" spans="1:8">
      <c r="B5" s="11" t="s">
        <v>93</v>
      </c>
      <c r="C5" s="11" t="s">
        <v>58</v>
      </c>
    </row>
    <row r="6" spans="1:8">
      <c r="B6" s="11" t="s">
        <v>4</v>
      </c>
      <c r="C6" s="11" t="s">
        <v>344</v>
      </c>
    </row>
    <row r="7" spans="1:8">
      <c r="B7" s="11"/>
      <c r="C7" s="11" t="s">
        <v>347</v>
      </c>
      <c r="H7" s="1" t="s">
        <v>356</v>
      </c>
    </row>
    <row r="8" spans="1:8">
      <c r="B8" s="11"/>
      <c r="C8" s="11" t="s">
        <v>348</v>
      </c>
    </row>
    <row r="9" spans="1:8">
      <c r="B9" s="11"/>
      <c r="C9" s="11" t="s">
        <v>349</v>
      </c>
    </row>
    <row r="10" spans="1:8">
      <c r="B10" s="1" t="s">
        <v>61</v>
      </c>
    </row>
    <row r="11" spans="1:8">
      <c r="C11" s="20" t="s">
        <v>248</v>
      </c>
    </row>
    <row r="12" spans="1:8">
      <c r="C12" s="1" t="s">
        <v>277</v>
      </c>
    </row>
    <row r="13" spans="1:8">
      <c r="C13" s="1" t="s">
        <v>278</v>
      </c>
    </row>
    <row r="14" spans="1:8">
      <c r="C14" s="1" t="s">
        <v>280</v>
      </c>
    </row>
    <row r="15" spans="1:8">
      <c r="C15" s="1" t="s">
        <v>279</v>
      </c>
    </row>
    <row r="19" spans="3:3">
      <c r="C19" s="1" t="s">
        <v>75</v>
      </c>
    </row>
    <row r="20" spans="3:3">
      <c r="C20" s="10" t="s">
        <v>73</v>
      </c>
    </row>
    <row r="21" spans="3:3">
      <c r="C21" s="1" t="s">
        <v>74</v>
      </c>
    </row>
    <row r="22" spans="3:3">
      <c r="C22" s="1" t="s">
        <v>71</v>
      </c>
    </row>
    <row r="23" spans="3:3">
      <c r="C23" s="1" t="s">
        <v>72</v>
      </c>
    </row>
    <row r="24" spans="3:3">
      <c r="C24" s="1" t="s">
        <v>76</v>
      </c>
    </row>
    <row r="25" spans="3:3">
      <c r="C25" s="1" t="s">
        <v>62</v>
      </c>
    </row>
    <row r="26" spans="3:3">
      <c r="C26" s="1" t="s">
        <v>63</v>
      </c>
    </row>
    <row r="27" spans="3:3">
      <c r="C27" s="1" t="s">
        <v>64</v>
      </c>
    </row>
    <row r="28" spans="3:3">
      <c r="C28" s="1" t="s">
        <v>65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>
      <selection activeCell="C16" sqref="C16"/>
    </sheetView>
  </sheetViews>
  <sheetFormatPr baseColWidth="10" defaultColWidth="9.1640625" defaultRowHeight="13"/>
  <cols>
    <col min="1" max="1" width="5" style="1" bestFit="1" customWidth="1"/>
    <col min="2" max="2" width="14" style="1" bestFit="1" customWidth="1"/>
    <col min="3" max="16384" width="9.1640625" style="1"/>
  </cols>
  <sheetData>
    <row r="1" spans="1:3">
      <c r="A1" s="14" t="s">
        <v>66</v>
      </c>
    </row>
    <row r="2" spans="1:3">
      <c r="B2" s="1" t="s">
        <v>79</v>
      </c>
      <c r="C2" s="11" t="s">
        <v>282</v>
      </c>
    </row>
    <row r="3" spans="1:3">
      <c r="B3" s="1" t="s">
        <v>83</v>
      </c>
      <c r="C3" s="1" t="s">
        <v>285</v>
      </c>
    </row>
    <row r="4" spans="1:3">
      <c r="B4" s="1" t="s">
        <v>80</v>
      </c>
      <c r="C4" s="1" t="s">
        <v>183</v>
      </c>
    </row>
    <row r="5" spans="1:3">
      <c r="C5" s="1" t="s">
        <v>184</v>
      </c>
    </row>
    <row r="6" spans="1:3">
      <c r="B6" s="1" t="s">
        <v>1</v>
      </c>
      <c r="C6" s="1" t="s">
        <v>88</v>
      </c>
    </row>
    <row r="7" spans="1:3">
      <c r="B7" s="1" t="s">
        <v>84</v>
      </c>
      <c r="C7" s="11" t="s">
        <v>317</v>
      </c>
    </row>
    <row r="8" spans="1:3">
      <c r="B8" s="1" t="s">
        <v>3</v>
      </c>
      <c r="C8" s="1" t="s">
        <v>11</v>
      </c>
    </row>
    <row r="9" spans="1:3">
      <c r="B9" s="1" t="s">
        <v>85</v>
      </c>
      <c r="C9" s="1" t="s">
        <v>86</v>
      </c>
    </row>
    <row r="10" spans="1:3">
      <c r="B10" s="1" t="s">
        <v>81</v>
      </c>
      <c r="C10" s="1" t="s">
        <v>87</v>
      </c>
    </row>
    <row r="12" spans="1:3">
      <c r="C12" s="20" t="s">
        <v>305</v>
      </c>
    </row>
    <row r="13" spans="1:3">
      <c r="C13" s="20" t="s">
        <v>304</v>
      </c>
    </row>
    <row r="14" spans="1:3">
      <c r="C14" s="11" t="s">
        <v>306</v>
      </c>
    </row>
    <row r="15" spans="1:3">
      <c r="C15" s="11" t="s">
        <v>463</v>
      </c>
    </row>
    <row r="16" spans="1:3">
      <c r="C16" s="11" t="s">
        <v>464</v>
      </c>
    </row>
    <row r="17" spans="3:4">
      <c r="C17" s="11"/>
    </row>
    <row r="18" spans="3:4">
      <c r="C18" s="20" t="s">
        <v>89</v>
      </c>
    </row>
    <row r="19" spans="3:4">
      <c r="D19" s="1" t="s">
        <v>90</v>
      </c>
    </row>
    <row r="20" spans="3:4">
      <c r="D20" s="1" t="s">
        <v>91</v>
      </c>
    </row>
    <row r="21" spans="3:4">
      <c r="D21" s="1" t="s">
        <v>92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4" t="s">
        <v>66</v>
      </c>
    </row>
    <row r="2" spans="1:3">
      <c r="B2" s="1" t="s">
        <v>79</v>
      </c>
      <c r="C2" s="1" t="s">
        <v>173</v>
      </c>
    </row>
    <row r="3" spans="1:3">
      <c r="B3" s="1" t="s">
        <v>83</v>
      </c>
      <c r="C3" s="1" t="s">
        <v>172</v>
      </c>
    </row>
    <row r="4" spans="1:3">
      <c r="B4" s="1" t="s">
        <v>80</v>
      </c>
      <c r="C4" s="1" t="s">
        <v>194</v>
      </c>
    </row>
    <row r="5" spans="1:3">
      <c r="C5" s="1" t="s">
        <v>199</v>
      </c>
    </row>
    <row r="6" spans="1:3">
      <c r="B6" s="1" t="s">
        <v>84</v>
      </c>
      <c r="C6" s="1" t="s">
        <v>200</v>
      </c>
    </row>
    <row r="7" spans="1:3">
      <c r="B7" s="1" t="s">
        <v>1</v>
      </c>
      <c r="C7" s="1" t="s">
        <v>206</v>
      </c>
    </row>
    <row r="8" spans="1:3">
      <c r="B8" s="1" t="s">
        <v>61</v>
      </c>
    </row>
    <row r="9" spans="1:3">
      <c r="C9" s="20" t="s">
        <v>420</v>
      </c>
    </row>
    <row r="11" spans="1:3">
      <c r="C11" s="20" t="s">
        <v>204</v>
      </c>
    </row>
    <row r="13" spans="1:3">
      <c r="C13" s="20" t="s">
        <v>203</v>
      </c>
    </row>
    <row r="14" spans="1:3">
      <c r="C14" s="11" t="s">
        <v>417</v>
      </c>
    </row>
    <row r="16" spans="1:3">
      <c r="C16" s="20" t="s">
        <v>201</v>
      </c>
    </row>
    <row r="17" spans="3:3">
      <c r="C17" s="11" t="s">
        <v>418</v>
      </c>
    </row>
    <row r="19" spans="3:3">
      <c r="C19" s="20" t="s">
        <v>202</v>
      </c>
    </row>
    <row r="21" spans="3:3">
      <c r="C21" s="20" t="s">
        <v>205</v>
      </c>
    </row>
    <row r="22" spans="3:3">
      <c r="C22" s="20"/>
    </row>
    <row r="23" spans="3:3">
      <c r="C23" s="20" t="s">
        <v>177</v>
      </c>
    </row>
    <row r="24" spans="3:3">
      <c r="C24" s="1" t="s">
        <v>178</v>
      </c>
    </row>
    <row r="26" spans="3:3">
      <c r="C26" s="20" t="s">
        <v>174</v>
      </c>
    </row>
    <row r="27" spans="3:3">
      <c r="C27" s="1" t="s">
        <v>175</v>
      </c>
    </row>
    <row r="28" spans="3:3">
      <c r="C28" s="1" t="s">
        <v>176</v>
      </c>
    </row>
    <row r="31" spans="3:3">
      <c r="C31" s="27" t="s">
        <v>193</v>
      </c>
    </row>
    <row r="32" spans="3:3">
      <c r="C32" s="1" t="s">
        <v>195</v>
      </c>
    </row>
    <row r="33" spans="3:3">
      <c r="C33" s="1" t="s">
        <v>196</v>
      </c>
    </row>
    <row r="34" spans="3:3">
      <c r="C34" s="1" t="s">
        <v>197</v>
      </c>
    </row>
    <row r="35" spans="3:3">
      <c r="C35" s="1" t="s">
        <v>198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4" t="s">
        <v>66</v>
      </c>
    </row>
    <row r="2" spans="1:3">
      <c r="B2" s="1" t="s">
        <v>79</v>
      </c>
      <c r="C2" s="1" t="s">
        <v>8</v>
      </c>
    </row>
    <row r="3" spans="1:3">
      <c r="B3" s="1" t="s">
        <v>83</v>
      </c>
      <c r="C3" s="1" t="s">
        <v>258</v>
      </c>
    </row>
    <row r="4" spans="1:3">
      <c r="B4" s="1" t="s">
        <v>80</v>
      </c>
      <c r="C4" s="1" t="s">
        <v>259</v>
      </c>
    </row>
    <row r="5" spans="1:3">
      <c r="B5" s="1" t="s">
        <v>264</v>
      </c>
      <c r="C5" s="11" t="s">
        <v>265</v>
      </c>
    </row>
    <row r="6" spans="1:3">
      <c r="C6" s="1" t="s">
        <v>266</v>
      </c>
    </row>
    <row r="7" spans="1:3">
      <c r="C7" s="11" t="s">
        <v>316</v>
      </c>
    </row>
    <row r="8" spans="1:3">
      <c r="B8" s="1" t="s">
        <v>3</v>
      </c>
      <c r="C8" s="11" t="s">
        <v>314</v>
      </c>
    </row>
    <row r="9" spans="1:3">
      <c r="B9" s="11" t="s">
        <v>4</v>
      </c>
      <c r="C9" s="11" t="s">
        <v>315</v>
      </c>
    </row>
    <row r="10" spans="1:3">
      <c r="B10" s="1" t="s">
        <v>308</v>
      </c>
      <c r="C10" s="1" t="s">
        <v>309</v>
      </c>
    </row>
    <row r="11" spans="1:3">
      <c r="B11" s="1" t="s">
        <v>61</v>
      </c>
    </row>
    <row r="12" spans="1:3">
      <c r="C12" s="20" t="s">
        <v>311</v>
      </c>
    </row>
    <row r="13" spans="1:3">
      <c r="C13" s="11" t="s">
        <v>313</v>
      </c>
    </row>
    <row r="14" spans="1:3">
      <c r="C14" s="11" t="s">
        <v>312</v>
      </c>
    </row>
    <row r="15" spans="1:3">
      <c r="C15" s="11" t="s">
        <v>310</v>
      </c>
    </row>
    <row r="17" spans="3:3">
      <c r="C17" s="27" t="s">
        <v>268</v>
      </c>
    </row>
    <row r="18" spans="3:3">
      <c r="C18" s="1" t="s">
        <v>270</v>
      </c>
    </row>
    <row r="19" spans="3:3">
      <c r="C19" s="1" t="s">
        <v>269</v>
      </c>
    </row>
    <row r="21" spans="3:3">
      <c r="C21" s="20" t="s">
        <v>267</v>
      </c>
    </row>
    <row r="23" spans="3:3">
      <c r="C23" s="20" t="s">
        <v>273</v>
      </c>
    </row>
    <row r="24" spans="3:3">
      <c r="C24" s="1" t="s">
        <v>274</v>
      </c>
    </row>
    <row r="26" spans="3:3">
      <c r="C26" s="20" t="s">
        <v>271</v>
      </c>
    </row>
    <row r="28" spans="3:3">
      <c r="C28" s="20" t="s">
        <v>272</v>
      </c>
    </row>
    <row r="31" spans="3:3">
      <c r="C31" s="20" t="s">
        <v>275</v>
      </c>
    </row>
    <row r="32" spans="3:3">
      <c r="C32" s="1" t="s">
        <v>276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4" t="s">
        <v>66</v>
      </c>
    </row>
    <row r="2" spans="1:3">
      <c r="A2" s="14"/>
      <c r="B2" s="1" t="s">
        <v>79</v>
      </c>
      <c r="C2" s="1" t="s">
        <v>125</v>
      </c>
    </row>
    <row r="3" spans="1:3">
      <c r="A3" s="14"/>
      <c r="B3" s="1" t="s">
        <v>83</v>
      </c>
      <c r="C3" s="1" t="s">
        <v>137</v>
      </c>
    </row>
    <row r="4" spans="1:3">
      <c r="A4" s="14"/>
      <c r="B4" s="1" t="s">
        <v>1</v>
      </c>
      <c r="C4" s="1" t="s">
        <v>9</v>
      </c>
    </row>
    <row r="5" spans="1:3">
      <c r="A5" s="14"/>
      <c r="B5" s="1" t="s">
        <v>80</v>
      </c>
      <c r="C5" s="1" t="s">
        <v>150</v>
      </c>
    </row>
    <row r="6" spans="1:3">
      <c r="A6" s="14"/>
      <c r="B6" s="1" t="s">
        <v>212</v>
      </c>
      <c r="C6" s="1" t="s">
        <v>213</v>
      </c>
    </row>
    <row r="7" spans="1:3">
      <c r="A7" s="14"/>
      <c r="B7" s="1" t="s">
        <v>61</v>
      </c>
    </row>
    <row r="8" spans="1:3">
      <c r="A8" s="14"/>
      <c r="C8" s="20" t="s">
        <v>151</v>
      </c>
    </row>
    <row r="9" spans="1:3">
      <c r="A9" s="14"/>
      <c r="C9" s="1" t="s">
        <v>152</v>
      </c>
    </row>
    <row r="10" spans="1:3">
      <c r="A10" s="14"/>
      <c r="C10" s="1" t="s">
        <v>153</v>
      </c>
    </row>
    <row r="11" spans="1:3">
      <c r="A11" s="14"/>
      <c r="C11" s="1" t="s">
        <v>154</v>
      </c>
    </row>
    <row r="12" spans="1:3">
      <c r="A12" s="14"/>
    </row>
    <row r="13" spans="1:3">
      <c r="C13" s="20" t="s">
        <v>146</v>
      </c>
    </row>
    <row r="14" spans="1:3">
      <c r="C14" s="1" t="s">
        <v>50</v>
      </c>
    </row>
    <row r="15" spans="1:3">
      <c r="C15" s="1" t="s">
        <v>149</v>
      </c>
    </row>
    <row r="16" spans="1:3">
      <c r="C16" s="1" t="s">
        <v>147</v>
      </c>
    </row>
    <row r="17" spans="3:3">
      <c r="C17" s="1" t="s">
        <v>148</v>
      </c>
    </row>
    <row r="19" spans="3:3">
      <c r="C19" s="20" t="s">
        <v>145</v>
      </c>
    </row>
    <row r="20" spans="3:3">
      <c r="C20" s="1" t="s">
        <v>141</v>
      </c>
    </row>
    <row r="21" spans="3:3">
      <c r="C21" s="1" t="s">
        <v>142</v>
      </c>
    </row>
    <row r="22" spans="3:3">
      <c r="C22" s="1" t="s">
        <v>144</v>
      </c>
    </row>
    <row r="23" spans="3:3">
      <c r="C23" s="1" t="s">
        <v>157</v>
      </c>
    </row>
    <row r="24" spans="3:3">
      <c r="C24" s="1" t="s">
        <v>143</v>
      </c>
    </row>
    <row r="25" spans="3:3">
      <c r="C25" s="1" t="s">
        <v>156</v>
      </c>
    </row>
    <row r="27" spans="3:3">
      <c r="C27" s="20" t="s">
        <v>155</v>
      </c>
    </row>
    <row r="30" spans="3:3">
      <c r="C30" s="20" t="s">
        <v>158</v>
      </c>
    </row>
    <row r="33" spans="3:3">
      <c r="C33" s="20" t="s">
        <v>159</v>
      </c>
    </row>
    <row r="34" spans="3:3">
      <c r="C34" s="1" t="s">
        <v>160</v>
      </c>
    </row>
    <row r="35" spans="3:3">
      <c r="C35" s="1" t="s">
        <v>161</v>
      </c>
    </row>
    <row r="40" spans="3:3">
      <c r="C40" s="21" t="s">
        <v>138</v>
      </c>
    </row>
    <row r="41" spans="3:3">
      <c r="C41" s="21" t="s">
        <v>139</v>
      </c>
    </row>
    <row r="42" spans="3:3">
      <c r="C42" s="21" t="s">
        <v>140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9"/>
  <sheetViews>
    <sheetView zoomScale="145" zoomScaleNormal="145" workbookViewId="0">
      <selection activeCell="L4" sqref="L4"/>
    </sheetView>
  </sheetViews>
  <sheetFormatPr baseColWidth="10" defaultColWidth="9.1640625" defaultRowHeight="13"/>
  <cols>
    <col min="1" max="1" width="2.6640625" style="1" customWidth="1"/>
    <col min="2" max="2" width="30.6640625" style="1" customWidth="1"/>
    <col min="3" max="3" width="21" style="1" customWidth="1"/>
    <col min="4" max="4" width="11.83203125" style="1" customWidth="1"/>
    <col min="5" max="5" width="13.5" style="1" customWidth="1"/>
    <col min="6" max="6" width="19.6640625" style="1" customWidth="1"/>
    <col min="7" max="7" width="17.33203125" style="1" customWidth="1"/>
    <col min="8" max="8" width="12.83203125" style="1" customWidth="1"/>
    <col min="9" max="9" width="7" style="1" customWidth="1"/>
    <col min="10" max="10" width="9.33203125" style="1" customWidth="1"/>
    <col min="11" max="11" width="12.5" style="1" customWidth="1"/>
    <col min="12" max="12" width="9.33203125" style="1" bestFit="1" customWidth="1"/>
    <col min="13" max="13" width="7" style="1" customWidth="1"/>
    <col min="14" max="16384" width="9.1640625" style="1"/>
  </cols>
  <sheetData>
    <row r="1" spans="1:12">
      <c r="A1" s="11"/>
      <c r="J1" s="136"/>
    </row>
    <row r="2" spans="1:12">
      <c r="B2" s="2" t="s">
        <v>0</v>
      </c>
      <c r="C2" s="3" t="s">
        <v>1</v>
      </c>
      <c r="D2" s="3" t="s">
        <v>2</v>
      </c>
      <c r="E2" s="58" t="s">
        <v>346</v>
      </c>
      <c r="F2" s="3" t="s">
        <v>113</v>
      </c>
      <c r="G2" s="3" t="s">
        <v>97</v>
      </c>
      <c r="H2" s="4" t="s">
        <v>4</v>
      </c>
      <c r="J2" s="1" t="s">
        <v>181</v>
      </c>
      <c r="K2" s="30">
        <v>85</v>
      </c>
    </row>
    <row r="3" spans="1:12">
      <c r="B3" s="13" t="s">
        <v>576</v>
      </c>
      <c r="C3" s="125" t="s">
        <v>577</v>
      </c>
      <c r="D3" s="6">
        <v>1</v>
      </c>
      <c r="E3" s="23">
        <v>39157</v>
      </c>
      <c r="F3" s="125" t="s">
        <v>580</v>
      </c>
      <c r="G3" s="125" t="s">
        <v>578</v>
      </c>
      <c r="H3" s="8"/>
      <c r="J3" s="1" t="s">
        <v>182</v>
      </c>
      <c r="K3" s="26">
        <v>1560</v>
      </c>
      <c r="L3" s="142" t="s">
        <v>635</v>
      </c>
    </row>
    <row r="4" spans="1:12">
      <c r="B4" s="13" t="s">
        <v>568</v>
      </c>
      <c r="C4" s="125" t="s">
        <v>9</v>
      </c>
      <c r="D4" s="6">
        <v>1</v>
      </c>
      <c r="E4" s="23">
        <v>42321</v>
      </c>
      <c r="F4" s="125" t="s">
        <v>591</v>
      </c>
      <c r="G4" s="7" t="s">
        <v>95</v>
      </c>
      <c r="H4" s="8">
        <v>2032</v>
      </c>
      <c r="J4" s="1" t="s">
        <v>216</v>
      </c>
      <c r="K4" s="26">
        <f>K2*K3</f>
        <v>132600</v>
      </c>
    </row>
    <row r="5" spans="1:12">
      <c r="B5" s="130" t="s">
        <v>607</v>
      </c>
      <c r="C5" s="125" t="s">
        <v>9</v>
      </c>
      <c r="D5" s="6">
        <v>1</v>
      </c>
      <c r="E5" s="23">
        <v>42856</v>
      </c>
      <c r="F5" s="125" t="s">
        <v>579</v>
      </c>
      <c r="G5" s="125" t="s">
        <v>578</v>
      </c>
      <c r="H5" s="8"/>
      <c r="J5" s="1" t="s">
        <v>185</v>
      </c>
      <c r="K5" s="26">
        <v>0</v>
      </c>
      <c r="L5" s="142" t="s">
        <v>635</v>
      </c>
    </row>
    <row r="6" spans="1:12">
      <c r="B6" s="13" t="s">
        <v>49</v>
      </c>
      <c r="C6" s="7" t="s">
        <v>70</v>
      </c>
      <c r="D6" s="6">
        <v>1</v>
      </c>
      <c r="E6" s="6"/>
      <c r="F6" s="7"/>
      <c r="G6" s="7" t="s">
        <v>123</v>
      </c>
      <c r="H6" s="8"/>
      <c r="J6" s="1" t="s">
        <v>186</v>
      </c>
      <c r="K6" s="26">
        <v>26324</v>
      </c>
      <c r="L6" s="142" t="s">
        <v>635</v>
      </c>
    </row>
    <row r="7" spans="1:12">
      <c r="B7" s="18" t="s">
        <v>236</v>
      </c>
      <c r="C7" s="7" t="s">
        <v>165</v>
      </c>
      <c r="D7" s="6" t="s">
        <v>166</v>
      </c>
      <c r="E7" s="6"/>
      <c r="F7" s="22" t="s">
        <v>286</v>
      </c>
      <c r="G7" s="7" t="s">
        <v>95</v>
      </c>
      <c r="H7" s="8"/>
      <c r="J7" s="1" t="s">
        <v>215</v>
      </c>
      <c r="K7" s="26">
        <f>K4-K5+K6</f>
        <v>158924</v>
      </c>
    </row>
    <row r="8" spans="1:12">
      <c r="B8" s="13" t="s">
        <v>303</v>
      </c>
      <c r="C8" s="7" t="s">
        <v>10</v>
      </c>
      <c r="D8" s="6">
        <v>1</v>
      </c>
      <c r="E8" s="22"/>
      <c r="F8" s="7" t="s">
        <v>167</v>
      </c>
      <c r="G8" s="7" t="s">
        <v>95</v>
      </c>
      <c r="H8" s="8"/>
      <c r="J8" s="25"/>
      <c r="K8" s="129"/>
    </row>
    <row r="9" spans="1:12">
      <c r="B9" s="13" t="s">
        <v>598</v>
      </c>
      <c r="C9" s="7" t="s">
        <v>127</v>
      </c>
      <c r="D9" s="132" t="s">
        <v>610</v>
      </c>
      <c r="E9" s="23">
        <v>41992</v>
      </c>
      <c r="F9" s="7" t="s">
        <v>129</v>
      </c>
      <c r="G9" s="7" t="s">
        <v>95</v>
      </c>
      <c r="H9" s="133">
        <v>2024</v>
      </c>
      <c r="J9" s="135" t="s">
        <v>633</v>
      </c>
      <c r="K9" s="129"/>
    </row>
    <row r="10" spans="1:12">
      <c r="B10" s="130" t="s">
        <v>597</v>
      </c>
      <c r="C10" s="125" t="s">
        <v>577</v>
      </c>
      <c r="D10" s="6">
        <v>1</v>
      </c>
      <c r="E10" s="23">
        <v>43455</v>
      </c>
      <c r="F10" s="7"/>
      <c r="G10" s="7"/>
      <c r="H10" s="8"/>
      <c r="J10" s="25"/>
      <c r="K10" s="129"/>
    </row>
    <row r="11" spans="1:12">
      <c r="B11" s="130" t="s">
        <v>530</v>
      </c>
      <c r="C11" s="7"/>
      <c r="D11" s="6"/>
      <c r="F11" s="7"/>
      <c r="G11" s="7"/>
      <c r="H11" s="8"/>
      <c r="J11" s="25"/>
      <c r="K11" s="129"/>
    </row>
    <row r="12" spans="1:12">
      <c r="B12" s="130" t="s">
        <v>6</v>
      </c>
      <c r="C12" s="7"/>
      <c r="D12" s="6"/>
      <c r="F12" s="7"/>
      <c r="G12" s="7"/>
      <c r="H12" s="8"/>
      <c r="J12" s="25"/>
      <c r="K12" s="129"/>
    </row>
    <row r="13" spans="1:12">
      <c r="B13" s="130" t="s">
        <v>537</v>
      </c>
      <c r="C13" s="7"/>
      <c r="D13" s="6"/>
      <c r="F13" s="7"/>
      <c r="G13" s="7"/>
      <c r="H13" s="8"/>
      <c r="J13" s="25"/>
      <c r="K13" s="129"/>
    </row>
    <row r="14" spans="1:12">
      <c r="B14" s="130" t="s">
        <v>7</v>
      </c>
      <c r="C14" s="7"/>
      <c r="D14" s="6"/>
      <c r="F14" s="7"/>
      <c r="G14" s="7"/>
      <c r="H14" s="8"/>
      <c r="J14" s="25"/>
      <c r="K14" s="129"/>
    </row>
    <row r="15" spans="1:12">
      <c r="B15" s="13" t="s">
        <v>567</v>
      </c>
      <c r="C15" s="7" t="s">
        <v>566</v>
      </c>
      <c r="D15" s="125" t="s">
        <v>602</v>
      </c>
      <c r="F15" s="7" t="s">
        <v>570</v>
      </c>
      <c r="G15" s="7" t="s">
        <v>95</v>
      </c>
      <c r="H15" s="31"/>
      <c r="J15" s="25"/>
      <c r="K15" s="129"/>
    </row>
    <row r="16" spans="1:12">
      <c r="B16" s="13" t="s">
        <v>573</v>
      </c>
      <c r="C16" s="7" t="s">
        <v>165</v>
      </c>
      <c r="D16" s="7" t="s">
        <v>166</v>
      </c>
      <c r="E16" s="41">
        <v>41647</v>
      </c>
      <c r="F16" s="7" t="s">
        <v>364</v>
      </c>
      <c r="G16" s="22" t="s">
        <v>95</v>
      </c>
      <c r="H16" s="8">
        <v>2025</v>
      </c>
      <c r="K16" s="26"/>
    </row>
    <row r="17" spans="2:11">
      <c r="B17" s="122" t="s">
        <v>260</v>
      </c>
      <c r="C17" s="9" t="s">
        <v>9</v>
      </c>
      <c r="D17" s="123">
        <v>1</v>
      </c>
      <c r="E17" s="123"/>
      <c r="F17" s="9" t="s">
        <v>122</v>
      </c>
      <c r="G17" s="9" t="s">
        <v>95</v>
      </c>
      <c r="H17" s="67"/>
      <c r="K17" s="26"/>
    </row>
    <row r="18" spans="2:11">
      <c r="B18" s="2"/>
      <c r="C18" s="3"/>
      <c r="D18" s="3"/>
      <c r="E18" s="3" t="s">
        <v>5</v>
      </c>
      <c r="F18" s="3"/>
      <c r="G18" s="3"/>
      <c r="H18" s="4" t="s">
        <v>113</v>
      </c>
    </row>
    <row r="19" spans="2:11">
      <c r="B19" s="39" t="s">
        <v>404</v>
      </c>
      <c r="C19" s="22" t="s">
        <v>382</v>
      </c>
      <c r="D19" s="6">
        <v>1</v>
      </c>
      <c r="E19" s="22" t="s">
        <v>57</v>
      </c>
      <c r="F19" s="22" t="s">
        <v>323</v>
      </c>
      <c r="G19" s="7"/>
      <c r="H19" s="42"/>
    </row>
    <row r="20" spans="2:11">
      <c r="B20" s="39" t="s">
        <v>321</v>
      </c>
      <c r="C20" s="22" t="s">
        <v>322</v>
      </c>
      <c r="D20" s="6">
        <v>1</v>
      </c>
      <c r="E20" s="22" t="s">
        <v>51</v>
      </c>
      <c r="F20" s="22" t="s">
        <v>323</v>
      </c>
      <c r="G20" s="7"/>
      <c r="H20" s="42"/>
    </row>
    <row r="21" spans="2:11">
      <c r="B21" s="19">
        <v>8309</v>
      </c>
      <c r="C21" s="7" t="s">
        <v>112</v>
      </c>
      <c r="D21" s="6">
        <v>1</v>
      </c>
      <c r="E21" s="7" t="s">
        <v>59</v>
      </c>
      <c r="F21" s="7" t="s">
        <v>114</v>
      </c>
      <c r="G21" s="7"/>
      <c r="H21" s="8"/>
    </row>
    <row r="22" spans="2:11">
      <c r="B22" s="34" t="s">
        <v>330</v>
      </c>
      <c r="C22" s="22" t="s">
        <v>127</v>
      </c>
      <c r="D22" s="6">
        <v>1</v>
      </c>
      <c r="E22" s="22" t="s">
        <v>57</v>
      </c>
      <c r="F22" s="22" t="s">
        <v>333</v>
      </c>
      <c r="G22" s="7"/>
      <c r="H22" s="42"/>
    </row>
    <row r="23" spans="2:11">
      <c r="B23" s="64" t="s">
        <v>331</v>
      </c>
      <c r="C23" s="65" t="s">
        <v>127</v>
      </c>
      <c r="D23" s="66" t="s">
        <v>335</v>
      </c>
      <c r="E23" s="65" t="s">
        <v>57</v>
      </c>
      <c r="F23" s="65" t="s">
        <v>334</v>
      </c>
      <c r="G23" s="9"/>
      <c r="H23" s="67"/>
    </row>
    <row r="24" spans="2:11">
      <c r="B24" s="62"/>
      <c r="C24" s="7"/>
      <c r="D24" s="6"/>
      <c r="E24" s="7"/>
      <c r="F24" s="7"/>
      <c r="G24" s="7"/>
      <c r="H24" s="7"/>
    </row>
    <row r="25" spans="2:11">
      <c r="B25" s="1" t="s">
        <v>554</v>
      </c>
      <c r="G25" s="32" t="s">
        <v>238</v>
      </c>
    </row>
    <row r="26" spans="2:11">
      <c r="G26" s="32" t="s">
        <v>239</v>
      </c>
    </row>
    <row r="27" spans="2:11">
      <c r="G27" s="32" t="s">
        <v>337</v>
      </c>
    </row>
    <row r="28" spans="2:11">
      <c r="G28" s="32" t="s">
        <v>324</v>
      </c>
    </row>
    <row r="29" spans="2:11">
      <c r="G29" s="32" t="s">
        <v>325</v>
      </c>
    </row>
    <row r="30" spans="2:11">
      <c r="B30" s="10"/>
      <c r="G30" s="32" t="s">
        <v>298</v>
      </c>
    </row>
    <row r="31" spans="2:11">
      <c r="G31" s="11" t="s">
        <v>419</v>
      </c>
      <c r="I31" s="7"/>
    </row>
    <row r="32" spans="2:11">
      <c r="G32" s="11" t="s">
        <v>424</v>
      </c>
    </row>
    <row r="33" spans="6:7">
      <c r="F33" s="126"/>
      <c r="G33" s="32"/>
    </row>
    <row r="34" spans="6:7">
      <c r="G34" s="32"/>
    </row>
    <row r="39" spans="6:7">
      <c r="G39" s="1" t="s">
        <v>569</v>
      </c>
    </row>
  </sheetData>
  <phoneticPr fontId="3" type="noConversion"/>
  <hyperlinks>
    <hyperlink ref="B8" location="Brilinta!A1" display="Brilinta" xr:uid="{00000000-0004-0000-0000-000003000000}"/>
    <hyperlink ref="B6" location="Symbicort!A1" display="Symbicort (budenoside/formoterol)" xr:uid="{00000000-0004-0000-0000-000008000000}"/>
    <hyperlink ref="B16" location="Farxiga!A1" display="Farxiga (dapaglifozin)" xr:uid="{00000000-0004-0000-0000-00000B000000}"/>
    <hyperlink ref="B17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9" location="Lynparza!A1" display="Lynparza (olaparib)" xr:uid="{8905C321-8CB0-4C60-959B-EB5A1571CC67}"/>
    <hyperlink ref="B15" location="Koselugo!A1" display="Koselugo (selumetinib)" xr:uid="{C079BFF5-88CE-4E31-A28A-9BF18728AC21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Q139"/>
  <sheetViews>
    <sheetView tabSelected="1" zoomScale="145" zoomScaleNormal="145" workbookViewId="0">
      <pane xSplit="2" ySplit="2" topLeftCell="BM43" activePane="bottomRight" state="frozen"/>
      <selection pane="topRight" activeCell="B1" sqref="B1"/>
      <selection pane="bottomLeft" activeCell="A3" sqref="A3"/>
      <selection pane="bottomRight" activeCell="BR46" sqref="BR46"/>
    </sheetView>
  </sheetViews>
  <sheetFormatPr baseColWidth="10" defaultColWidth="9.1640625" defaultRowHeight="13"/>
  <cols>
    <col min="1" max="1" width="5" style="106" bestFit="1" customWidth="1"/>
    <col min="2" max="2" width="21.5" style="106" customWidth="1"/>
    <col min="3" max="74" width="6.6640625" style="45" customWidth="1"/>
    <col min="75" max="104" width="6.6640625" style="85" customWidth="1"/>
    <col min="105" max="107" width="6.6640625" style="45" customWidth="1"/>
    <col min="108" max="108" width="1.6640625" style="45" customWidth="1"/>
    <col min="109" max="116" width="6.6640625" style="45" customWidth="1"/>
    <col min="117" max="126" width="6.5" style="45" customWidth="1"/>
    <col min="127" max="127" width="6.6640625" style="45" customWidth="1"/>
    <col min="128" max="130" width="6.6640625" style="15" customWidth="1"/>
    <col min="131" max="142" width="7.33203125" style="15" customWidth="1"/>
    <col min="143" max="16384" width="9.1640625" style="15"/>
  </cols>
  <sheetData>
    <row r="1" spans="1:142" s="11" customFormat="1">
      <c r="A1" s="100" t="s">
        <v>66</v>
      </c>
      <c r="B1" s="101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55"/>
      <c r="AL1" s="43"/>
      <c r="AM1" s="43"/>
      <c r="AN1" s="43"/>
      <c r="AO1" s="43"/>
      <c r="AP1" s="43"/>
      <c r="AQ1" s="55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</row>
    <row r="2" spans="1:142" s="11" customFormat="1" ht="14">
      <c r="A2" s="35"/>
      <c r="B2" s="102"/>
      <c r="C2" s="97" t="s">
        <v>25</v>
      </c>
      <c r="D2" s="97" t="s">
        <v>26</v>
      </c>
      <c r="E2" s="97" t="s">
        <v>27</v>
      </c>
      <c r="F2" s="97" t="s">
        <v>28</v>
      </c>
      <c r="G2" s="97" t="s">
        <v>29</v>
      </c>
      <c r="H2" s="97" t="s">
        <v>30</v>
      </c>
      <c r="I2" s="97" t="s">
        <v>31</v>
      </c>
      <c r="J2" s="97" t="s">
        <v>32</v>
      </c>
      <c r="K2" s="97" t="s">
        <v>18</v>
      </c>
      <c r="L2" s="97" t="s">
        <v>19</v>
      </c>
      <c r="M2" s="97" t="s">
        <v>20</v>
      </c>
      <c r="N2" s="97" t="s">
        <v>21</v>
      </c>
      <c r="O2" s="97" t="s">
        <v>465</v>
      </c>
      <c r="P2" s="97" t="s">
        <v>468</v>
      </c>
      <c r="Q2" s="97" t="s">
        <v>467</v>
      </c>
      <c r="R2" s="97" t="s">
        <v>466</v>
      </c>
      <c r="S2" s="97" t="s">
        <v>233</v>
      </c>
      <c r="T2" s="97" t="s">
        <v>234</v>
      </c>
      <c r="U2" s="97" t="s">
        <v>232</v>
      </c>
      <c r="V2" s="97" t="s">
        <v>231</v>
      </c>
      <c r="W2" s="97" t="s">
        <v>226</v>
      </c>
      <c r="X2" s="97" t="s">
        <v>224</v>
      </c>
      <c r="Y2" s="97" t="s">
        <v>223</v>
      </c>
      <c r="Z2" s="97" t="s">
        <v>222</v>
      </c>
      <c r="AA2" s="97" t="s">
        <v>221</v>
      </c>
      <c r="AB2" s="97" t="s">
        <v>220</v>
      </c>
      <c r="AC2" s="97" t="s">
        <v>217</v>
      </c>
      <c r="AD2" s="97" t="s">
        <v>219</v>
      </c>
      <c r="AE2" s="97" t="s">
        <v>227</v>
      </c>
      <c r="AF2" s="97" t="s">
        <v>228</v>
      </c>
      <c r="AG2" s="97" t="s">
        <v>229</v>
      </c>
      <c r="AH2" s="97" t="s">
        <v>230</v>
      </c>
      <c r="AI2" s="97" t="s">
        <v>281</v>
      </c>
      <c r="AJ2" s="97" t="s">
        <v>287</v>
      </c>
      <c r="AK2" s="98" t="s">
        <v>288</v>
      </c>
      <c r="AL2" s="97" t="s">
        <v>289</v>
      </c>
      <c r="AM2" s="97" t="s">
        <v>352</v>
      </c>
      <c r="AN2" s="97" t="s">
        <v>353</v>
      </c>
      <c r="AO2" s="97" t="s">
        <v>354</v>
      </c>
      <c r="AP2" s="97" t="s">
        <v>355</v>
      </c>
      <c r="AQ2" s="98" t="s">
        <v>452</v>
      </c>
      <c r="AR2" s="97" t="s">
        <v>453</v>
      </c>
      <c r="AS2" s="97" t="s">
        <v>454</v>
      </c>
      <c r="AT2" s="97" t="s">
        <v>455</v>
      </c>
      <c r="AU2" s="97" t="s">
        <v>470</v>
      </c>
      <c r="AV2" s="97" t="s">
        <v>471</v>
      </c>
      <c r="AW2" s="97" t="s">
        <v>472</v>
      </c>
      <c r="AX2" s="97" t="s">
        <v>473</v>
      </c>
      <c r="AY2" s="97" t="s">
        <v>487</v>
      </c>
      <c r="AZ2" s="97" t="s">
        <v>488</v>
      </c>
      <c r="BA2" s="97" t="s">
        <v>489</v>
      </c>
      <c r="BB2" s="97" t="s">
        <v>490</v>
      </c>
      <c r="BC2" s="97" t="s">
        <v>491</v>
      </c>
      <c r="BD2" s="97" t="s">
        <v>492</v>
      </c>
      <c r="BE2" s="97" t="s">
        <v>493</v>
      </c>
      <c r="BF2" s="97" t="s">
        <v>494</v>
      </c>
      <c r="BG2" s="75" t="s">
        <v>496</v>
      </c>
      <c r="BH2" s="75" t="s">
        <v>497</v>
      </c>
      <c r="BI2" s="75" t="s">
        <v>498</v>
      </c>
      <c r="BJ2" s="75" t="s">
        <v>499</v>
      </c>
      <c r="BK2" s="75" t="s">
        <v>500</v>
      </c>
      <c r="BL2" s="75" t="s">
        <v>501</v>
      </c>
      <c r="BM2" s="75" t="s">
        <v>502</v>
      </c>
      <c r="BN2" s="75" t="s">
        <v>503</v>
      </c>
      <c r="BO2" s="75" t="s">
        <v>504</v>
      </c>
      <c r="BP2" s="75" t="s">
        <v>505</v>
      </c>
      <c r="BQ2" s="75" t="s">
        <v>506</v>
      </c>
      <c r="BR2" s="75" t="s">
        <v>507</v>
      </c>
      <c r="BS2" s="75" t="s">
        <v>508</v>
      </c>
      <c r="BT2" s="75" t="s">
        <v>509</v>
      </c>
      <c r="BU2" s="75" t="s">
        <v>510</v>
      </c>
      <c r="BV2" s="75" t="s">
        <v>511</v>
      </c>
      <c r="BW2" s="81" t="s">
        <v>512</v>
      </c>
      <c r="BX2" s="81" t="s">
        <v>513</v>
      </c>
      <c r="BY2" s="81" t="s">
        <v>514</v>
      </c>
      <c r="BZ2" s="81" t="s">
        <v>515</v>
      </c>
      <c r="CA2" s="81" t="s">
        <v>516</v>
      </c>
      <c r="CB2" s="81" t="s">
        <v>517</v>
      </c>
      <c r="CC2" s="81" t="s">
        <v>518</v>
      </c>
      <c r="CD2" s="81" t="s">
        <v>519</v>
      </c>
      <c r="CE2" s="81" t="s">
        <v>520</v>
      </c>
      <c r="CF2" s="81" t="s">
        <v>521</v>
      </c>
      <c r="CG2" s="81" t="s">
        <v>523</v>
      </c>
      <c r="CH2" s="81" t="s">
        <v>522</v>
      </c>
      <c r="CI2" s="81" t="s">
        <v>524</v>
      </c>
      <c r="CJ2" s="81" t="s">
        <v>525</v>
      </c>
      <c r="CK2" s="81" t="s">
        <v>526</v>
      </c>
      <c r="CL2" s="81" t="s">
        <v>527</v>
      </c>
      <c r="CM2" s="81" t="s">
        <v>550</v>
      </c>
      <c r="CN2" s="81" t="s">
        <v>551</v>
      </c>
      <c r="CO2" s="81" t="s">
        <v>552</v>
      </c>
      <c r="CP2" s="81" t="s">
        <v>553</v>
      </c>
      <c r="CQ2" s="137" t="s">
        <v>634</v>
      </c>
      <c r="CR2" s="137" t="s">
        <v>635</v>
      </c>
      <c r="CS2" s="137" t="s">
        <v>636</v>
      </c>
      <c r="CT2" s="137" t="s">
        <v>637</v>
      </c>
      <c r="CU2" s="137" t="s">
        <v>638</v>
      </c>
      <c r="CV2" s="137" t="s">
        <v>639</v>
      </c>
      <c r="CW2" s="137" t="s">
        <v>640</v>
      </c>
      <c r="CX2" s="137" t="s">
        <v>641</v>
      </c>
      <c r="CY2" s="81"/>
      <c r="CZ2" s="81"/>
      <c r="DA2" s="75"/>
      <c r="DB2" s="75"/>
      <c r="DC2" s="75"/>
      <c r="DD2" s="75"/>
      <c r="DE2" s="99">
        <v>2002</v>
      </c>
      <c r="DF2" s="99">
        <v>2003</v>
      </c>
      <c r="DG2" s="99">
        <v>2004</v>
      </c>
      <c r="DH2" s="99">
        <v>2005</v>
      </c>
      <c r="DI2" s="99">
        <v>2006</v>
      </c>
      <c r="DJ2" s="99">
        <f>DI2+1</f>
        <v>2007</v>
      </c>
      <c r="DK2" s="99">
        <f t="shared" ref="DK2:DR2" si="0">DJ2+1</f>
        <v>2008</v>
      </c>
      <c r="DL2" s="99">
        <f t="shared" si="0"/>
        <v>2009</v>
      </c>
      <c r="DM2" s="99">
        <f t="shared" si="0"/>
        <v>2010</v>
      </c>
      <c r="DN2" s="99">
        <f t="shared" si="0"/>
        <v>2011</v>
      </c>
      <c r="DO2" s="99">
        <f t="shared" si="0"/>
        <v>2012</v>
      </c>
      <c r="DP2" s="99">
        <f t="shared" si="0"/>
        <v>2013</v>
      </c>
      <c r="DQ2" s="99">
        <f t="shared" si="0"/>
        <v>2014</v>
      </c>
      <c r="DR2" s="99">
        <f t="shared" si="0"/>
        <v>2015</v>
      </c>
      <c r="DS2" s="99">
        <v>2016</v>
      </c>
      <c r="DT2" s="99">
        <v>2017</v>
      </c>
      <c r="DU2" s="99">
        <v>2018</v>
      </c>
      <c r="DV2" s="99">
        <v>2019</v>
      </c>
      <c r="DW2" s="99">
        <v>2020</v>
      </c>
      <c r="DX2" s="99">
        <v>2021</v>
      </c>
      <c r="DY2" s="99">
        <v>2022</v>
      </c>
      <c r="DZ2" s="99">
        <v>2023</v>
      </c>
      <c r="EA2" s="99">
        <v>2024</v>
      </c>
      <c r="EB2" s="99">
        <v>2025</v>
      </c>
      <c r="EC2" s="99">
        <f>+EB2+1</f>
        <v>2026</v>
      </c>
      <c r="ED2" s="99">
        <f t="shared" ref="ED2:EL2" si="1">+EC2+1</f>
        <v>2027</v>
      </c>
      <c r="EE2" s="99">
        <f t="shared" si="1"/>
        <v>2028</v>
      </c>
      <c r="EF2" s="99">
        <f t="shared" si="1"/>
        <v>2029</v>
      </c>
      <c r="EG2" s="99">
        <f t="shared" si="1"/>
        <v>2030</v>
      </c>
      <c r="EH2" s="99">
        <f t="shared" si="1"/>
        <v>2031</v>
      </c>
      <c r="EI2" s="99">
        <f t="shared" si="1"/>
        <v>2032</v>
      </c>
      <c r="EJ2" s="99">
        <f t="shared" si="1"/>
        <v>2033</v>
      </c>
      <c r="EK2" s="99">
        <f t="shared" si="1"/>
        <v>2034</v>
      </c>
      <c r="EL2" s="99">
        <f t="shared" si="1"/>
        <v>2035</v>
      </c>
    </row>
    <row r="3" spans="1:142" s="69" customFormat="1">
      <c r="A3" s="109"/>
      <c r="B3" s="134" t="s">
        <v>528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75"/>
      <c r="AM3" s="75"/>
      <c r="AN3" s="75"/>
      <c r="AO3" s="75"/>
      <c r="AP3" s="75"/>
      <c r="AQ3" s="76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>
        <v>304</v>
      </c>
      <c r="BS3" s="75">
        <v>338</v>
      </c>
      <c r="BT3" s="75">
        <v>422</v>
      </c>
      <c r="BU3" s="75">
        <v>506</v>
      </c>
      <c r="BV3" s="75">
        <v>594</v>
      </c>
      <c r="BW3" s="81">
        <v>630</v>
      </c>
      <c r="BX3" s="81">
        <v>784</v>
      </c>
      <c r="BY3" s="81">
        <v>891</v>
      </c>
      <c r="BZ3" s="81">
        <v>884</v>
      </c>
      <c r="CA3" s="81">
        <v>982</v>
      </c>
      <c r="CB3" s="81">
        <v>1034</v>
      </c>
      <c r="CC3" s="81">
        <v>1155</v>
      </c>
      <c r="CD3" s="81">
        <v>1157</v>
      </c>
      <c r="CE3" s="81">
        <v>1149</v>
      </c>
      <c r="CF3" s="81">
        <v>1306</v>
      </c>
      <c r="CG3" s="81">
        <v>1247</v>
      </c>
      <c r="CH3" s="81">
        <v>1314</v>
      </c>
      <c r="CI3" s="81">
        <v>1304</v>
      </c>
      <c r="CJ3" s="81">
        <v>1400</v>
      </c>
      <c r="CK3" s="81">
        <v>1398</v>
      </c>
      <c r="CL3" s="81">
        <v>1342</v>
      </c>
      <c r="CM3" s="81">
        <v>1424</v>
      </c>
      <c r="CN3" s="81">
        <v>1491</v>
      </c>
      <c r="CO3" s="81">
        <v>1465</v>
      </c>
      <c r="CP3" s="81">
        <v>1419</v>
      </c>
      <c r="CQ3" s="81">
        <v>1595</v>
      </c>
      <c r="CR3" s="81">
        <v>1608</v>
      </c>
      <c r="CS3" s="81"/>
      <c r="CT3" s="81"/>
      <c r="CU3" s="81"/>
      <c r="CV3" s="81"/>
      <c r="CW3" s="81"/>
      <c r="CX3" s="81"/>
      <c r="CY3" s="81"/>
      <c r="CZ3" s="81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>
        <f>SUM(BW3:BZ3)</f>
        <v>3189</v>
      </c>
      <c r="DW3" s="75">
        <f>SUM(CA3:CD3)</f>
        <v>4328</v>
      </c>
      <c r="DX3" s="75">
        <f t="shared" ref="DX3:DX7" si="2">SUM(CE3:CH3)</f>
        <v>5016</v>
      </c>
      <c r="DY3" s="75">
        <f t="shared" ref="DY3:DY7" si="3">SUM(CI3:CL3)</f>
        <v>5444</v>
      </c>
      <c r="DZ3" s="75">
        <f t="shared" ref="DZ3:DZ7" si="4">SUM(CM3:CP3)</f>
        <v>5799</v>
      </c>
      <c r="EA3" s="75">
        <f>+DZ3*1.01</f>
        <v>5856.99</v>
      </c>
      <c r="EB3" s="75">
        <f t="shared" ref="EB3:EE3" si="5">+EA3*1.01</f>
        <v>5915.5599000000002</v>
      </c>
      <c r="EC3" s="75">
        <f t="shared" si="5"/>
        <v>5974.7154989999999</v>
      </c>
      <c r="ED3" s="75">
        <f t="shared" si="5"/>
        <v>6034.46265399</v>
      </c>
      <c r="EE3" s="75">
        <f t="shared" si="5"/>
        <v>6094.8072805298998</v>
      </c>
      <c r="EF3" s="75">
        <f>+EE3*0.95</f>
        <v>5790.0669165034042</v>
      </c>
      <c r="EG3" s="75">
        <f>+EF3*0.95</f>
        <v>5500.5635706782341</v>
      </c>
      <c r="EH3" s="75">
        <f>+EG3*0.95</f>
        <v>5225.535392144322</v>
      </c>
      <c r="EI3" s="75">
        <f>+EH3*0.5</f>
        <v>2612.767696072161</v>
      </c>
      <c r="EJ3" s="69">
        <f>+EI3*0.2</f>
        <v>522.55353921443225</v>
      </c>
      <c r="EK3" s="69">
        <f t="shared" ref="EK3:EL3" si="6">+EJ3*0.2</f>
        <v>104.51070784288646</v>
      </c>
      <c r="EL3" s="69">
        <f t="shared" si="6"/>
        <v>20.902141568577292</v>
      </c>
    </row>
    <row r="4" spans="1:142" s="11" customFormat="1">
      <c r="A4" s="35"/>
      <c r="B4" s="103" t="s">
        <v>533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6"/>
      <c r="AL4" s="75"/>
      <c r="AM4" s="75"/>
      <c r="AN4" s="75"/>
      <c r="AO4" s="75"/>
      <c r="AP4" s="75"/>
      <c r="AQ4" s="76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>
        <v>332</v>
      </c>
      <c r="BS4" s="75">
        <v>299</v>
      </c>
      <c r="BT4" s="75">
        <v>340</v>
      </c>
      <c r="BU4" s="75">
        <v>355</v>
      </c>
      <c r="BV4" s="75">
        <v>397</v>
      </c>
      <c r="BW4" s="81">
        <v>349</v>
      </c>
      <c r="BX4" s="81">
        <v>377</v>
      </c>
      <c r="BY4" s="81">
        <v>398</v>
      </c>
      <c r="BZ4" s="81">
        <v>419</v>
      </c>
      <c r="CA4" s="81">
        <v>405</v>
      </c>
      <c r="CB4" s="81">
        <v>443</v>
      </c>
      <c r="CC4" s="81">
        <v>525</v>
      </c>
      <c r="CD4" s="81">
        <v>586</v>
      </c>
      <c r="CE4" s="81">
        <v>624</v>
      </c>
      <c r="CF4" s="81">
        <v>732</v>
      </c>
      <c r="CG4" s="81">
        <v>796</v>
      </c>
      <c r="CH4" s="81">
        <v>848</v>
      </c>
      <c r="CI4" s="81">
        <v>1000</v>
      </c>
      <c r="CJ4" s="81">
        <v>1103</v>
      </c>
      <c r="CK4" s="81">
        <v>1101</v>
      </c>
      <c r="CL4" s="81">
        <v>1177</v>
      </c>
      <c r="CM4" s="81">
        <v>1299</v>
      </c>
      <c r="CN4" s="81">
        <v>1505</v>
      </c>
      <c r="CO4" s="81">
        <v>1554</v>
      </c>
      <c r="CP4" s="81">
        <v>1606</v>
      </c>
      <c r="CQ4" s="81">
        <v>1892</v>
      </c>
      <c r="CR4" s="81">
        <v>1945</v>
      </c>
      <c r="CS4" s="81"/>
      <c r="CT4" s="81"/>
      <c r="CU4" s="81"/>
      <c r="CV4" s="81"/>
      <c r="CW4" s="81"/>
      <c r="CX4" s="81"/>
      <c r="CY4" s="81"/>
      <c r="CZ4" s="81"/>
      <c r="DA4" s="75"/>
      <c r="DB4" s="75"/>
      <c r="DC4" s="75"/>
      <c r="DD4" s="75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5">
        <f t="shared" ref="DV4:DV78" si="7">SUM(BW4:BZ4)</f>
        <v>1543</v>
      </c>
      <c r="DW4" s="75">
        <f t="shared" ref="DW4:DW78" si="8">SUM(CA4:CD4)</f>
        <v>1959</v>
      </c>
      <c r="DX4" s="75">
        <f t="shared" si="2"/>
        <v>3000</v>
      </c>
      <c r="DY4" s="75">
        <f t="shared" si="3"/>
        <v>4381</v>
      </c>
      <c r="DZ4" s="75">
        <f t="shared" si="4"/>
        <v>5964</v>
      </c>
      <c r="EA4" s="75">
        <f>+DZ4*1.05</f>
        <v>6262.2</v>
      </c>
      <c r="EB4" s="75">
        <f>+EA4*1.05</f>
        <v>6575.31</v>
      </c>
      <c r="EC4" s="69">
        <f>+EB4*0.2</f>
        <v>1315.0620000000001</v>
      </c>
      <c r="ED4" s="69">
        <f t="shared" ref="ED4:EL4" si="9">+EC4*0.2</f>
        <v>263.01240000000001</v>
      </c>
      <c r="EE4" s="69">
        <f t="shared" si="9"/>
        <v>52.602480000000007</v>
      </c>
      <c r="EF4" s="69">
        <f t="shared" si="9"/>
        <v>10.520496000000001</v>
      </c>
      <c r="EG4" s="69">
        <f t="shared" si="9"/>
        <v>2.1040992000000003</v>
      </c>
      <c r="EH4" s="69">
        <f t="shared" si="9"/>
        <v>0.42081984000000006</v>
      </c>
      <c r="EI4" s="69">
        <f t="shared" si="9"/>
        <v>8.416396800000002E-2</v>
      </c>
      <c r="EJ4" s="69">
        <f t="shared" si="9"/>
        <v>1.6832793600000003E-2</v>
      </c>
      <c r="EK4" s="69">
        <f t="shared" si="9"/>
        <v>3.366558720000001E-3</v>
      </c>
      <c r="EL4" s="69">
        <f t="shared" si="9"/>
        <v>6.7331174400000028E-4</v>
      </c>
    </row>
    <row r="5" spans="1:142" s="11" customFormat="1">
      <c r="A5" s="35"/>
      <c r="B5" s="103" t="s">
        <v>544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6"/>
      <c r="AL5" s="75"/>
      <c r="AM5" s="75"/>
      <c r="AN5" s="75"/>
      <c r="AO5" s="75"/>
      <c r="AP5" s="75"/>
      <c r="AQ5" s="76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>
        <v>0</v>
      </c>
      <c r="BS5" s="75">
        <v>0</v>
      </c>
      <c r="BT5" s="75">
        <v>0</v>
      </c>
      <c r="BU5" s="75">
        <v>0</v>
      </c>
      <c r="BV5" s="75">
        <v>0</v>
      </c>
      <c r="BW5" s="81">
        <v>0</v>
      </c>
      <c r="BX5" s="81">
        <v>0</v>
      </c>
      <c r="BY5" s="81">
        <v>0</v>
      </c>
      <c r="BZ5" s="81">
        <v>0</v>
      </c>
      <c r="CA5" s="81">
        <v>0</v>
      </c>
      <c r="CB5" s="81">
        <v>0</v>
      </c>
      <c r="CC5" s="81">
        <v>0</v>
      </c>
      <c r="CD5" s="81">
        <v>0</v>
      </c>
      <c r="CE5" s="81">
        <v>0</v>
      </c>
      <c r="CF5" s="81">
        <v>0</v>
      </c>
      <c r="CG5" s="81">
        <v>798</v>
      </c>
      <c r="CH5" s="81">
        <v>1076</v>
      </c>
      <c r="CI5" s="81">
        <v>990</v>
      </c>
      <c r="CJ5" s="81">
        <v>1027</v>
      </c>
      <c r="CK5" s="81">
        <v>901</v>
      </c>
      <c r="CL5" s="81">
        <v>844</v>
      </c>
      <c r="CM5" s="81">
        <v>834</v>
      </c>
      <c r="CN5" s="81">
        <v>814</v>
      </c>
      <c r="CO5" s="81">
        <v>781</v>
      </c>
      <c r="CP5" s="81">
        <v>715</v>
      </c>
      <c r="CQ5" s="81">
        <v>739</v>
      </c>
      <c r="CR5" s="81">
        <v>700</v>
      </c>
      <c r="CS5" s="81"/>
      <c r="CT5" s="81"/>
      <c r="CU5" s="81"/>
      <c r="CV5" s="81"/>
      <c r="CW5" s="81"/>
      <c r="CX5" s="81"/>
      <c r="CY5" s="81"/>
      <c r="CZ5" s="81"/>
      <c r="DA5" s="75"/>
      <c r="DB5" s="75"/>
      <c r="DC5" s="75"/>
      <c r="DD5" s="75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5">
        <f t="shared" si="7"/>
        <v>0</v>
      </c>
      <c r="DW5" s="75">
        <f t="shared" si="8"/>
        <v>0</v>
      </c>
      <c r="DX5" s="75">
        <f t="shared" si="2"/>
        <v>1874</v>
      </c>
      <c r="DY5" s="75">
        <f t="shared" si="3"/>
        <v>3762</v>
      </c>
      <c r="DZ5" s="75">
        <f t="shared" si="4"/>
        <v>3144</v>
      </c>
      <c r="EA5" s="75">
        <f>+DZ5*0.95</f>
        <v>2986.7999999999997</v>
      </c>
      <c r="EB5" s="75">
        <f t="shared" ref="EB5:EL5" si="10">+EA5*0.95</f>
        <v>2837.4599999999996</v>
      </c>
      <c r="EC5" s="75">
        <f t="shared" si="10"/>
        <v>2695.5869999999995</v>
      </c>
      <c r="ED5" s="75">
        <f t="shared" si="10"/>
        <v>2560.8076499999993</v>
      </c>
      <c r="EE5" s="75">
        <f t="shared" si="10"/>
        <v>2432.767267499999</v>
      </c>
      <c r="EF5" s="75">
        <f t="shared" si="10"/>
        <v>2311.1289041249988</v>
      </c>
      <c r="EG5" s="75">
        <f t="shared" si="10"/>
        <v>2195.5724589187489</v>
      </c>
      <c r="EH5" s="75">
        <f t="shared" si="10"/>
        <v>2085.7938359728114</v>
      </c>
      <c r="EI5" s="75">
        <f t="shared" si="10"/>
        <v>1981.5041441741707</v>
      </c>
      <c r="EJ5" s="75">
        <f t="shared" si="10"/>
        <v>1882.4289369654621</v>
      </c>
      <c r="EK5" s="75">
        <f t="shared" si="10"/>
        <v>1788.307490117189</v>
      </c>
      <c r="EL5" s="75">
        <f t="shared" si="10"/>
        <v>1698.8921156113295</v>
      </c>
    </row>
    <row r="6" spans="1:142" s="11" customFormat="1">
      <c r="A6" s="35"/>
      <c r="B6" s="139" t="s">
        <v>643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6"/>
      <c r="AL6" s="75"/>
      <c r="AM6" s="75"/>
      <c r="AN6" s="75"/>
      <c r="AO6" s="75"/>
      <c r="AP6" s="75"/>
      <c r="AQ6" s="76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>
        <v>18</v>
      </c>
      <c r="BS6" s="75">
        <v>62</v>
      </c>
      <c r="BT6" s="75">
        <v>122</v>
      </c>
      <c r="BU6" s="75">
        <v>187</v>
      </c>
      <c r="BV6" s="75">
        <v>262</v>
      </c>
      <c r="BW6" s="81">
        <v>295</v>
      </c>
      <c r="BX6" s="81">
        <v>338</v>
      </c>
      <c r="BY6" s="81">
        <v>412</v>
      </c>
      <c r="BZ6" s="81">
        <v>424</v>
      </c>
      <c r="CA6" s="81">
        <v>462</v>
      </c>
      <c r="CB6" s="81">
        <v>492</v>
      </c>
      <c r="CC6" s="81">
        <v>533</v>
      </c>
      <c r="CD6" s="81">
        <v>555</v>
      </c>
      <c r="CE6" s="81">
        <v>556</v>
      </c>
      <c r="CF6" s="81">
        <v>604</v>
      </c>
      <c r="CG6" s="81">
        <v>618</v>
      </c>
      <c r="CH6" s="81">
        <v>634</v>
      </c>
      <c r="CI6" s="81">
        <v>599</v>
      </c>
      <c r="CJ6" s="81">
        <v>695</v>
      </c>
      <c r="CK6" s="81">
        <v>737</v>
      </c>
      <c r="CL6" s="81">
        <v>752</v>
      </c>
      <c r="CM6" s="81">
        <v>900</v>
      </c>
      <c r="CN6" s="81">
        <v>1076</v>
      </c>
      <c r="CO6" s="81">
        <v>1126</v>
      </c>
      <c r="CP6" s="81">
        <v>1135</v>
      </c>
      <c r="CQ6" s="81">
        <v>1113</v>
      </c>
      <c r="CR6" s="81">
        <v>1147</v>
      </c>
      <c r="CS6" s="81"/>
      <c r="CT6" s="81"/>
      <c r="CU6" s="81"/>
      <c r="CV6" s="81"/>
      <c r="CW6" s="81"/>
      <c r="CX6" s="81"/>
      <c r="CY6" s="81"/>
      <c r="CZ6" s="81"/>
      <c r="DA6" s="75"/>
      <c r="DB6" s="75"/>
      <c r="DC6" s="75"/>
      <c r="DD6" s="75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5">
        <f t="shared" si="7"/>
        <v>1469</v>
      </c>
      <c r="DW6" s="75">
        <f t="shared" si="8"/>
        <v>2042</v>
      </c>
      <c r="DX6" s="75">
        <f t="shared" si="2"/>
        <v>2412</v>
      </c>
      <c r="DY6" s="75">
        <f t="shared" si="3"/>
        <v>2783</v>
      </c>
      <c r="DZ6" s="75">
        <f t="shared" si="4"/>
        <v>4237</v>
      </c>
      <c r="EA6" s="75">
        <f>+DZ6*1.05</f>
        <v>4448.8500000000004</v>
      </c>
      <c r="EB6" s="75">
        <f t="shared" ref="EB6:EE6" si="11">+EA6*1.05</f>
        <v>4671.2925000000005</v>
      </c>
      <c r="EC6" s="75">
        <f t="shared" si="11"/>
        <v>4904.8571250000005</v>
      </c>
      <c r="ED6" s="75">
        <f t="shared" si="11"/>
        <v>5150.0999812500004</v>
      </c>
      <c r="EE6" s="75">
        <f t="shared" si="11"/>
        <v>5407.6049803125006</v>
      </c>
      <c r="EF6" s="69">
        <f>+EE6*0.95</f>
        <v>5137.2247312968757</v>
      </c>
      <c r="EG6" s="69">
        <f t="shared" ref="EG6:EL6" si="12">+EF6*0.95</f>
        <v>4880.3634947320315</v>
      </c>
      <c r="EH6" s="69">
        <f t="shared" si="12"/>
        <v>4636.3453199954301</v>
      </c>
      <c r="EI6" s="69">
        <f t="shared" si="12"/>
        <v>4404.5280539956584</v>
      </c>
      <c r="EJ6" s="69">
        <f t="shared" si="12"/>
        <v>4184.3016512958757</v>
      </c>
      <c r="EK6" s="69">
        <f t="shared" si="12"/>
        <v>3975.0865687310816</v>
      </c>
      <c r="EL6" s="69">
        <f t="shared" si="12"/>
        <v>3776.3322402945273</v>
      </c>
    </row>
    <row r="7" spans="1:142" s="11" customFormat="1">
      <c r="A7" s="35"/>
      <c r="B7" s="104" t="s">
        <v>357</v>
      </c>
      <c r="C7" s="44">
        <v>3</v>
      </c>
      <c r="D7" s="44">
        <v>11</v>
      </c>
      <c r="E7" s="44">
        <v>20</v>
      </c>
      <c r="F7" s="44">
        <v>49</v>
      </c>
      <c r="G7" s="44">
        <v>54</v>
      </c>
      <c r="H7" s="44">
        <v>68</v>
      </c>
      <c r="I7" s="44">
        <v>72</v>
      </c>
      <c r="J7" s="44">
        <v>105</v>
      </c>
      <c r="K7" s="44">
        <v>122</v>
      </c>
      <c r="L7" s="44">
        <v>127</v>
      </c>
      <c r="M7" s="44">
        <v>128</v>
      </c>
      <c r="N7" s="44">
        <v>172</v>
      </c>
      <c r="O7" s="44">
        <v>188</v>
      </c>
      <c r="P7" s="44">
        <v>205</v>
      </c>
      <c r="Q7" s="44">
        <v>185</v>
      </c>
      <c r="R7" s="44">
        <v>219</v>
      </c>
      <c r="S7" s="44">
        <v>247</v>
      </c>
      <c r="T7" s="44">
        <v>255</v>
      </c>
      <c r="U7" s="44">
        <v>240</v>
      </c>
      <c r="V7" s="44">
        <v>264</v>
      </c>
      <c r="W7" s="44">
        <v>277</v>
      </c>
      <c r="X7" s="44">
        <v>308</v>
      </c>
      <c r="Y7" s="44">
        <v>276</v>
      </c>
      <c r="Z7" s="44">
        <v>323</v>
      </c>
      <c r="AA7" s="44">
        <v>354</v>
      </c>
      <c r="AB7" s="44">
        <v>414</v>
      </c>
      <c r="AC7" s="44">
        <v>371</v>
      </c>
      <c r="AD7" s="44">
        <v>436</v>
      </c>
      <c r="AE7" s="44">
        <v>471</v>
      </c>
      <c r="AF7" s="44">
        <v>518</v>
      </c>
      <c r="AG7" s="44">
        <v>501</v>
      </c>
      <c r="AH7" s="44">
        <v>514</v>
      </c>
      <c r="AI7" s="44">
        <v>515</v>
      </c>
      <c r="AJ7" s="44">
        <v>551</v>
      </c>
      <c r="AK7" s="56">
        <v>562</v>
      </c>
      <c r="AL7" s="44">
        <v>666</v>
      </c>
      <c r="AM7" s="44">
        <v>701</v>
      </c>
      <c r="AN7" s="44">
        <v>664</v>
      </c>
      <c r="AO7" s="44">
        <v>640</v>
      </c>
      <c r="AP7" s="44">
        <v>741</v>
      </c>
      <c r="AQ7" s="73">
        <v>752</v>
      </c>
      <c r="AR7" s="44">
        <f>+AQ7+15</f>
        <v>767</v>
      </c>
      <c r="AS7" s="44">
        <v>755</v>
      </c>
      <c r="AT7" s="44">
        <v>839</v>
      </c>
      <c r="AU7" s="44">
        <v>723</v>
      </c>
      <c r="AV7" s="44"/>
      <c r="AW7" s="44"/>
      <c r="AX7" s="44"/>
      <c r="AY7" s="44">
        <v>826</v>
      </c>
      <c r="AZ7" s="44">
        <v>842</v>
      </c>
      <c r="BA7" s="44"/>
      <c r="BB7" s="44"/>
      <c r="BC7" s="44">
        <v>928</v>
      </c>
      <c r="BD7" s="44">
        <v>928</v>
      </c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>
        <v>752</v>
      </c>
      <c r="BS7" s="44">
        <v>634</v>
      </c>
      <c r="BT7" s="44">
        <v>672</v>
      </c>
      <c r="BU7" s="44">
        <v>619</v>
      </c>
      <c r="BV7" s="44">
        <v>636</v>
      </c>
      <c r="BW7" s="78">
        <v>585</v>
      </c>
      <c r="BX7" s="78">
        <v>585</v>
      </c>
      <c r="BY7" s="78">
        <v>613</v>
      </c>
      <c r="BZ7" s="78">
        <v>712</v>
      </c>
      <c r="CA7" s="78">
        <v>790</v>
      </c>
      <c r="CB7" s="78">
        <v>653</v>
      </c>
      <c r="CC7" s="78">
        <v>599</v>
      </c>
      <c r="CD7" s="78">
        <v>680</v>
      </c>
      <c r="CE7" s="78">
        <v>691</v>
      </c>
      <c r="CF7" s="78">
        <v>680</v>
      </c>
      <c r="CG7" s="78">
        <v>676</v>
      </c>
      <c r="CH7" s="78">
        <v>681</v>
      </c>
      <c r="CI7" s="78">
        <v>674</v>
      </c>
      <c r="CJ7" s="78">
        <v>614</v>
      </c>
      <c r="CK7" s="78">
        <v>630</v>
      </c>
      <c r="CL7" s="78">
        <v>620</v>
      </c>
      <c r="CM7" s="78">
        <v>688</v>
      </c>
      <c r="CN7" s="78">
        <v>600</v>
      </c>
      <c r="CO7" s="78">
        <v>555</v>
      </c>
      <c r="CP7" s="78">
        <v>520</v>
      </c>
      <c r="CQ7" s="78">
        <v>769</v>
      </c>
      <c r="CR7" s="78">
        <v>722</v>
      </c>
      <c r="CS7" s="78"/>
      <c r="CT7" s="78"/>
      <c r="CU7" s="78"/>
      <c r="CV7" s="78"/>
      <c r="CW7" s="78"/>
      <c r="CX7" s="78"/>
      <c r="CY7" s="78"/>
      <c r="CZ7" s="78"/>
      <c r="DA7" s="44"/>
      <c r="DB7" s="44"/>
      <c r="DC7" s="44"/>
      <c r="DD7" s="43"/>
      <c r="DE7" s="44">
        <v>299</v>
      </c>
      <c r="DF7" s="44">
        <v>549</v>
      </c>
      <c r="DG7" s="44">
        <v>797</v>
      </c>
      <c r="DH7" s="44">
        <f>SUM(S7:V7)</f>
        <v>1006</v>
      </c>
      <c r="DI7" s="44">
        <f>SUM(W7:Z7)</f>
        <v>1184</v>
      </c>
      <c r="DJ7" s="44">
        <f>SUM(AA7:AD7)</f>
        <v>1575</v>
      </c>
      <c r="DK7" s="44">
        <f>SUM(AE7:AH7)</f>
        <v>2004</v>
      </c>
      <c r="DL7" s="44">
        <f>SUM(AI7:AL7)</f>
        <v>2294</v>
      </c>
      <c r="DM7" s="44">
        <f>SUM(AM7:AP7)</f>
        <v>2746</v>
      </c>
      <c r="DN7" s="44">
        <f>SUM(AQ7:AT7)</f>
        <v>3113</v>
      </c>
      <c r="DO7" s="44">
        <f>SUM(AU7:AX7)</f>
        <v>723</v>
      </c>
      <c r="DP7" s="44">
        <f>DO7*1.08</f>
        <v>780.84</v>
      </c>
      <c r="DQ7" s="44">
        <f>DP7*1.07</f>
        <v>835.49880000000007</v>
      </c>
      <c r="DR7" s="44">
        <f>DQ7*1.06</f>
        <v>885.62872800000014</v>
      </c>
      <c r="DS7" s="44">
        <f>DR7*1.05</f>
        <v>929.91016440000021</v>
      </c>
      <c r="DT7" s="44">
        <f>DS7*1.04</f>
        <v>967.10657097600028</v>
      </c>
      <c r="DU7" s="44"/>
      <c r="DV7" s="75">
        <f t="shared" si="7"/>
        <v>2495</v>
      </c>
      <c r="DW7" s="75">
        <f t="shared" si="8"/>
        <v>2722</v>
      </c>
      <c r="DX7" s="75">
        <f t="shared" si="2"/>
        <v>2728</v>
      </c>
      <c r="DY7" s="75">
        <f t="shared" si="3"/>
        <v>2538</v>
      </c>
      <c r="DZ7" s="75">
        <f t="shared" si="4"/>
        <v>2363</v>
      </c>
      <c r="EA7" s="69">
        <f>+DZ7*0.95</f>
        <v>2244.85</v>
      </c>
      <c r="EB7" s="69">
        <f t="shared" ref="EB7:EL7" si="13">+EA7*0.95</f>
        <v>2132.6074999999996</v>
      </c>
      <c r="EC7" s="69">
        <f t="shared" si="13"/>
        <v>2025.9771249999994</v>
      </c>
      <c r="ED7" s="69">
        <f t="shared" si="13"/>
        <v>1924.6782687499995</v>
      </c>
      <c r="EE7" s="69">
        <f t="shared" si="13"/>
        <v>1828.4443553124995</v>
      </c>
      <c r="EF7" s="69">
        <f t="shared" si="13"/>
        <v>1737.0221375468745</v>
      </c>
      <c r="EG7" s="69">
        <f t="shared" si="13"/>
        <v>1650.1710306695306</v>
      </c>
      <c r="EH7" s="69">
        <f t="shared" si="13"/>
        <v>1567.6624791360541</v>
      </c>
      <c r="EI7" s="69">
        <f t="shared" si="13"/>
        <v>1489.2793551792513</v>
      </c>
      <c r="EJ7" s="69">
        <f t="shared" si="13"/>
        <v>1414.8153874202887</v>
      </c>
      <c r="EK7" s="69">
        <f t="shared" si="13"/>
        <v>1344.0746180492742</v>
      </c>
      <c r="EL7" s="69">
        <f t="shared" si="13"/>
        <v>1276.8708871468104</v>
      </c>
    </row>
    <row r="8" spans="1:142" s="11" customFormat="1">
      <c r="A8" s="35"/>
      <c r="B8" s="103" t="s">
        <v>529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6"/>
      <c r="AL8" s="75"/>
      <c r="AM8" s="75"/>
      <c r="AN8" s="75"/>
      <c r="AO8" s="75"/>
      <c r="AP8" s="75"/>
      <c r="AQ8" s="76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>
        <v>100</v>
      </c>
      <c r="BS8" s="75">
        <v>119</v>
      </c>
      <c r="BT8" s="75">
        <v>150</v>
      </c>
      <c r="BU8" s="75">
        <v>169</v>
      </c>
      <c r="BV8" s="75">
        <v>209</v>
      </c>
      <c r="BW8" s="81">
        <v>237</v>
      </c>
      <c r="BX8" s="81">
        <v>283</v>
      </c>
      <c r="BY8" s="81">
        <v>327</v>
      </c>
      <c r="BZ8" s="81">
        <v>351</v>
      </c>
      <c r="CA8" s="81">
        <v>397</v>
      </c>
      <c r="CB8" s="81">
        <v>419</v>
      </c>
      <c r="CC8" s="81">
        <v>464</v>
      </c>
      <c r="CD8" s="81">
        <v>496</v>
      </c>
      <c r="CE8" s="81">
        <v>543</v>
      </c>
      <c r="CF8" s="81">
        <v>588</v>
      </c>
      <c r="CG8" s="81">
        <v>588</v>
      </c>
      <c r="CH8" s="81">
        <v>629</v>
      </c>
      <c r="CI8" s="81">
        <v>617</v>
      </c>
      <c r="CJ8" s="81">
        <v>673</v>
      </c>
      <c r="CK8" s="81">
        <v>659</v>
      </c>
      <c r="CL8" s="81">
        <v>689</v>
      </c>
      <c r="CM8" s="81">
        <v>651</v>
      </c>
      <c r="CN8" s="81">
        <v>717</v>
      </c>
      <c r="CO8" s="81">
        <v>702</v>
      </c>
      <c r="CP8" s="81">
        <v>741</v>
      </c>
      <c r="CQ8" s="81">
        <v>705</v>
      </c>
      <c r="CR8" s="81">
        <v>744</v>
      </c>
      <c r="CS8" s="81"/>
      <c r="CT8" s="81"/>
      <c r="CU8" s="81"/>
      <c r="CV8" s="81"/>
      <c r="CW8" s="81"/>
      <c r="CX8" s="81"/>
      <c r="CY8" s="81"/>
      <c r="CZ8" s="81"/>
      <c r="DA8" s="75"/>
      <c r="DB8" s="75"/>
      <c r="DC8" s="75"/>
      <c r="DD8" s="75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5">
        <f t="shared" si="7"/>
        <v>1198</v>
      </c>
      <c r="DW8" s="75">
        <f t="shared" si="8"/>
        <v>1776</v>
      </c>
      <c r="DX8" s="75">
        <f>SUM(CE8:CH8)</f>
        <v>2348</v>
      </c>
      <c r="DY8" s="75">
        <f>SUM(CI8:CL8)</f>
        <v>2638</v>
      </c>
      <c r="DZ8" s="75">
        <f>SUM(CM8:CP8)</f>
        <v>2811</v>
      </c>
      <c r="EA8" s="75">
        <f>+DZ8*1.1</f>
        <v>3092.1000000000004</v>
      </c>
      <c r="EB8" s="75">
        <f>+EA8*0.2</f>
        <v>618.42000000000007</v>
      </c>
      <c r="EC8" s="75">
        <f t="shared" ref="EC8:EL8" si="14">+EB8*0.2</f>
        <v>123.68400000000003</v>
      </c>
      <c r="ED8" s="75">
        <f t="shared" si="14"/>
        <v>24.736800000000006</v>
      </c>
      <c r="EE8" s="75">
        <f t="shared" si="14"/>
        <v>4.9473600000000015</v>
      </c>
      <c r="EF8" s="75">
        <f t="shared" si="14"/>
        <v>0.98947200000000035</v>
      </c>
      <c r="EG8" s="75">
        <f t="shared" si="14"/>
        <v>0.19789440000000008</v>
      </c>
      <c r="EH8" s="75">
        <f t="shared" si="14"/>
        <v>3.9578880000000018E-2</v>
      </c>
      <c r="EI8" s="75">
        <f t="shared" si="14"/>
        <v>7.9157760000000046E-3</v>
      </c>
      <c r="EJ8" s="75">
        <f t="shared" si="14"/>
        <v>1.5831552000000011E-3</v>
      </c>
      <c r="EK8" s="75">
        <f t="shared" si="14"/>
        <v>3.1663104000000022E-4</v>
      </c>
      <c r="EL8" s="75">
        <f t="shared" si="14"/>
        <v>6.3326208000000046E-5</v>
      </c>
    </row>
    <row r="9" spans="1:142" s="11" customFormat="1">
      <c r="A9" s="35"/>
      <c r="B9" s="103" t="s">
        <v>541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6"/>
      <c r="AL9" s="75"/>
      <c r="AM9" s="75"/>
      <c r="AN9" s="75"/>
      <c r="AO9" s="75"/>
      <c r="AP9" s="75"/>
      <c r="AQ9" s="76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>
        <v>0</v>
      </c>
      <c r="BS9" s="75">
        <v>0</v>
      </c>
      <c r="BT9" s="75">
        <v>0</v>
      </c>
      <c r="BU9" s="75">
        <v>0</v>
      </c>
      <c r="BV9" s="75">
        <v>0</v>
      </c>
      <c r="BW9" s="81">
        <v>0</v>
      </c>
      <c r="BX9" s="81">
        <v>0</v>
      </c>
      <c r="BY9" s="81">
        <v>0</v>
      </c>
      <c r="BZ9" s="81">
        <v>0</v>
      </c>
      <c r="CA9" s="81">
        <v>0</v>
      </c>
      <c r="CB9" s="81">
        <v>0</v>
      </c>
      <c r="CC9" s="81">
        <v>0</v>
      </c>
      <c r="CD9" s="81">
        <v>0</v>
      </c>
      <c r="CE9" s="81">
        <v>275</v>
      </c>
      <c r="CF9" s="81">
        <v>862</v>
      </c>
      <c r="CG9" s="81">
        <v>1000</v>
      </c>
      <c r="CH9" s="81">
        <v>1781</v>
      </c>
      <c r="CI9" s="81">
        <v>1089</v>
      </c>
      <c r="CJ9" s="81">
        <v>451</v>
      </c>
      <c r="CK9" s="81">
        <v>173</v>
      </c>
      <c r="CL9" s="81">
        <v>85</v>
      </c>
      <c r="CM9" s="81">
        <v>28</v>
      </c>
      <c r="CN9" s="81">
        <v>0</v>
      </c>
      <c r="CO9" s="81">
        <v>0</v>
      </c>
      <c r="CP9" s="81">
        <v>-17</v>
      </c>
      <c r="CQ9" s="81">
        <v>0</v>
      </c>
      <c r="CR9" s="81">
        <v>0</v>
      </c>
      <c r="CS9" s="81"/>
      <c r="CT9" s="81"/>
      <c r="CU9" s="81"/>
      <c r="CV9" s="81"/>
      <c r="CW9" s="81"/>
      <c r="CX9" s="81"/>
      <c r="CY9" s="81"/>
      <c r="CZ9" s="81"/>
      <c r="DA9" s="75"/>
      <c r="DB9" s="75"/>
      <c r="DC9" s="75"/>
      <c r="DD9" s="75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5">
        <f t="shared" si="7"/>
        <v>0</v>
      </c>
      <c r="DW9" s="75">
        <f t="shared" si="8"/>
        <v>0</v>
      </c>
      <c r="DX9" s="75">
        <f t="shared" ref="DX9:DX43" si="15">SUM(CE9:CH9)</f>
        <v>3918</v>
      </c>
      <c r="DY9" s="75">
        <f t="shared" ref="DY9:DY43" si="16">SUM(CI9:CL9)</f>
        <v>1798</v>
      </c>
      <c r="DZ9" s="75">
        <f t="shared" ref="DZ9:DZ44" si="17">SUM(CM9:CP9)</f>
        <v>11</v>
      </c>
      <c r="EA9" s="77">
        <v>0</v>
      </c>
      <c r="EB9" s="77">
        <v>0</v>
      </c>
      <c r="EC9" s="77">
        <v>0</v>
      </c>
      <c r="ED9" s="77">
        <v>0</v>
      </c>
      <c r="EE9" s="77">
        <v>0</v>
      </c>
      <c r="EF9" s="77">
        <v>0</v>
      </c>
      <c r="EG9" s="77">
        <v>0</v>
      </c>
      <c r="EH9" s="77">
        <v>0</v>
      </c>
      <c r="EI9" s="77">
        <v>0</v>
      </c>
      <c r="EJ9" s="77">
        <v>0</v>
      </c>
      <c r="EK9" s="77">
        <v>0</v>
      </c>
      <c r="EL9" s="77">
        <v>0</v>
      </c>
    </row>
    <row r="10" spans="1:142" s="11" customFormat="1">
      <c r="A10" s="35"/>
      <c r="B10" s="103" t="s">
        <v>542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6"/>
      <c r="AL10" s="75"/>
      <c r="AM10" s="75"/>
      <c r="AN10" s="75"/>
      <c r="AO10" s="75"/>
      <c r="AP10" s="75"/>
      <c r="AQ10" s="76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>
        <v>0</v>
      </c>
      <c r="BS10" s="75">
        <v>0</v>
      </c>
      <c r="BT10" s="75">
        <v>0</v>
      </c>
      <c r="BU10" s="75">
        <v>0</v>
      </c>
      <c r="BV10" s="75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0</v>
      </c>
      <c r="CE10" s="81">
        <v>0</v>
      </c>
      <c r="CF10" s="81">
        <v>0</v>
      </c>
      <c r="CG10" s="81">
        <v>0</v>
      </c>
      <c r="CH10" s="81">
        <v>85</v>
      </c>
      <c r="CI10" s="81">
        <v>469</v>
      </c>
      <c r="CJ10" s="81">
        <v>445</v>
      </c>
      <c r="CK10" s="81">
        <v>537</v>
      </c>
      <c r="CL10" s="81">
        <v>734</v>
      </c>
      <c r="CM10" s="81">
        <v>127</v>
      </c>
      <c r="CN10" s="81">
        <v>0</v>
      </c>
      <c r="CO10" s="81">
        <v>0</v>
      </c>
      <c r="CP10" s="81">
        <v>6</v>
      </c>
      <c r="CQ10" s="81">
        <v>2</v>
      </c>
      <c r="CR10" s="81">
        <v>1</v>
      </c>
      <c r="CS10" s="81"/>
      <c r="CT10" s="81"/>
      <c r="CU10" s="81"/>
      <c r="CV10" s="81"/>
      <c r="CW10" s="81"/>
      <c r="CX10" s="81"/>
      <c r="CY10" s="81"/>
      <c r="CZ10" s="81"/>
      <c r="DA10" s="75"/>
      <c r="DB10" s="75"/>
      <c r="DC10" s="75"/>
      <c r="DD10" s="75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5">
        <f t="shared" si="7"/>
        <v>0</v>
      </c>
      <c r="DW10" s="75">
        <f t="shared" si="8"/>
        <v>0</v>
      </c>
      <c r="DX10" s="75">
        <f t="shared" si="15"/>
        <v>85</v>
      </c>
      <c r="DY10" s="75">
        <f t="shared" si="16"/>
        <v>2185</v>
      </c>
      <c r="DZ10" s="75">
        <f t="shared" si="17"/>
        <v>133</v>
      </c>
      <c r="EA10" s="77">
        <v>0</v>
      </c>
      <c r="EB10" s="77">
        <v>0</v>
      </c>
      <c r="EC10" s="77">
        <v>0</v>
      </c>
      <c r="ED10" s="77">
        <v>0</v>
      </c>
      <c r="EE10" s="77">
        <v>0</v>
      </c>
      <c r="EF10" s="77">
        <v>0</v>
      </c>
      <c r="EG10" s="77">
        <v>0</v>
      </c>
      <c r="EH10" s="77">
        <v>0</v>
      </c>
      <c r="EI10" s="77">
        <v>0</v>
      </c>
      <c r="EJ10" s="77">
        <v>0</v>
      </c>
      <c r="EK10" s="77">
        <v>0</v>
      </c>
      <c r="EL10" s="77">
        <v>0</v>
      </c>
    </row>
    <row r="11" spans="1:142" s="11" customFormat="1">
      <c r="A11" s="35"/>
      <c r="B11" s="103" t="s">
        <v>531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6"/>
      <c r="AL11" s="75"/>
      <c r="AM11" s="75"/>
      <c r="AN11" s="75"/>
      <c r="AO11" s="75"/>
      <c r="AP11" s="75"/>
      <c r="AQ11" s="76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>
        <v>0</v>
      </c>
      <c r="BS11" s="75">
        <v>0</v>
      </c>
      <c r="BT11" s="75">
        <v>0</v>
      </c>
      <c r="BU11" s="75">
        <v>0</v>
      </c>
      <c r="BV11" s="75">
        <v>0</v>
      </c>
      <c r="BW11" s="81">
        <v>0</v>
      </c>
      <c r="BX11" s="81">
        <v>0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1</v>
      </c>
      <c r="CF11" s="81">
        <v>3</v>
      </c>
      <c r="CG11" s="81">
        <v>5</v>
      </c>
      <c r="CH11" s="81">
        <v>7</v>
      </c>
      <c r="CI11" s="81">
        <v>11</v>
      </c>
      <c r="CJ11" s="81">
        <v>18</v>
      </c>
      <c r="CK11" s="81">
        <v>23</v>
      </c>
      <c r="CL11" s="81">
        <v>28</v>
      </c>
      <c r="CM11" s="81">
        <v>37</v>
      </c>
      <c r="CN11" s="81">
        <v>67</v>
      </c>
      <c r="CO11" s="81">
        <v>73</v>
      </c>
      <c r="CP11" s="81">
        <v>83</v>
      </c>
      <c r="CQ11" s="81">
        <v>461</v>
      </c>
      <c r="CR11" s="81">
        <v>472</v>
      </c>
      <c r="CS11" s="81"/>
      <c r="CT11" s="81"/>
      <c r="CU11" s="81"/>
      <c r="CV11" s="81"/>
      <c r="CW11" s="81"/>
      <c r="CX11" s="81"/>
      <c r="CY11" s="81"/>
      <c r="CZ11" s="81"/>
      <c r="DA11" s="75"/>
      <c r="DB11" s="75"/>
      <c r="DC11" s="75"/>
      <c r="DD11" s="75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5">
        <f>SUM(BW11:BZ11)</f>
        <v>0</v>
      </c>
      <c r="DW11" s="75">
        <f>SUM(CA11:CD11)</f>
        <v>0</v>
      </c>
      <c r="DX11" s="75">
        <f>SUM(CE11:CH11)</f>
        <v>16</v>
      </c>
      <c r="DY11" s="75">
        <f>SUM(CI11:CL11)</f>
        <v>80</v>
      </c>
      <c r="DZ11" s="75">
        <f>SUM(CM11:CP11)</f>
        <v>260</v>
      </c>
      <c r="EA11" s="77"/>
      <c r="EB11" s="77"/>
    </row>
    <row r="12" spans="1:142" s="11" customFormat="1">
      <c r="A12" s="35"/>
      <c r="B12" s="103" t="s">
        <v>545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6"/>
      <c r="AL12" s="75"/>
      <c r="AM12" s="75"/>
      <c r="AN12" s="75"/>
      <c r="AO12" s="75"/>
      <c r="AP12" s="75"/>
      <c r="AQ12" s="76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0</v>
      </c>
      <c r="CE12" s="81">
        <v>0</v>
      </c>
      <c r="CF12" s="81">
        <v>0</v>
      </c>
      <c r="CG12" s="81">
        <v>297</v>
      </c>
      <c r="CH12" s="81">
        <v>391</v>
      </c>
      <c r="CI12" s="81">
        <v>419</v>
      </c>
      <c r="CJ12" s="81">
        <v>434</v>
      </c>
      <c r="CK12" s="81">
        <v>518</v>
      </c>
      <c r="CL12" s="81">
        <v>593</v>
      </c>
      <c r="CM12" s="81">
        <v>651</v>
      </c>
      <c r="CN12" s="81">
        <v>713</v>
      </c>
      <c r="CO12" s="81">
        <v>777</v>
      </c>
      <c r="CP12" s="81">
        <v>825</v>
      </c>
      <c r="CQ12" s="81">
        <v>859</v>
      </c>
      <c r="CR12" s="81">
        <v>946</v>
      </c>
      <c r="CS12" s="81"/>
      <c r="CT12" s="81"/>
      <c r="CU12" s="81"/>
      <c r="CV12" s="81"/>
      <c r="CW12" s="81"/>
      <c r="CX12" s="81"/>
      <c r="CY12" s="81"/>
      <c r="CZ12" s="81"/>
      <c r="DA12" s="75"/>
      <c r="DB12" s="75"/>
      <c r="DC12" s="75"/>
      <c r="DD12" s="75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5">
        <f t="shared" si="7"/>
        <v>0</v>
      </c>
      <c r="DW12" s="75">
        <f t="shared" si="8"/>
        <v>0</v>
      </c>
      <c r="DX12" s="75">
        <f t="shared" si="15"/>
        <v>688</v>
      </c>
      <c r="DY12" s="75">
        <f t="shared" si="16"/>
        <v>1964</v>
      </c>
      <c r="DZ12" s="75">
        <f t="shared" si="17"/>
        <v>2966</v>
      </c>
      <c r="EA12" s="75">
        <f>+DZ12*1.2</f>
        <v>3559.2</v>
      </c>
      <c r="EB12" s="75">
        <f>+EA12*1.2</f>
        <v>4271.04</v>
      </c>
      <c r="EC12" s="69">
        <f>+EB12*1.02</f>
        <v>4356.4607999999998</v>
      </c>
      <c r="ED12" s="69">
        <f t="shared" ref="ED12:EL12" si="18">+EC12*1.02</f>
        <v>4443.5900160000001</v>
      </c>
      <c r="EE12" s="69">
        <f t="shared" si="18"/>
        <v>4532.4618163200003</v>
      </c>
      <c r="EF12" s="69">
        <f t="shared" si="18"/>
        <v>4623.1110526463999</v>
      </c>
      <c r="EG12" s="69">
        <f t="shared" si="18"/>
        <v>4715.5732736993277</v>
      </c>
      <c r="EH12" s="69">
        <f t="shared" si="18"/>
        <v>4809.8847391733143</v>
      </c>
      <c r="EI12" s="69">
        <f t="shared" si="18"/>
        <v>4906.0824339567807</v>
      </c>
      <c r="EJ12" s="69">
        <f t="shared" si="18"/>
        <v>5004.2040826359162</v>
      </c>
      <c r="EK12" s="69">
        <f t="shared" si="18"/>
        <v>5104.288164288635</v>
      </c>
      <c r="EL12" s="69">
        <f t="shared" si="18"/>
        <v>5206.3739275744074</v>
      </c>
    </row>
    <row r="13" spans="1:142" s="11" customFormat="1">
      <c r="A13" s="35"/>
      <c r="B13" s="103" t="s">
        <v>530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6"/>
      <c r="AL13" s="75"/>
      <c r="AM13" s="75"/>
      <c r="AN13" s="75"/>
      <c r="AO13" s="75"/>
      <c r="AP13" s="75"/>
      <c r="AQ13" s="76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>
        <v>3</v>
      </c>
      <c r="BS13" s="75">
        <v>8</v>
      </c>
      <c r="BT13" s="75">
        <v>12</v>
      </c>
      <c r="BU13" s="75">
        <v>18</v>
      </c>
      <c r="BV13" s="75">
        <v>24</v>
      </c>
      <c r="BW13" s="81">
        <v>29</v>
      </c>
      <c r="BX13" s="81">
        <v>35</v>
      </c>
      <c r="BY13" s="81">
        <v>44</v>
      </c>
      <c r="BZ13" s="81">
        <v>56</v>
      </c>
      <c r="CA13" s="81">
        <v>88</v>
      </c>
      <c r="CB13" s="81">
        <v>107</v>
      </c>
      <c r="CC13" s="81">
        <v>145</v>
      </c>
      <c r="CD13" s="81">
        <v>182</v>
      </c>
      <c r="CE13" s="81">
        <v>209</v>
      </c>
      <c r="CF13" s="81">
        <v>280</v>
      </c>
      <c r="CG13" s="81">
        <v>354</v>
      </c>
      <c r="CH13" s="81">
        <v>395</v>
      </c>
      <c r="CI13" s="81">
        <v>414</v>
      </c>
      <c r="CJ13" s="81">
        <v>489</v>
      </c>
      <c r="CK13" s="81">
        <v>566</v>
      </c>
      <c r="CL13" s="81">
        <v>588</v>
      </c>
      <c r="CM13" s="81">
        <v>532</v>
      </c>
      <c r="CN13" s="81">
        <v>653</v>
      </c>
      <c r="CO13" s="81">
        <v>654</v>
      </c>
      <c r="CP13" s="81">
        <v>675</v>
      </c>
      <c r="CQ13" s="81">
        <v>718</v>
      </c>
      <c r="CR13" s="81">
        <v>790</v>
      </c>
      <c r="CS13" s="81"/>
      <c r="CT13" s="81"/>
      <c r="CU13" s="81"/>
      <c r="CV13" s="81"/>
      <c r="CW13" s="81"/>
      <c r="CX13" s="81"/>
      <c r="CY13" s="81"/>
      <c r="CZ13" s="81"/>
      <c r="DA13" s="75"/>
      <c r="DB13" s="75"/>
      <c r="DC13" s="75"/>
      <c r="DD13" s="75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5">
        <f t="shared" si="7"/>
        <v>164</v>
      </c>
      <c r="DW13" s="75">
        <f t="shared" si="8"/>
        <v>522</v>
      </c>
      <c r="DX13" s="75">
        <f t="shared" si="15"/>
        <v>1238</v>
      </c>
      <c r="DY13" s="75">
        <f t="shared" si="16"/>
        <v>2057</v>
      </c>
      <c r="DZ13" s="75">
        <f t="shared" si="17"/>
        <v>2514</v>
      </c>
      <c r="EA13" s="77"/>
      <c r="EB13" s="77"/>
    </row>
    <row r="14" spans="1:142" s="11" customFormat="1">
      <c r="A14" s="35"/>
      <c r="B14" s="104" t="s">
        <v>343</v>
      </c>
      <c r="C14" s="44">
        <v>80</v>
      </c>
      <c r="D14" s="44">
        <v>46</v>
      </c>
      <c r="E14" s="44">
        <v>164</v>
      </c>
      <c r="F14" s="44">
        <v>278</v>
      </c>
      <c r="G14" s="44">
        <v>347</v>
      </c>
      <c r="H14" s="44">
        <v>464</v>
      </c>
      <c r="I14" s="44">
        <v>481</v>
      </c>
      <c r="J14" s="44">
        <v>686</v>
      </c>
      <c r="K14" s="44">
        <v>835</v>
      </c>
      <c r="L14" s="44">
        <v>631</v>
      </c>
      <c r="M14" s="44">
        <v>1000</v>
      </c>
      <c r="N14" s="44">
        <v>836</v>
      </c>
      <c r="O14" s="44">
        <v>935</v>
      </c>
      <c r="P14" s="44">
        <v>891</v>
      </c>
      <c r="Q14" s="44">
        <v>951</v>
      </c>
      <c r="R14" s="44">
        <v>1106</v>
      </c>
      <c r="S14" s="44">
        <v>1055</v>
      </c>
      <c r="T14" s="44">
        <v>1204</v>
      </c>
      <c r="U14" s="44">
        <v>1127</v>
      </c>
      <c r="V14" s="44">
        <v>1247</v>
      </c>
      <c r="W14" s="44">
        <v>1189</v>
      </c>
      <c r="X14" s="44">
        <v>1283</v>
      </c>
      <c r="Y14" s="44">
        <v>1280</v>
      </c>
      <c r="Z14" s="44">
        <v>1430</v>
      </c>
      <c r="AA14" s="44">
        <v>1308</v>
      </c>
      <c r="AB14" s="44">
        <v>1312</v>
      </c>
      <c r="AC14" s="44">
        <v>1293</v>
      </c>
      <c r="AD14" s="44">
        <v>1303</v>
      </c>
      <c r="AE14" s="44">
        <v>1238</v>
      </c>
      <c r="AF14" s="44">
        <v>1323</v>
      </c>
      <c r="AG14" s="44">
        <v>1315</v>
      </c>
      <c r="AH14" s="44">
        <v>1324</v>
      </c>
      <c r="AI14" s="44">
        <v>1192</v>
      </c>
      <c r="AJ14" s="44">
        <v>1246</v>
      </c>
      <c r="AK14" s="56">
        <v>1243</v>
      </c>
      <c r="AL14" s="44">
        <v>1278</v>
      </c>
      <c r="AM14" s="44">
        <f>653+331+108+147</f>
        <v>1239</v>
      </c>
      <c r="AN14" s="44">
        <v>1257</v>
      </c>
      <c r="AO14" s="44">
        <v>1242</v>
      </c>
      <c r="AP14" s="44">
        <v>1231</v>
      </c>
      <c r="AQ14" s="73">
        <v>1161</v>
      </c>
      <c r="AR14" s="44">
        <f>+AN14-50</f>
        <v>1207</v>
      </c>
      <c r="AS14" s="44">
        <v>1089</v>
      </c>
      <c r="AT14" s="44">
        <v>1067</v>
      </c>
      <c r="AU14" s="44">
        <v>953</v>
      </c>
      <c r="AV14" s="44"/>
      <c r="AW14" s="44"/>
      <c r="AX14" s="44"/>
      <c r="AY14" s="44">
        <v>940</v>
      </c>
      <c r="AZ14" s="44">
        <v>1023</v>
      </c>
      <c r="BA14" s="44"/>
      <c r="BB14" s="44"/>
      <c r="BC14" s="44">
        <v>930</v>
      </c>
      <c r="BD14" s="44">
        <v>971</v>
      </c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>
        <v>427</v>
      </c>
      <c r="BS14" s="44">
        <v>448</v>
      </c>
      <c r="BT14" s="44">
        <v>442</v>
      </c>
      <c r="BU14" s="44">
        <v>422</v>
      </c>
      <c r="BV14" s="44">
        <v>390</v>
      </c>
      <c r="BW14" s="78">
        <v>363</v>
      </c>
      <c r="BX14" s="78">
        <v>393</v>
      </c>
      <c r="BY14" s="78">
        <v>374</v>
      </c>
      <c r="BZ14" s="78">
        <v>353</v>
      </c>
      <c r="CA14" s="78">
        <v>338</v>
      </c>
      <c r="CB14" s="78">
        <v>377</v>
      </c>
      <c r="CC14" s="78">
        <v>401</v>
      </c>
      <c r="CD14" s="78">
        <v>377</v>
      </c>
      <c r="CE14" s="78">
        <v>403</v>
      </c>
      <c r="CF14" s="78">
        <v>336</v>
      </c>
      <c r="CG14" s="78">
        <v>259</v>
      </c>
      <c r="CH14" s="78">
        <v>328</v>
      </c>
      <c r="CI14" s="78">
        <v>332</v>
      </c>
      <c r="CJ14" s="78">
        <v>343</v>
      </c>
      <c r="CK14" s="78">
        <v>311</v>
      </c>
      <c r="CL14" s="78">
        <v>300</v>
      </c>
      <c r="CM14" s="78">
        <v>244</v>
      </c>
      <c r="CN14" s="78">
        <v>248</v>
      </c>
      <c r="CO14" s="78">
        <v>244</v>
      </c>
      <c r="CP14" s="78">
        <v>209</v>
      </c>
      <c r="CQ14" s="78">
        <v>243</v>
      </c>
      <c r="CR14" s="78">
        <v>227</v>
      </c>
      <c r="CS14" s="78"/>
      <c r="CT14" s="78"/>
      <c r="CU14" s="78"/>
      <c r="CV14" s="78"/>
      <c r="CW14" s="78"/>
      <c r="CX14" s="78"/>
      <c r="CY14" s="78"/>
      <c r="CZ14" s="78"/>
      <c r="DA14" s="44"/>
      <c r="DB14" s="44"/>
      <c r="DC14" s="44"/>
      <c r="DD14" s="43"/>
      <c r="DE14" s="44">
        <v>1978</v>
      </c>
      <c r="DF14" s="44">
        <v>3302</v>
      </c>
      <c r="DG14" s="44">
        <v>3883</v>
      </c>
      <c r="DH14" s="44">
        <f>SUM(S14:V14)</f>
        <v>4633</v>
      </c>
      <c r="DI14" s="44">
        <f>SUM(W14:Z14)</f>
        <v>5182</v>
      </c>
      <c r="DJ14" s="44">
        <f>SUM(AA14:AD14)</f>
        <v>5216</v>
      </c>
      <c r="DK14" s="44">
        <f>SUM(AE14:AH14)</f>
        <v>5200</v>
      </c>
      <c r="DL14" s="44">
        <f>SUM(AI14:AL14)</f>
        <v>4959</v>
      </c>
      <c r="DM14" s="44">
        <f>SUM(AM14:AP14)</f>
        <v>4969</v>
      </c>
      <c r="DN14" s="44">
        <f>SUM(AQ14:AT14)</f>
        <v>4524</v>
      </c>
      <c r="DO14" s="44">
        <f>SUM(AU14:AX14)</f>
        <v>953</v>
      </c>
      <c r="DP14" s="44">
        <f>DO14*0.95</f>
        <v>905.34999999999991</v>
      </c>
      <c r="DQ14" s="44">
        <f>DP14*0.95</f>
        <v>860.08249999999987</v>
      </c>
      <c r="DR14" s="44">
        <f>DQ14*0.5</f>
        <v>430.04124999999993</v>
      </c>
      <c r="DS14" s="44">
        <f>DR14*0.5</f>
        <v>215.02062499999997</v>
      </c>
      <c r="DT14" s="44">
        <f>DS14*0.7</f>
        <v>150.51443749999996</v>
      </c>
      <c r="DU14" s="44"/>
      <c r="DV14" s="75">
        <f t="shared" si="7"/>
        <v>1483</v>
      </c>
      <c r="DW14" s="75">
        <f t="shared" si="8"/>
        <v>1493</v>
      </c>
      <c r="DX14" s="75">
        <f t="shared" si="15"/>
        <v>1326</v>
      </c>
      <c r="DY14" s="75">
        <f t="shared" si="16"/>
        <v>1286</v>
      </c>
      <c r="DZ14" s="75">
        <f t="shared" si="17"/>
        <v>945</v>
      </c>
      <c r="EA14" s="44">
        <f>+DZ14*0.9</f>
        <v>850.5</v>
      </c>
      <c r="EB14" s="44">
        <f t="shared" ref="EB14:EL14" si="19">+EA14*0.9</f>
        <v>765.45</v>
      </c>
      <c r="EC14" s="44">
        <f t="shared" si="19"/>
        <v>688.90500000000009</v>
      </c>
      <c r="ED14" s="44">
        <f t="shared" si="19"/>
        <v>620.01450000000011</v>
      </c>
      <c r="EE14" s="44">
        <f t="shared" si="19"/>
        <v>558.01305000000013</v>
      </c>
      <c r="EF14" s="44">
        <f t="shared" si="19"/>
        <v>502.21174500000012</v>
      </c>
      <c r="EG14" s="44">
        <f t="shared" si="19"/>
        <v>451.9905705000001</v>
      </c>
      <c r="EH14" s="44">
        <f t="shared" si="19"/>
        <v>406.79151345000008</v>
      </c>
      <c r="EI14" s="44">
        <f t="shared" si="19"/>
        <v>366.1123621050001</v>
      </c>
      <c r="EJ14" s="44">
        <f t="shared" si="19"/>
        <v>329.50112589450009</v>
      </c>
      <c r="EK14" s="44">
        <f t="shared" si="19"/>
        <v>296.55101330505011</v>
      </c>
      <c r="EL14" s="44">
        <f t="shared" si="19"/>
        <v>266.89591197454513</v>
      </c>
    </row>
    <row r="15" spans="1:142" s="11" customFormat="1">
      <c r="A15" s="35"/>
      <c r="B15" s="104" t="s">
        <v>307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56"/>
      <c r="AL15" s="44"/>
      <c r="AM15" s="44"/>
      <c r="AN15" s="44"/>
      <c r="AO15" s="44"/>
      <c r="AP15" s="44"/>
      <c r="AQ15" s="73">
        <v>1</v>
      </c>
      <c r="AR15" s="44">
        <f>AQ15</f>
        <v>1</v>
      </c>
      <c r="AS15" s="44">
        <v>13</v>
      </c>
      <c r="AT15" s="44">
        <v>5</v>
      </c>
      <c r="AU15" s="44">
        <v>9</v>
      </c>
      <c r="AV15" s="44"/>
      <c r="AW15" s="44"/>
      <c r="AX15" s="44"/>
      <c r="AY15" s="44">
        <v>51</v>
      </c>
      <c r="AZ15" s="44"/>
      <c r="BA15" s="44"/>
      <c r="BB15" s="44"/>
      <c r="BC15" s="44">
        <v>99</v>
      </c>
      <c r="BD15" s="44">
        <v>117</v>
      </c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>
        <v>299</v>
      </c>
      <c r="BS15" s="44">
        <v>293</v>
      </c>
      <c r="BT15" s="44">
        <v>316</v>
      </c>
      <c r="BU15" s="44">
        <v>336</v>
      </c>
      <c r="BV15" s="44">
        <v>376</v>
      </c>
      <c r="BW15" s="78">
        <v>348</v>
      </c>
      <c r="BX15" s="78">
        <v>389</v>
      </c>
      <c r="BY15" s="78">
        <v>416</v>
      </c>
      <c r="BZ15" s="78">
        <v>428</v>
      </c>
      <c r="CA15" s="78">
        <v>408</v>
      </c>
      <c r="CB15" s="78">
        <v>437</v>
      </c>
      <c r="CC15" s="78">
        <v>385</v>
      </c>
      <c r="CD15" s="78">
        <v>363</v>
      </c>
      <c r="CE15" s="78">
        <v>374</v>
      </c>
      <c r="CF15" s="78">
        <v>375</v>
      </c>
      <c r="CG15" s="78">
        <v>375</v>
      </c>
      <c r="CH15" s="78">
        <v>348</v>
      </c>
      <c r="CI15" s="78">
        <v>325</v>
      </c>
      <c r="CJ15" s="78">
        <v>350</v>
      </c>
      <c r="CK15" s="78">
        <v>338</v>
      </c>
      <c r="CL15" s="78">
        <v>345</v>
      </c>
      <c r="CM15" s="78">
        <v>334</v>
      </c>
      <c r="CN15" s="78">
        <v>331</v>
      </c>
      <c r="CO15" s="78">
        <v>331</v>
      </c>
      <c r="CP15" s="78">
        <v>329</v>
      </c>
      <c r="CQ15" s="78">
        <v>323</v>
      </c>
      <c r="CR15" s="78">
        <v>342</v>
      </c>
      <c r="CS15" s="78"/>
      <c r="CT15" s="78"/>
      <c r="CU15" s="78"/>
      <c r="CV15" s="78"/>
      <c r="CW15" s="78"/>
      <c r="CX15" s="78"/>
      <c r="CY15" s="78"/>
      <c r="CZ15" s="78"/>
      <c r="DA15" s="44"/>
      <c r="DB15" s="44"/>
      <c r="DC15" s="44"/>
      <c r="DD15" s="43"/>
      <c r="DE15" s="44"/>
      <c r="DF15" s="44"/>
      <c r="DG15" s="44"/>
      <c r="DH15" s="44"/>
      <c r="DI15" s="44"/>
      <c r="DJ15" s="44"/>
      <c r="DK15" s="44"/>
      <c r="DL15" s="44"/>
      <c r="DM15" s="44"/>
      <c r="DN15" s="44">
        <f>SUM(AQ15:AT15)</f>
        <v>20</v>
      </c>
      <c r="DO15" s="44">
        <f>SUM(AU15:AX15)</f>
        <v>9</v>
      </c>
      <c r="DP15" s="44">
        <f>+DO15*2</f>
        <v>18</v>
      </c>
      <c r="DQ15" s="44">
        <f>+DP15*1.5</f>
        <v>27</v>
      </c>
      <c r="DR15" s="44">
        <f>+DQ15*1.2</f>
        <v>32.4</v>
      </c>
      <c r="DS15" s="44">
        <f>+DR15*1.2</f>
        <v>38.879999999999995</v>
      </c>
      <c r="DT15" s="44">
        <f>+DS15*1.2</f>
        <v>46.655999999999992</v>
      </c>
      <c r="DU15" s="44"/>
      <c r="DV15" s="75">
        <f t="shared" si="7"/>
        <v>1581</v>
      </c>
      <c r="DW15" s="75">
        <f t="shared" si="8"/>
        <v>1593</v>
      </c>
      <c r="DX15" s="75">
        <f t="shared" si="15"/>
        <v>1472</v>
      </c>
      <c r="DY15" s="75">
        <f t="shared" si="16"/>
        <v>1358</v>
      </c>
      <c r="DZ15" s="75">
        <f t="shared" si="17"/>
        <v>1325</v>
      </c>
      <c r="EA15" s="44"/>
      <c r="EB15" s="69"/>
    </row>
    <row r="16" spans="1:142" s="11" customFormat="1">
      <c r="A16" s="35"/>
      <c r="B16" s="104" t="s">
        <v>537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56"/>
      <c r="AL16" s="44"/>
      <c r="AM16" s="44"/>
      <c r="AN16" s="44"/>
      <c r="AO16" s="44"/>
      <c r="AP16" s="44"/>
      <c r="AQ16" s="73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>
        <v>0</v>
      </c>
      <c r="BS16" s="44">
        <v>21</v>
      </c>
      <c r="BT16" s="44">
        <v>65</v>
      </c>
      <c r="BU16" s="44">
        <v>86</v>
      </c>
      <c r="BV16" s="44">
        <v>125</v>
      </c>
      <c r="BW16" s="78">
        <v>129</v>
      </c>
      <c r="BX16" s="78">
        <v>167</v>
      </c>
      <c r="BY16" s="78">
        <v>202</v>
      </c>
      <c r="BZ16" s="78">
        <v>206</v>
      </c>
      <c r="CA16" s="78">
        <v>199</v>
      </c>
      <c r="CB16" s="78">
        <v>227</v>
      </c>
      <c r="CC16" s="78">
        <v>240</v>
      </c>
      <c r="CD16" s="78">
        <v>283</v>
      </c>
      <c r="CE16" s="78">
        <v>260</v>
      </c>
      <c r="CF16" s="78">
        <v>320</v>
      </c>
      <c r="CG16" s="78">
        <v>322</v>
      </c>
      <c r="CH16" s="78">
        <v>357</v>
      </c>
      <c r="CI16" s="78">
        <v>308</v>
      </c>
      <c r="CJ16" s="78">
        <v>354</v>
      </c>
      <c r="CK16" s="78">
        <v>353</v>
      </c>
      <c r="CL16" s="78">
        <v>381</v>
      </c>
      <c r="CM16" s="78">
        <v>338</v>
      </c>
      <c r="CN16" s="78">
        <v>406</v>
      </c>
      <c r="CO16" s="78">
        <v>389</v>
      </c>
      <c r="CP16" s="78">
        <v>420</v>
      </c>
      <c r="CQ16" s="78">
        <v>358</v>
      </c>
      <c r="CR16" s="78">
        <v>423</v>
      </c>
      <c r="CS16" s="78"/>
      <c r="CT16" s="78"/>
      <c r="CU16" s="78"/>
      <c r="CV16" s="78"/>
      <c r="CW16" s="78"/>
      <c r="CX16" s="78"/>
      <c r="CY16" s="78"/>
      <c r="CZ16" s="78"/>
      <c r="DA16" s="44"/>
      <c r="DB16" s="44"/>
      <c r="DC16" s="44"/>
      <c r="DD16" s="43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75">
        <f t="shared" si="7"/>
        <v>704</v>
      </c>
      <c r="DW16" s="75">
        <f t="shared" si="8"/>
        <v>949</v>
      </c>
      <c r="DX16" s="75">
        <f t="shared" si="15"/>
        <v>1259</v>
      </c>
      <c r="DY16" s="75">
        <f t="shared" si="16"/>
        <v>1396</v>
      </c>
      <c r="DZ16" s="75">
        <f t="shared" si="17"/>
        <v>1553</v>
      </c>
      <c r="EA16" s="44"/>
      <c r="EB16" s="69"/>
    </row>
    <row r="17" spans="1:142" s="11" customFormat="1">
      <c r="A17" s="35"/>
      <c r="B17" s="104" t="s">
        <v>350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3</v>
      </c>
      <c r="L17" s="44">
        <v>9</v>
      </c>
      <c r="M17" s="44">
        <v>76</v>
      </c>
      <c r="N17" s="44">
        <v>41</v>
      </c>
      <c r="O17" s="44">
        <v>129</v>
      </c>
      <c r="P17" s="44">
        <v>207</v>
      </c>
      <c r="Q17" s="44">
        <v>260</v>
      </c>
      <c r="R17" s="44">
        <v>312</v>
      </c>
      <c r="S17" s="44">
        <v>273</v>
      </c>
      <c r="T17" s="44">
        <v>317</v>
      </c>
      <c r="U17" s="44">
        <v>325</v>
      </c>
      <c r="V17" s="44">
        <v>353</v>
      </c>
      <c r="W17" s="44">
        <v>387</v>
      </c>
      <c r="X17" s="44">
        <v>480</v>
      </c>
      <c r="Y17" s="44">
        <v>536</v>
      </c>
      <c r="Z17" s="44">
        <v>625</v>
      </c>
      <c r="AA17" s="44">
        <v>628</v>
      </c>
      <c r="AB17" s="44">
        <v>678</v>
      </c>
      <c r="AC17" s="44">
        <v>691</v>
      </c>
      <c r="AD17" s="44">
        <v>799</v>
      </c>
      <c r="AE17" s="44">
        <v>772</v>
      </c>
      <c r="AF17" s="44">
        <v>916</v>
      </c>
      <c r="AG17" s="44">
        <v>922</v>
      </c>
      <c r="AH17" s="44">
        <v>987</v>
      </c>
      <c r="AI17" s="44">
        <v>969</v>
      </c>
      <c r="AJ17" s="44">
        <v>1129</v>
      </c>
      <c r="AK17" s="56">
        <v>1147</v>
      </c>
      <c r="AL17" s="44">
        <v>1257</v>
      </c>
      <c r="AM17" s="44">
        <f>583+281+291+145</f>
        <v>1300</v>
      </c>
      <c r="AN17" s="44">
        <v>1430</v>
      </c>
      <c r="AO17" s="44">
        <v>1374</v>
      </c>
      <c r="AP17" s="44">
        <v>1587</v>
      </c>
      <c r="AQ17" s="73">
        <v>1478</v>
      </c>
      <c r="AR17" s="44">
        <f>+AN17*1.02</f>
        <v>1458.6000000000001</v>
      </c>
      <c r="AS17" s="44">
        <v>1659</v>
      </c>
      <c r="AT17" s="44">
        <v>1771</v>
      </c>
      <c r="AU17" s="44">
        <v>1500</v>
      </c>
      <c r="AV17" s="44"/>
      <c r="AW17" s="44"/>
      <c r="AX17" s="44"/>
      <c r="AY17" s="44">
        <v>1323</v>
      </c>
      <c r="AZ17" s="44">
        <v>1480</v>
      </c>
      <c r="BA17" s="44"/>
      <c r="BB17" s="44"/>
      <c r="BC17" s="44">
        <v>1332</v>
      </c>
      <c r="BD17" s="44">
        <v>1450</v>
      </c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>
        <v>594</v>
      </c>
      <c r="BS17" s="44">
        <v>389</v>
      </c>
      <c r="BT17" s="44">
        <v>338</v>
      </c>
      <c r="BU17" s="44">
        <v>353</v>
      </c>
      <c r="BV17" s="44">
        <v>353</v>
      </c>
      <c r="BW17" s="78">
        <v>335</v>
      </c>
      <c r="BX17" s="78">
        <v>310</v>
      </c>
      <c r="BY17" s="78">
        <v>337</v>
      </c>
      <c r="BZ17" s="78">
        <v>296</v>
      </c>
      <c r="CA17" s="78">
        <v>301</v>
      </c>
      <c r="CB17" s="78">
        <v>281</v>
      </c>
      <c r="CC17" s="78">
        <v>300</v>
      </c>
      <c r="CD17" s="78">
        <v>298</v>
      </c>
      <c r="CE17" s="78">
        <v>274</v>
      </c>
      <c r="CF17" s="78">
        <v>265</v>
      </c>
      <c r="CG17" s="78">
        <v>298</v>
      </c>
      <c r="CH17" s="78">
        <v>259</v>
      </c>
      <c r="CI17" s="78">
        <v>267</v>
      </c>
      <c r="CJ17" s="78">
        <v>280</v>
      </c>
      <c r="CK17" s="78">
        <v>277</v>
      </c>
      <c r="CL17" s="78">
        <v>224</v>
      </c>
      <c r="CM17" s="78">
        <v>305</v>
      </c>
      <c r="CN17" s="78">
        <v>280</v>
      </c>
      <c r="CO17" s="78">
        <v>275</v>
      </c>
      <c r="CP17" s="78">
        <v>247</v>
      </c>
      <c r="CQ17" s="78">
        <v>297</v>
      </c>
      <c r="CR17" s="78">
        <v>293</v>
      </c>
      <c r="CS17" s="78"/>
      <c r="CT17" s="78"/>
      <c r="CU17" s="78"/>
      <c r="CV17" s="78"/>
      <c r="CW17" s="78"/>
      <c r="CX17" s="78"/>
      <c r="CY17" s="78"/>
      <c r="CZ17" s="78"/>
      <c r="DA17" s="44"/>
      <c r="DB17" s="44"/>
      <c r="DC17" s="44"/>
      <c r="DD17" s="43"/>
      <c r="DE17" s="44">
        <v>0</v>
      </c>
      <c r="DF17" s="44">
        <v>129</v>
      </c>
      <c r="DG17" s="44">
        <v>908</v>
      </c>
      <c r="DH17" s="44">
        <f>SUM(S17:V17)</f>
        <v>1268</v>
      </c>
      <c r="DI17" s="44">
        <f>SUM(W17:Z17)</f>
        <v>2028</v>
      </c>
      <c r="DJ17" s="44">
        <f>SUM(AA17:AD17)</f>
        <v>2796</v>
      </c>
      <c r="DK17" s="44">
        <f>SUM(AE17:AH17)</f>
        <v>3597</v>
      </c>
      <c r="DL17" s="44">
        <f>SUM(AI17:AL17)</f>
        <v>4502</v>
      </c>
      <c r="DM17" s="44">
        <f>SUM(AM17:AP17)</f>
        <v>5691</v>
      </c>
      <c r="DN17" s="44">
        <f>SUM(AQ17:AT17)</f>
        <v>6366.6</v>
      </c>
      <c r="DO17" s="44">
        <f>SUM(AU17:AX17)</f>
        <v>1500</v>
      </c>
      <c r="DP17" s="44">
        <f>DO17*1.05</f>
        <v>1575</v>
      </c>
      <c r="DQ17" s="44">
        <f>DP17*1.05</f>
        <v>1653.75</v>
      </c>
      <c r="DR17" s="44">
        <f>DQ17*1.05</f>
        <v>1736.4375</v>
      </c>
      <c r="DS17" s="44">
        <f>DR17*0.9</f>
        <v>1562.79375</v>
      </c>
      <c r="DT17" s="44">
        <f>DS17*0.6</f>
        <v>937.67624999999998</v>
      </c>
      <c r="DU17" s="44"/>
      <c r="DV17" s="75">
        <f t="shared" si="7"/>
        <v>1278</v>
      </c>
      <c r="DW17" s="75">
        <f t="shared" si="8"/>
        <v>1180</v>
      </c>
      <c r="DX17" s="75">
        <f t="shared" si="15"/>
        <v>1096</v>
      </c>
      <c r="DY17" s="75">
        <f t="shared" si="16"/>
        <v>1048</v>
      </c>
      <c r="DZ17" s="75">
        <f t="shared" si="17"/>
        <v>1107</v>
      </c>
      <c r="EA17" s="44">
        <f>+DZ17*0.9</f>
        <v>996.30000000000007</v>
      </c>
      <c r="EB17" s="44">
        <f t="shared" ref="EB17:EL23" si="20">+EA17*0.9</f>
        <v>896.67000000000007</v>
      </c>
      <c r="EC17" s="44">
        <f t="shared" si="20"/>
        <v>807.00300000000004</v>
      </c>
      <c r="ED17" s="44">
        <f t="shared" si="20"/>
        <v>726.30270000000007</v>
      </c>
      <c r="EE17" s="44">
        <f t="shared" si="20"/>
        <v>653.67243000000008</v>
      </c>
      <c r="EF17" s="44">
        <f t="shared" si="20"/>
        <v>588.30518700000005</v>
      </c>
      <c r="EG17" s="44">
        <f t="shared" si="20"/>
        <v>529.47466830000008</v>
      </c>
      <c r="EH17" s="44">
        <f t="shared" si="20"/>
        <v>476.52720147000008</v>
      </c>
      <c r="EI17" s="44">
        <f t="shared" si="20"/>
        <v>428.87448132300005</v>
      </c>
      <c r="EJ17" s="44">
        <f t="shared" si="20"/>
        <v>385.98703319070006</v>
      </c>
      <c r="EK17" s="44">
        <f t="shared" si="20"/>
        <v>347.38832987163005</v>
      </c>
      <c r="EL17" s="44">
        <f t="shared" si="20"/>
        <v>312.64949688446706</v>
      </c>
    </row>
    <row r="18" spans="1:142" s="11" customFormat="1">
      <c r="A18" s="35"/>
      <c r="B18" s="104" t="s">
        <v>458</v>
      </c>
      <c r="C18" s="44">
        <v>149</v>
      </c>
      <c r="D18" s="44">
        <v>196</v>
      </c>
      <c r="E18" s="44">
        <v>201</v>
      </c>
      <c r="F18" s="44">
        <v>165</v>
      </c>
      <c r="G18" s="44">
        <v>231</v>
      </c>
      <c r="H18" s="44">
        <v>206</v>
      </c>
      <c r="I18" s="44">
        <v>201</v>
      </c>
      <c r="J18" s="44">
        <v>263</v>
      </c>
      <c r="K18" s="44">
        <v>368</v>
      </c>
      <c r="L18" s="44">
        <v>380</v>
      </c>
      <c r="M18" s="44">
        <v>286</v>
      </c>
      <c r="N18" s="44">
        <v>246</v>
      </c>
      <c r="O18" s="44">
        <v>333</v>
      </c>
      <c r="P18" s="44">
        <v>320</v>
      </c>
      <c r="Q18" s="44">
        <v>353</v>
      </c>
      <c r="R18" s="44">
        <v>381</v>
      </c>
      <c r="S18" s="44">
        <v>408</v>
      </c>
      <c r="T18" s="44">
        <v>435</v>
      </c>
      <c r="U18" s="44">
        <v>437</v>
      </c>
      <c r="V18" s="44">
        <v>455</v>
      </c>
      <c r="W18" s="44">
        <f>934-X18</f>
        <v>456</v>
      </c>
      <c r="X18" s="44">
        <v>478</v>
      </c>
      <c r="Y18" s="44">
        <v>473</v>
      </c>
      <c r="Z18" s="44">
        <v>387</v>
      </c>
      <c r="AA18" s="44">
        <f>901-AB18</f>
        <v>444</v>
      </c>
      <c r="AB18" s="44">
        <v>457</v>
      </c>
      <c r="AC18" s="44">
        <v>328</v>
      </c>
      <c r="AD18" s="44">
        <v>209</v>
      </c>
      <c r="AE18" s="44">
        <v>190</v>
      </c>
      <c r="AF18" s="44">
        <v>206</v>
      </c>
      <c r="AG18" s="44">
        <v>204</v>
      </c>
      <c r="AH18" s="44">
        <v>207</v>
      </c>
      <c r="AI18" s="44">
        <v>288</v>
      </c>
      <c r="AJ18" s="44">
        <v>417</v>
      </c>
      <c r="AK18" s="56">
        <v>414</v>
      </c>
      <c r="AL18" s="44">
        <v>324</v>
      </c>
      <c r="AM18" s="44">
        <f>236+24+9+98</f>
        <v>367</v>
      </c>
      <c r="AN18" s="44">
        <v>317</v>
      </c>
      <c r="AO18" s="44">
        <v>273</v>
      </c>
      <c r="AP18" s="44">
        <v>253</v>
      </c>
      <c r="AQ18" s="73">
        <v>245</v>
      </c>
      <c r="AR18" s="44">
        <f>AQ18-5</f>
        <v>240</v>
      </c>
      <c r="AS18" s="44">
        <v>273</v>
      </c>
      <c r="AT18" s="44">
        <v>236</v>
      </c>
      <c r="AU18" s="44">
        <v>224</v>
      </c>
      <c r="AV18" s="44"/>
      <c r="AW18" s="44"/>
      <c r="AX18" s="44"/>
      <c r="AY18" s="44">
        <v>224</v>
      </c>
      <c r="AZ18" s="44">
        <v>183</v>
      </c>
      <c r="BA18" s="44"/>
      <c r="BB18" s="44"/>
      <c r="BC18" s="44">
        <v>193</v>
      </c>
      <c r="BD18" s="44">
        <v>193</v>
      </c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>
        <v>168</v>
      </c>
      <c r="BS18" s="44">
        <v>200</v>
      </c>
      <c r="BT18" s="44">
        <v>173</v>
      </c>
      <c r="BU18" s="44">
        <v>179</v>
      </c>
      <c r="BV18" s="44">
        <v>160</v>
      </c>
      <c r="BW18" s="78">
        <v>225</v>
      </c>
      <c r="BX18" s="78">
        <v>168</v>
      </c>
      <c r="BY18" s="78">
        <v>177</v>
      </c>
      <c r="BZ18" s="78">
        <v>190</v>
      </c>
      <c r="CA18" s="78">
        <v>177</v>
      </c>
      <c r="CB18" s="78">
        <v>218</v>
      </c>
      <c r="CC18" s="78">
        <v>225</v>
      </c>
      <c r="CD18" s="78">
        <v>200</v>
      </c>
      <c r="CE18" s="78">
        <v>250</v>
      </c>
      <c r="CF18" s="78">
        <v>266</v>
      </c>
      <c r="CG18" s="78">
        <v>234</v>
      </c>
      <c r="CH18" s="78">
        <v>202</v>
      </c>
      <c r="CI18" s="78">
        <v>244</v>
      </c>
      <c r="CJ18" s="78">
        <v>223</v>
      </c>
      <c r="CK18" s="78">
        <v>238</v>
      </c>
      <c r="CL18" s="78">
        <v>157</v>
      </c>
      <c r="CM18" s="78">
        <v>179</v>
      </c>
      <c r="CN18" s="78">
        <v>164</v>
      </c>
      <c r="CO18" s="78">
        <v>153</v>
      </c>
      <c r="CP18" s="78">
        <v>144</v>
      </c>
      <c r="CQ18" s="78">
        <v>165</v>
      </c>
      <c r="CR18" s="78">
        <v>150</v>
      </c>
      <c r="CS18" s="78"/>
      <c r="CT18" s="78"/>
      <c r="CU18" s="78"/>
      <c r="CV18" s="78"/>
      <c r="CW18" s="78"/>
      <c r="CX18" s="78"/>
      <c r="CY18" s="78"/>
      <c r="CZ18" s="78"/>
      <c r="DA18" s="44"/>
      <c r="DB18" s="44"/>
      <c r="DC18" s="44"/>
      <c r="DD18" s="43"/>
      <c r="DE18" s="44">
        <v>901</v>
      </c>
      <c r="DF18" s="44">
        <v>1280</v>
      </c>
      <c r="DG18" s="44">
        <v>1387</v>
      </c>
      <c r="DH18" s="44">
        <f>SUM(S18:V18)</f>
        <v>1735</v>
      </c>
      <c r="DI18" s="44">
        <f>SUM(W18:Z18)</f>
        <v>1794</v>
      </c>
      <c r="DJ18" s="44">
        <f>SUM(AA18:AD18)</f>
        <v>1438</v>
      </c>
      <c r="DK18" s="44">
        <f>SUM(AE18:AH18)</f>
        <v>807</v>
      </c>
      <c r="DL18" s="44">
        <f>SUM(AI18:AL18)</f>
        <v>1443</v>
      </c>
      <c r="DM18" s="44">
        <f>SUM(AM18:AP18)</f>
        <v>1210</v>
      </c>
      <c r="DN18" s="44">
        <f>SUM(AQ18:AT18)</f>
        <v>994</v>
      </c>
      <c r="DO18" s="44">
        <f>SUM(AU18:AX18)</f>
        <v>224</v>
      </c>
      <c r="DP18" s="44">
        <f>+DO18*0.8</f>
        <v>179.20000000000002</v>
      </c>
      <c r="DQ18" s="44">
        <f t="shared" ref="DQ18:DT18" si="21">+DP18*0.8</f>
        <v>143.36000000000001</v>
      </c>
      <c r="DR18" s="44">
        <f t="shared" si="21"/>
        <v>114.68800000000002</v>
      </c>
      <c r="DS18" s="44">
        <f t="shared" si="21"/>
        <v>91.750400000000013</v>
      </c>
      <c r="DT18" s="44">
        <f t="shared" si="21"/>
        <v>73.400320000000008</v>
      </c>
      <c r="DU18" s="44"/>
      <c r="DV18" s="75">
        <f t="shared" si="7"/>
        <v>760</v>
      </c>
      <c r="DW18" s="75">
        <f t="shared" si="8"/>
        <v>820</v>
      </c>
      <c r="DX18" s="75">
        <f t="shared" si="15"/>
        <v>952</v>
      </c>
      <c r="DY18" s="75">
        <f t="shared" si="16"/>
        <v>862</v>
      </c>
      <c r="DZ18" s="75">
        <f t="shared" si="17"/>
        <v>640</v>
      </c>
      <c r="EA18" s="44">
        <f>+DZ18*0.9</f>
        <v>576</v>
      </c>
      <c r="EB18" s="44">
        <f t="shared" si="20"/>
        <v>518.4</v>
      </c>
      <c r="EC18" s="44">
        <f t="shared" si="20"/>
        <v>466.56</v>
      </c>
      <c r="ED18" s="44">
        <f t="shared" si="20"/>
        <v>419.904</v>
      </c>
      <c r="EE18" s="44">
        <f t="shared" si="20"/>
        <v>377.91360000000003</v>
      </c>
      <c r="EF18" s="44">
        <f t="shared" si="20"/>
        <v>340.12224000000003</v>
      </c>
      <c r="EG18" s="44">
        <f t="shared" si="20"/>
        <v>306.11001600000003</v>
      </c>
      <c r="EH18" s="44">
        <f t="shared" si="20"/>
        <v>275.49901440000002</v>
      </c>
      <c r="EI18" s="44">
        <f t="shared" si="20"/>
        <v>247.94911296000004</v>
      </c>
      <c r="EJ18" s="44">
        <f t="shared" si="20"/>
        <v>223.15420166400003</v>
      </c>
      <c r="EK18" s="44">
        <f t="shared" si="20"/>
        <v>200.83878149760002</v>
      </c>
      <c r="EL18" s="44">
        <f t="shared" si="20"/>
        <v>180.75490334784001</v>
      </c>
    </row>
    <row r="19" spans="1:142" s="11" customFormat="1">
      <c r="A19" s="35"/>
      <c r="B19" s="104" t="s">
        <v>478</v>
      </c>
      <c r="C19" s="44">
        <v>158</v>
      </c>
      <c r="D19" s="44">
        <v>182</v>
      </c>
      <c r="E19" s="44">
        <v>173</v>
      </c>
      <c r="F19" s="44">
        <v>205</v>
      </c>
      <c r="G19" s="44">
        <v>187</v>
      </c>
      <c r="H19" s="44">
        <v>195</v>
      </c>
      <c r="I19" s="44">
        <v>206</v>
      </c>
      <c r="J19" s="44">
        <v>206</v>
      </c>
      <c r="K19" s="44">
        <v>193</v>
      </c>
      <c r="L19" s="44">
        <v>213</v>
      </c>
      <c r="M19" s="44">
        <v>224</v>
      </c>
      <c r="N19" s="44">
        <v>239</v>
      </c>
      <c r="O19" s="44">
        <v>213</v>
      </c>
      <c r="P19" s="44">
        <v>226</v>
      </c>
      <c r="Q19" s="44">
        <v>236</v>
      </c>
      <c r="R19" s="44">
        <v>242</v>
      </c>
      <c r="S19" s="44">
        <v>231</v>
      </c>
      <c r="T19" s="44">
        <v>263</v>
      </c>
      <c r="U19" s="44">
        <v>258</v>
      </c>
      <c r="V19" s="44">
        <v>252</v>
      </c>
      <c r="W19" s="44">
        <f>481-X19</f>
        <v>231</v>
      </c>
      <c r="X19" s="44">
        <v>250</v>
      </c>
      <c r="Y19" s="44">
        <v>255</v>
      </c>
      <c r="Z19" s="44">
        <v>272</v>
      </c>
      <c r="AA19" s="44">
        <f>524-AB19</f>
        <v>249</v>
      </c>
      <c r="AB19" s="44">
        <v>275</v>
      </c>
      <c r="AC19" s="44">
        <v>273</v>
      </c>
      <c r="AD19" s="44">
        <v>307</v>
      </c>
      <c r="AE19" s="44">
        <v>255</v>
      </c>
      <c r="AF19" s="44">
        <v>310</v>
      </c>
      <c r="AG19" s="44">
        <v>295</v>
      </c>
      <c r="AH19" s="44">
        <v>278</v>
      </c>
      <c r="AI19" s="44">
        <v>232</v>
      </c>
      <c r="AJ19" s="44">
        <v>272</v>
      </c>
      <c r="AK19" s="56">
        <v>282</v>
      </c>
      <c r="AL19" s="44">
        <v>300</v>
      </c>
      <c r="AM19" s="44">
        <v>265</v>
      </c>
      <c r="AN19" s="44">
        <v>280</v>
      </c>
      <c r="AO19" s="44">
        <v>268</v>
      </c>
      <c r="AP19" s="44">
        <v>302</v>
      </c>
      <c r="AQ19" s="73">
        <v>275</v>
      </c>
      <c r="AR19" s="44">
        <f>AQ19-5</f>
        <v>270</v>
      </c>
      <c r="AS19" s="44">
        <v>304</v>
      </c>
      <c r="AT19" s="44">
        <v>298</v>
      </c>
      <c r="AU19" s="44">
        <v>273</v>
      </c>
      <c r="AV19" s="44"/>
      <c r="AW19" s="44"/>
      <c r="AX19" s="44"/>
      <c r="AY19" s="44">
        <v>240</v>
      </c>
      <c r="AZ19" s="44">
        <v>263</v>
      </c>
      <c r="BA19" s="44"/>
      <c r="BB19" s="44"/>
      <c r="BC19" s="44">
        <v>221</v>
      </c>
      <c r="BD19" s="44">
        <v>236</v>
      </c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>
        <v>187</v>
      </c>
      <c r="BS19" s="44">
        <v>184</v>
      </c>
      <c r="BT19" s="44">
        <v>192</v>
      </c>
      <c r="BU19" s="44">
        <v>194</v>
      </c>
      <c r="BV19" s="44">
        <v>182</v>
      </c>
      <c r="BW19" s="78">
        <v>194</v>
      </c>
      <c r="BX19" s="78">
        <v>197</v>
      </c>
      <c r="BY19" s="78">
        <v>226</v>
      </c>
      <c r="BZ19" s="78">
        <v>196</v>
      </c>
      <c r="CA19" s="78">
        <v>225</v>
      </c>
      <c r="CB19" s="78">
        <v>217</v>
      </c>
      <c r="CC19" s="78">
        <v>230</v>
      </c>
      <c r="CD19" s="78">
        <v>216</v>
      </c>
      <c r="CE19" s="78">
        <v>221</v>
      </c>
      <c r="CF19" s="78">
        <v>244</v>
      </c>
      <c r="CG19" s="78">
        <v>250</v>
      </c>
      <c r="CH19" s="78">
        <v>232</v>
      </c>
      <c r="CI19" s="78">
        <v>240</v>
      </c>
      <c r="CJ19" s="78">
        <v>236</v>
      </c>
      <c r="CK19" s="78">
        <v>240</v>
      </c>
      <c r="CL19" s="78">
        <v>210</v>
      </c>
      <c r="CM19" s="78">
        <v>227</v>
      </c>
      <c r="CN19" s="78">
        <v>233</v>
      </c>
      <c r="CO19" s="78">
        <v>239</v>
      </c>
      <c r="CP19" s="78">
        <v>254</v>
      </c>
      <c r="CQ19" s="78">
        <v>285</v>
      </c>
      <c r="CR19" s="78">
        <v>282</v>
      </c>
      <c r="CS19" s="78"/>
      <c r="CT19" s="78"/>
      <c r="CU19" s="78"/>
      <c r="CV19" s="78"/>
      <c r="CW19" s="78"/>
      <c r="CX19" s="78"/>
      <c r="CY19" s="78"/>
      <c r="CZ19" s="78"/>
      <c r="DA19" s="44"/>
      <c r="DB19" s="44"/>
      <c r="DC19" s="44"/>
      <c r="DD19" s="43"/>
      <c r="DE19" s="44">
        <v>794</v>
      </c>
      <c r="DF19" s="44">
        <v>869</v>
      </c>
      <c r="DG19" s="44">
        <v>917</v>
      </c>
      <c r="DH19" s="44">
        <f>SUM(S19:V19)</f>
        <v>1004</v>
      </c>
      <c r="DI19" s="44">
        <f>SUM(W19:Z19)</f>
        <v>1008</v>
      </c>
      <c r="DJ19" s="44">
        <f>SUM(AA19:AD19)</f>
        <v>1104</v>
      </c>
      <c r="DK19" s="44">
        <f>SUM(AE19:AH19)</f>
        <v>1138</v>
      </c>
      <c r="DL19" s="44">
        <f>SUM(AI19:AL19)</f>
        <v>1086</v>
      </c>
      <c r="DM19" s="44">
        <f>SUM(AM19:AP19)</f>
        <v>1115</v>
      </c>
      <c r="DN19" s="44">
        <f>SUM(AQ19:AT19)</f>
        <v>1147</v>
      </c>
      <c r="DO19" s="44">
        <f>SUM(AU19:AX19)</f>
        <v>273</v>
      </c>
      <c r="DP19" s="44">
        <f>+DO19*1.05</f>
        <v>286.65000000000003</v>
      </c>
      <c r="DQ19" s="44">
        <f>+DP19*1.05</f>
        <v>300.98250000000007</v>
      </c>
      <c r="DR19" s="44">
        <f>+DQ19*1.05</f>
        <v>316.03162500000008</v>
      </c>
      <c r="DS19" s="44">
        <f>+DR19*1.05</f>
        <v>331.8332062500001</v>
      </c>
      <c r="DT19" s="44">
        <f>+DS19</f>
        <v>331.8332062500001</v>
      </c>
      <c r="DU19" s="44"/>
      <c r="DV19" s="75">
        <f t="shared" si="7"/>
        <v>813</v>
      </c>
      <c r="DW19" s="75">
        <f t="shared" si="8"/>
        <v>888</v>
      </c>
      <c r="DX19" s="75">
        <f t="shared" si="15"/>
        <v>947</v>
      </c>
      <c r="DY19" s="75">
        <f t="shared" si="16"/>
        <v>926</v>
      </c>
      <c r="DZ19" s="75">
        <f t="shared" si="17"/>
        <v>953</v>
      </c>
      <c r="EA19" s="44">
        <f>+DZ19*0.9</f>
        <v>857.7</v>
      </c>
      <c r="EB19" s="44">
        <f t="shared" si="20"/>
        <v>771.93000000000006</v>
      </c>
      <c r="EC19" s="44">
        <f t="shared" si="20"/>
        <v>694.73700000000008</v>
      </c>
      <c r="ED19" s="44">
        <f t="shared" si="20"/>
        <v>625.26330000000007</v>
      </c>
      <c r="EE19" s="44">
        <f t="shared" si="20"/>
        <v>562.73697000000004</v>
      </c>
      <c r="EF19" s="44">
        <f t="shared" si="20"/>
        <v>506.46327300000007</v>
      </c>
      <c r="EG19" s="44">
        <f t="shared" si="20"/>
        <v>455.81694570000008</v>
      </c>
      <c r="EH19" s="44">
        <f t="shared" si="20"/>
        <v>410.23525113000005</v>
      </c>
      <c r="EI19" s="44">
        <f t="shared" si="20"/>
        <v>369.21172601700005</v>
      </c>
      <c r="EJ19" s="44">
        <f t="shared" si="20"/>
        <v>332.29055341530005</v>
      </c>
      <c r="EK19" s="44">
        <f t="shared" si="20"/>
        <v>299.06149807377005</v>
      </c>
      <c r="EL19" s="44">
        <f t="shared" si="20"/>
        <v>269.15534826639305</v>
      </c>
    </row>
    <row r="20" spans="1:142" s="11" customFormat="1">
      <c r="A20" s="35"/>
      <c r="B20" s="138" t="s">
        <v>642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56"/>
      <c r="AL20" s="44"/>
      <c r="AM20" s="44"/>
      <c r="AN20" s="44"/>
      <c r="AO20" s="44"/>
      <c r="AP20" s="44"/>
      <c r="AQ20" s="73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>
        <v>0</v>
      </c>
      <c r="BS20" s="44">
        <v>0</v>
      </c>
      <c r="BT20" s="44">
        <v>0</v>
      </c>
      <c r="BU20" s="44">
        <v>0</v>
      </c>
      <c r="BV20" s="44">
        <v>0</v>
      </c>
      <c r="BW20" s="44">
        <v>0</v>
      </c>
      <c r="BX20" s="44">
        <v>0</v>
      </c>
      <c r="BY20" s="44">
        <v>0</v>
      </c>
      <c r="BZ20" s="44">
        <v>0</v>
      </c>
      <c r="CA20" s="44">
        <v>0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0</v>
      </c>
      <c r="CJ20" s="44">
        <v>0</v>
      </c>
      <c r="CK20" s="44">
        <v>0</v>
      </c>
      <c r="CL20" s="78">
        <v>0</v>
      </c>
      <c r="CM20" s="78">
        <v>0</v>
      </c>
      <c r="CN20" s="78">
        <v>0</v>
      </c>
      <c r="CO20" s="78">
        <v>0</v>
      </c>
      <c r="CP20" s="78">
        <v>0</v>
      </c>
      <c r="CQ20" s="78">
        <v>62</v>
      </c>
      <c r="CR20" s="78">
        <v>74</v>
      </c>
      <c r="CS20" s="78"/>
      <c r="CT20" s="78"/>
      <c r="CU20" s="78"/>
      <c r="CV20" s="78"/>
      <c r="CW20" s="78"/>
      <c r="CX20" s="78"/>
      <c r="CY20" s="78"/>
      <c r="CZ20" s="78"/>
      <c r="DA20" s="44"/>
      <c r="DB20" s="44"/>
      <c r="DC20" s="44"/>
      <c r="DD20" s="43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75"/>
      <c r="DW20" s="75"/>
      <c r="DX20" s="75"/>
      <c r="DY20" s="75"/>
      <c r="DZ20" s="75">
        <f t="shared" si="17"/>
        <v>0</v>
      </c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</row>
    <row r="21" spans="1:142" s="11" customFormat="1">
      <c r="A21" s="35"/>
      <c r="B21" s="138" t="s">
        <v>646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56"/>
      <c r="AL21" s="44"/>
      <c r="AM21" s="44"/>
      <c r="AN21" s="44"/>
      <c r="AO21" s="44"/>
      <c r="AP21" s="44"/>
      <c r="AQ21" s="73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>
        <v>0</v>
      </c>
      <c r="BS21" s="44">
        <v>0</v>
      </c>
      <c r="BT21" s="44">
        <v>0</v>
      </c>
      <c r="BU21" s="44">
        <v>0</v>
      </c>
      <c r="BV21" s="44">
        <v>0</v>
      </c>
      <c r="BW21" s="44">
        <v>0</v>
      </c>
      <c r="BX21" s="44">
        <v>0</v>
      </c>
      <c r="BY21" s="44">
        <v>0</v>
      </c>
      <c r="BZ21" s="44">
        <v>0</v>
      </c>
      <c r="CA21" s="44">
        <v>0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0</v>
      </c>
      <c r="CJ21" s="44">
        <v>0</v>
      </c>
      <c r="CK21" s="44">
        <v>0</v>
      </c>
      <c r="CL21" s="78">
        <v>4</v>
      </c>
      <c r="CM21" s="78">
        <v>11</v>
      </c>
      <c r="CN21" s="78">
        <v>19</v>
      </c>
      <c r="CO21" s="78">
        <v>21</v>
      </c>
      <c r="CP21" s="78">
        <v>35</v>
      </c>
      <c r="CQ21" s="78">
        <v>120</v>
      </c>
      <c r="CR21" s="78">
        <v>160</v>
      </c>
      <c r="CS21" s="78"/>
      <c r="CT21" s="78"/>
      <c r="CU21" s="78"/>
      <c r="CV21" s="78"/>
      <c r="CW21" s="78"/>
      <c r="CX21" s="78"/>
      <c r="CY21" s="78"/>
      <c r="CZ21" s="78"/>
      <c r="DA21" s="44"/>
      <c r="DB21" s="44"/>
      <c r="DC21" s="44"/>
      <c r="DD21" s="43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75"/>
      <c r="DW21" s="75"/>
      <c r="DX21" s="75"/>
      <c r="DY21" s="75"/>
      <c r="DZ21" s="75">
        <f t="shared" si="17"/>
        <v>86</v>
      </c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</row>
    <row r="22" spans="1:142" s="11" customFormat="1">
      <c r="A22" s="35"/>
      <c r="B22" s="138" t="s">
        <v>644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56"/>
      <c r="AL22" s="44"/>
      <c r="AM22" s="44"/>
      <c r="AN22" s="44"/>
      <c r="AO22" s="44"/>
      <c r="AP22" s="44"/>
      <c r="AQ22" s="73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>
        <v>0</v>
      </c>
      <c r="BS22" s="44">
        <v>0</v>
      </c>
      <c r="BT22" s="44">
        <v>0</v>
      </c>
      <c r="BU22" s="44">
        <v>0</v>
      </c>
      <c r="BV22" s="44">
        <v>0</v>
      </c>
      <c r="BW22" s="44">
        <v>0</v>
      </c>
      <c r="BX22" s="44">
        <v>0</v>
      </c>
      <c r="BY22" s="44">
        <v>0</v>
      </c>
      <c r="BZ22" s="44">
        <v>0</v>
      </c>
      <c r="CA22" s="44">
        <v>0</v>
      </c>
      <c r="CB22" s="44">
        <v>0</v>
      </c>
      <c r="CC22" s="44">
        <v>0</v>
      </c>
      <c r="CD22" s="44">
        <v>0</v>
      </c>
      <c r="CE22" s="44">
        <v>0</v>
      </c>
      <c r="CF22" s="44">
        <v>0</v>
      </c>
      <c r="CG22" s="44">
        <v>0</v>
      </c>
      <c r="CH22" s="44">
        <v>0</v>
      </c>
      <c r="CI22" s="44">
        <v>0</v>
      </c>
      <c r="CJ22" s="44">
        <v>0</v>
      </c>
      <c r="CK22" s="44">
        <v>0</v>
      </c>
      <c r="CL22" s="78">
        <v>0</v>
      </c>
      <c r="CM22" s="78">
        <v>0</v>
      </c>
      <c r="CN22" s="78">
        <v>0</v>
      </c>
      <c r="CO22" s="78">
        <v>0</v>
      </c>
      <c r="CP22" s="78">
        <v>6</v>
      </c>
      <c r="CQ22" s="78">
        <v>50</v>
      </c>
      <c r="CR22" s="78">
        <v>92</v>
      </c>
      <c r="CS22" s="78"/>
      <c r="CT22" s="78"/>
      <c r="CU22" s="78"/>
      <c r="CV22" s="78"/>
      <c r="CW22" s="78"/>
      <c r="CX22" s="78"/>
      <c r="CY22" s="78"/>
      <c r="CZ22" s="78"/>
      <c r="DA22" s="44"/>
      <c r="DB22" s="44"/>
      <c r="DC22" s="44"/>
      <c r="DD22" s="43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75"/>
      <c r="DW22" s="75"/>
      <c r="DX22" s="75"/>
      <c r="DY22" s="75"/>
      <c r="DZ22" s="75">
        <f t="shared" si="17"/>
        <v>6</v>
      </c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</row>
    <row r="23" spans="1:142" s="11" customFormat="1">
      <c r="A23" s="35"/>
      <c r="B23" s="104" t="s">
        <v>457</v>
      </c>
      <c r="C23" s="44">
        <v>198</v>
      </c>
      <c r="D23" s="44">
        <v>206</v>
      </c>
      <c r="E23" s="44">
        <v>159</v>
      </c>
      <c r="F23" s="44">
        <v>203</v>
      </c>
      <c r="G23" s="44">
        <v>227</v>
      </c>
      <c r="H23" s="44">
        <v>199</v>
      </c>
      <c r="I23" s="44">
        <v>149</v>
      </c>
      <c r="J23" s="44">
        <v>237</v>
      </c>
      <c r="K23" s="44">
        <v>251</v>
      </c>
      <c r="L23" s="44">
        <v>239</v>
      </c>
      <c r="M23" s="44">
        <v>184</v>
      </c>
      <c r="N23" s="44">
        <v>294</v>
      </c>
      <c r="O23" s="44">
        <v>282</v>
      </c>
      <c r="P23" s="44">
        <v>244</v>
      </c>
      <c r="Q23" s="44">
        <v>211</v>
      </c>
      <c r="R23" s="44">
        <v>313</v>
      </c>
      <c r="S23" s="44">
        <v>314</v>
      </c>
      <c r="T23" s="44">
        <v>276</v>
      </c>
      <c r="U23" s="44">
        <v>234</v>
      </c>
      <c r="V23" s="44">
        <v>338</v>
      </c>
      <c r="W23" s="44">
        <f>629-X23</f>
        <v>328</v>
      </c>
      <c r="X23" s="44">
        <v>301</v>
      </c>
      <c r="Y23" s="44">
        <v>263</v>
      </c>
      <c r="Z23" s="44">
        <v>400</v>
      </c>
      <c r="AA23" s="44">
        <f>721-AB23</f>
        <v>401</v>
      </c>
      <c r="AB23" s="44">
        <v>320</v>
      </c>
      <c r="AC23" s="44">
        <v>286</v>
      </c>
      <c r="AD23" s="44">
        <v>447</v>
      </c>
      <c r="AE23" s="44">
        <v>411</v>
      </c>
      <c r="AF23" s="44">
        <v>383</v>
      </c>
      <c r="AG23" s="44">
        <v>304</v>
      </c>
      <c r="AH23" s="44">
        <v>397</v>
      </c>
      <c r="AI23" s="44">
        <v>292</v>
      </c>
      <c r="AJ23" s="44">
        <v>311</v>
      </c>
      <c r="AK23" s="56">
        <v>320</v>
      </c>
      <c r="AL23" s="44">
        <v>387</v>
      </c>
      <c r="AM23" s="44">
        <v>243</v>
      </c>
      <c r="AN23" s="44">
        <v>216</v>
      </c>
      <c r="AO23" s="44">
        <v>180</v>
      </c>
      <c r="AP23" s="44">
        <v>233</v>
      </c>
      <c r="AQ23" s="73">
        <v>248</v>
      </c>
      <c r="AR23" s="44">
        <f>AQ23-5</f>
        <v>243</v>
      </c>
      <c r="AS23" s="44">
        <v>185</v>
      </c>
      <c r="AT23" s="44">
        <v>223</v>
      </c>
      <c r="AU23" s="44">
        <v>227</v>
      </c>
      <c r="AV23" s="44"/>
      <c r="AW23" s="44"/>
      <c r="AX23" s="44"/>
      <c r="AY23" s="44">
        <v>233</v>
      </c>
      <c r="AZ23" s="44">
        <v>213</v>
      </c>
      <c r="BA23" s="44"/>
      <c r="BB23" s="44"/>
      <c r="BC23" s="44">
        <v>263</v>
      </c>
      <c r="BD23" s="44">
        <v>209</v>
      </c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>
        <v>371</v>
      </c>
      <c r="BS23" s="44">
        <v>346</v>
      </c>
      <c r="BT23" s="44">
        <v>287</v>
      </c>
      <c r="BU23" s="44">
        <v>264</v>
      </c>
      <c r="BV23" s="44">
        <v>389</v>
      </c>
      <c r="BW23" s="78">
        <v>383</v>
      </c>
      <c r="BX23" s="78">
        <v>333</v>
      </c>
      <c r="BY23" s="78">
        <v>337</v>
      </c>
      <c r="BZ23" s="78">
        <v>413</v>
      </c>
      <c r="CA23" s="78">
        <v>380</v>
      </c>
      <c r="CB23" s="78">
        <v>97</v>
      </c>
      <c r="CC23" s="78">
        <v>151</v>
      </c>
      <c r="CD23" s="78">
        <v>368</v>
      </c>
      <c r="CE23" s="78">
        <v>330</v>
      </c>
      <c r="CF23" s="78">
        <v>167</v>
      </c>
      <c r="CG23" s="78">
        <v>217</v>
      </c>
      <c r="CH23" s="78">
        <v>248</v>
      </c>
      <c r="CI23" s="78">
        <v>217</v>
      </c>
      <c r="CJ23" s="78">
        <v>116</v>
      </c>
      <c r="CK23" s="78">
        <v>145</v>
      </c>
      <c r="CL23" s="78">
        <v>166</v>
      </c>
      <c r="CM23" s="78">
        <v>221</v>
      </c>
      <c r="CN23" s="78">
        <v>124</v>
      </c>
      <c r="CO23" s="78">
        <v>148</v>
      </c>
      <c r="CP23" s="78">
        <v>219</v>
      </c>
      <c r="CQ23" s="78">
        <v>224</v>
      </c>
      <c r="CR23" s="78">
        <v>155</v>
      </c>
      <c r="CS23" s="78"/>
      <c r="CT23" s="78"/>
      <c r="CU23" s="78"/>
      <c r="CV23" s="78"/>
      <c r="CW23" s="78"/>
      <c r="CX23" s="78"/>
      <c r="CY23" s="78"/>
      <c r="CZ23" s="78"/>
      <c r="DA23" s="44"/>
      <c r="DB23" s="44"/>
      <c r="DC23" s="44"/>
      <c r="DD23" s="43"/>
      <c r="DE23" s="44">
        <v>812</v>
      </c>
      <c r="DF23" s="44">
        <v>968</v>
      </c>
      <c r="DG23" s="44">
        <v>1050</v>
      </c>
      <c r="DH23" s="44">
        <f>SUM(S23:V23)</f>
        <v>1162</v>
      </c>
      <c r="DI23" s="44">
        <f>SUM(W23:Z23)</f>
        <v>1292</v>
      </c>
      <c r="DJ23" s="44">
        <f>SUM(AA23:AD23)</f>
        <v>1454</v>
      </c>
      <c r="DK23" s="44">
        <f>SUM(AE23:AH23)</f>
        <v>1495</v>
      </c>
      <c r="DL23" s="44">
        <f>SUM(AI23:AL23)</f>
        <v>1310</v>
      </c>
      <c r="DM23" s="44">
        <f>SUM(AM23:AP23)</f>
        <v>872</v>
      </c>
      <c r="DN23" s="44">
        <f>SUM(AQ23:AT23)</f>
        <v>899</v>
      </c>
      <c r="DO23" s="44">
        <f>SUM(AU23:AX23)</f>
        <v>227</v>
      </c>
      <c r="DP23" s="44">
        <f t="shared" ref="DP23:DS23" si="22">+DO23*1.05</f>
        <v>238.35000000000002</v>
      </c>
      <c r="DQ23" s="44">
        <f t="shared" si="22"/>
        <v>250.26750000000004</v>
      </c>
      <c r="DR23" s="44">
        <f t="shared" si="22"/>
        <v>262.78087500000004</v>
      </c>
      <c r="DS23" s="44">
        <f t="shared" si="22"/>
        <v>275.91991875000008</v>
      </c>
      <c r="DT23" s="44">
        <f>+DS23*1.05</f>
        <v>289.71591468750012</v>
      </c>
      <c r="DU23" s="44"/>
      <c r="DV23" s="75">
        <f t="shared" si="7"/>
        <v>1466</v>
      </c>
      <c r="DW23" s="75">
        <f t="shared" si="8"/>
        <v>996</v>
      </c>
      <c r="DX23" s="75">
        <f t="shared" si="15"/>
        <v>962</v>
      </c>
      <c r="DY23" s="75">
        <f t="shared" si="16"/>
        <v>644</v>
      </c>
      <c r="DZ23" s="75">
        <f t="shared" si="17"/>
        <v>712</v>
      </c>
      <c r="EA23" s="44">
        <f>+DZ23*0.9</f>
        <v>640.80000000000007</v>
      </c>
      <c r="EB23" s="44">
        <f t="shared" si="20"/>
        <v>576.72</v>
      </c>
      <c r="EC23" s="44">
        <f t="shared" si="20"/>
        <v>519.048</v>
      </c>
      <c r="ED23" s="44">
        <f t="shared" si="20"/>
        <v>467.14320000000004</v>
      </c>
      <c r="EE23" s="44">
        <f t="shared" si="20"/>
        <v>420.42888000000005</v>
      </c>
      <c r="EF23" s="44">
        <f t="shared" si="20"/>
        <v>378.38599200000004</v>
      </c>
      <c r="EG23" s="44">
        <f t="shared" si="20"/>
        <v>340.54739280000007</v>
      </c>
      <c r="EH23" s="44">
        <f t="shared" si="20"/>
        <v>306.49265352000009</v>
      </c>
      <c r="EI23" s="44">
        <f t="shared" si="20"/>
        <v>275.8433881680001</v>
      </c>
      <c r="EJ23" s="44">
        <f t="shared" si="20"/>
        <v>248.2590493512001</v>
      </c>
      <c r="EK23" s="44">
        <f t="shared" si="20"/>
        <v>223.4331444160801</v>
      </c>
      <c r="EL23" s="44">
        <f t="shared" si="20"/>
        <v>201.08982997447208</v>
      </c>
    </row>
    <row r="24" spans="1:142" s="11" customFormat="1">
      <c r="A24" s="35"/>
      <c r="B24" s="104" t="s">
        <v>546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56"/>
      <c r="AL24" s="44"/>
      <c r="AM24" s="44"/>
      <c r="AN24" s="44"/>
      <c r="AO24" s="44"/>
      <c r="AP24" s="44"/>
      <c r="AQ24" s="73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>
        <v>0</v>
      </c>
      <c r="BS24" s="44">
        <v>0</v>
      </c>
      <c r="BT24" s="44">
        <v>0</v>
      </c>
      <c r="BU24" s="44">
        <v>0</v>
      </c>
      <c r="BV24" s="44">
        <v>0</v>
      </c>
      <c r="BW24" s="78">
        <v>0</v>
      </c>
      <c r="BX24" s="78">
        <v>0</v>
      </c>
      <c r="BY24" s="78">
        <v>0</v>
      </c>
      <c r="BZ24" s="78">
        <v>0</v>
      </c>
      <c r="CA24" s="78">
        <v>0</v>
      </c>
      <c r="CB24" s="78">
        <v>0</v>
      </c>
      <c r="CC24" s="78">
        <v>0</v>
      </c>
      <c r="CD24" s="78">
        <v>0</v>
      </c>
      <c r="CE24" s="78">
        <v>0</v>
      </c>
      <c r="CF24" s="78">
        <v>0</v>
      </c>
      <c r="CG24" s="78">
        <v>159</v>
      </c>
      <c r="CH24" s="78">
        <v>219</v>
      </c>
      <c r="CI24" s="78">
        <v>208</v>
      </c>
      <c r="CJ24" s="78">
        <v>242</v>
      </c>
      <c r="CK24" s="78">
        <v>237</v>
      </c>
      <c r="CL24" s="78">
        <v>272</v>
      </c>
      <c r="CM24" s="78">
        <v>262</v>
      </c>
      <c r="CN24" s="78">
        <v>300</v>
      </c>
      <c r="CO24" s="78">
        <v>285</v>
      </c>
      <c r="CP24" s="78">
        <v>305</v>
      </c>
      <c r="CQ24" s="78">
        <v>313</v>
      </c>
      <c r="CR24" s="78">
        <v>340</v>
      </c>
      <c r="CS24" s="78"/>
      <c r="CT24" s="78"/>
      <c r="CU24" s="78"/>
      <c r="CV24" s="78"/>
      <c r="CW24" s="78"/>
      <c r="CX24" s="78"/>
      <c r="CY24" s="78"/>
      <c r="CZ24" s="78"/>
      <c r="DA24" s="44"/>
      <c r="DB24" s="44"/>
      <c r="DC24" s="44"/>
      <c r="DD24" s="43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75">
        <f t="shared" si="7"/>
        <v>0</v>
      </c>
      <c r="DW24" s="75">
        <f t="shared" si="8"/>
        <v>0</v>
      </c>
      <c r="DX24" s="75">
        <f t="shared" si="15"/>
        <v>378</v>
      </c>
      <c r="DY24" s="75">
        <f t="shared" si="16"/>
        <v>959</v>
      </c>
      <c r="DZ24" s="75">
        <f t="shared" si="17"/>
        <v>1152</v>
      </c>
      <c r="EA24" s="44">
        <f>+DZ24*1.03</f>
        <v>1186.56</v>
      </c>
      <c r="EB24" s="44">
        <f t="shared" ref="EB24:EL24" si="23">+EA24*1.03</f>
        <v>1222.1568</v>
      </c>
      <c r="EC24" s="44">
        <f t="shared" si="23"/>
        <v>1258.821504</v>
      </c>
      <c r="ED24" s="44">
        <f t="shared" si="23"/>
        <v>1296.5861491200001</v>
      </c>
      <c r="EE24" s="44">
        <f t="shared" si="23"/>
        <v>1335.4837335936002</v>
      </c>
      <c r="EF24" s="44">
        <f t="shared" si="23"/>
        <v>1375.5482456014081</v>
      </c>
      <c r="EG24" s="44">
        <f t="shared" si="23"/>
        <v>1416.8146929694503</v>
      </c>
      <c r="EH24" s="44">
        <f t="shared" si="23"/>
        <v>1459.3191337585338</v>
      </c>
      <c r="EI24" s="44">
        <f t="shared" si="23"/>
        <v>1503.0987077712898</v>
      </c>
      <c r="EJ24" s="44">
        <f t="shared" si="23"/>
        <v>1548.1916690044286</v>
      </c>
      <c r="EK24" s="44">
        <f t="shared" si="23"/>
        <v>1594.6374190745614</v>
      </c>
      <c r="EL24" s="44">
        <f t="shared" si="23"/>
        <v>1642.4765416467983</v>
      </c>
    </row>
    <row r="25" spans="1:142" s="11" customFormat="1">
      <c r="A25" s="35"/>
      <c r="B25" s="104" t="s">
        <v>189</v>
      </c>
      <c r="C25" s="44">
        <v>103</v>
      </c>
      <c r="D25" s="44">
        <v>116</v>
      </c>
      <c r="E25" s="44">
        <v>94</v>
      </c>
      <c r="F25" s="44">
        <v>115</v>
      </c>
      <c r="G25" s="44">
        <v>89</v>
      </c>
      <c r="H25" s="44">
        <v>92</v>
      </c>
      <c r="I25" s="44">
        <v>89</v>
      </c>
      <c r="J25" s="44">
        <v>93</v>
      </c>
      <c r="K25" s="44">
        <v>90</v>
      </c>
      <c r="L25" s="44">
        <v>98</v>
      </c>
      <c r="M25" s="44">
        <v>96</v>
      </c>
      <c r="N25" s="44">
        <v>107</v>
      </c>
      <c r="O25" s="44">
        <v>83</v>
      </c>
      <c r="P25" s="44">
        <v>92</v>
      </c>
      <c r="Q25" s="44">
        <v>81</v>
      </c>
      <c r="R25" s="44">
        <v>84</v>
      </c>
      <c r="S25" s="44">
        <v>78</v>
      </c>
      <c r="T25" s="44">
        <v>82</v>
      </c>
      <c r="U25" s="44">
        <v>75</v>
      </c>
      <c r="V25" s="44">
        <v>76</v>
      </c>
      <c r="W25" s="44">
        <v>70</v>
      </c>
      <c r="X25" s="44">
        <v>73</v>
      </c>
      <c r="Y25" s="44">
        <v>70</v>
      </c>
      <c r="Z25" s="44">
        <v>71</v>
      </c>
      <c r="AA25" s="44">
        <v>69</v>
      </c>
      <c r="AB25" s="44">
        <v>72</v>
      </c>
      <c r="AC25" s="44">
        <v>71</v>
      </c>
      <c r="AD25" s="44">
        <v>162</v>
      </c>
      <c r="AE25" s="44">
        <v>138</v>
      </c>
      <c r="AF25" s="44">
        <v>75</v>
      </c>
      <c r="AG25" s="44">
        <v>66</v>
      </c>
      <c r="AH25" s="44">
        <v>62</v>
      </c>
      <c r="AI25" s="44">
        <v>56</v>
      </c>
      <c r="AJ25" s="44">
        <v>62</v>
      </c>
      <c r="AK25" s="56">
        <v>70</v>
      </c>
      <c r="AL25" s="44">
        <v>75</v>
      </c>
      <c r="AM25" s="44">
        <v>68</v>
      </c>
      <c r="AN25" s="44">
        <v>68</v>
      </c>
      <c r="AO25" s="44">
        <v>126</v>
      </c>
      <c r="AP25" s="44">
        <v>137</v>
      </c>
      <c r="AQ25" s="73">
        <v>61</v>
      </c>
      <c r="AR25" s="44">
        <f>AQ25</f>
        <v>61</v>
      </c>
      <c r="AS25" s="44">
        <v>61</v>
      </c>
      <c r="AT25" s="44">
        <v>62</v>
      </c>
      <c r="AU25" s="44">
        <v>84</v>
      </c>
      <c r="AV25" s="44"/>
      <c r="AW25" s="44"/>
      <c r="AX25" s="44"/>
      <c r="AY25" s="44"/>
      <c r="AZ25" s="44"/>
      <c r="BA25" s="44"/>
      <c r="BB25" s="44"/>
      <c r="BC25" s="44">
        <v>94</v>
      </c>
      <c r="BD25" s="44">
        <v>133</v>
      </c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>
        <v>80</v>
      </c>
      <c r="BS25" s="44">
        <v>85</v>
      </c>
      <c r="BT25" s="44">
        <v>73</v>
      </c>
      <c r="BU25" s="44">
        <v>73</v>
      </c>
      <c r="BV25" s="44">
        <v>75</v>
      </c>
      <c r="BW25" s="78">
        <f>71+11</f>
        <v>82</v>
      </c>
      <c r="BX25" s="78">
        <f>63+11</f>
        <v>74</v>
      </c>
      <c r="BY25" s="78">
        <f>65+14</f>
        <v>79</v>
      </c>
      <c r="BZ25" s="78">
        <f>72+16</f>
        <v>88</v>
      </c>
      <c r="CA25" s="78">
        <f>13+59</f>
        <v>72</v>
      </c>
      <c r="CB25" s="78">
        <f>10+48</f>
        <v>58</v>
      </c>
      <c r="CC25" s="78">
        <f>11+39</f>
        <v>50</v>
      </c>
      <c r="CD25" s="78">
        <f>12+46</f>
        <v>58</v>
      </c>
      <c r="CE25" s="78">
        <f>51+13</f>
        <v>64</v>
      </c>
      <c r="CF25" s="78">
        <f>47+15</f>
        <v>62</v>
      </c>
      <c r="CG25" s="78">
        <f>50+14</f>
        <v>64</v>
      </c>
      <c r="CH25" s="78">
        <f>17+48</f>
        <v>65</v>
      </c>
      <c r="CI25" s="78">
        <v>98</v>
      </c>
      <c r="CJ25" s="78">
        <v>99</v>
      </c>
      <c r="CK25" s="78">
        <v>85</v>
      </c>
      <c r="CL25" s="78">
        <v>84</v>
      </c>
      <c r="CM25" s="78">
        <v>102</v>
      </c>
      <c r="CN25" s="78">
        <v>69</v>
      </c>
      <c r="CO25" s="78">
        <v>66</v>
      </c>
      <c r="CP25" s="78">
        <v>58</v>
      </c>
      <c r="CQ25" s="78">
        <v>141</v>
      </c>
      <c r="CR25" s="78">
        <v>130</v>
      </c>
      <c r="CS25" s="78"/>
      <c r="CT25" s="78"/>
      <c r="CU25" s="78"/>
      <c r="CV25" s="78"/>
      <c r="CW25" s="78"/>
      <c r="CX25" s="78"/>
      <c r="CY25" s="78"/>
      <c r="CZ25" s="78"/>
      <c r="DA25" s="44"/>
      <c r="DB25" s="44"/>
      <c r="DC25" s="44"/>
      <c r="DD25" s="43"/>
      <c r="DE25" s="44">
        <v>363</v>
      </c>
      <c r="DF25" s="44">
        <v>391</v>
      </c>
      <c r="DG25" s="44">
        <v>340</v>
      </c>
      <c r="DH25" s="44">
        <f>SUM(S25:V25)</f>
        <v>311</v>
      </c>
      <c r="DI25" s="44">
        <f>SUM(W25:Z25)</f>
        <v>284</v>
      </c>
      <c r="DJ25" s="44">
        <f>SUM(AA25:AD25)</f>
        <v>374</v>
      </c>
      <c r="DK25" s="44">
        <f>DJ25</f>
        <v>374</v>
      </c>
      <c r="DL25" s="44">
        <f>SUM(AI25:AL25)</f>
        <v>263</v>
      </c>
      <c r="DM25" s="44">
        <f>SUM(AM25:AP25)</f>
        <v>399</v>
      </c>
      <c r="DN25" s="44">
        <f>SUM(AQ25:AT25)</f>
        <v>245</v>
      </c>
      <c r="DO25" s="44">
        <f>SUM(AU25:AX25)</f>
        <v>84</v>
      </c>
      <c r="DP25" s="44">
        <f>+DO25*0.8</f>
        <v>67.2</v>
      </c>
      <c r="DQ25" s="44">
        <f t="shared" ref="DQ25:DT25" si="24">+DP25*0.8</f>
        <v>53.760000000000005</v>
      </c>
      <c r="DR25" s="44">
        <f t="shared" si="24"/>
        <v>43.00800000000001</v>
      </c>
      <c r="DS25" s="44">
        <f t="shared" si="24"/>
        <v>34.406400000000012</v>
      </c>
      <c r="DT25" s="44">
        <f t="shared" si="24"/>
        <v>27.525120000000012</v>
      </c>
      <c r="DU25" s="44"/>
      <c r="DV25" s="75">
        <f t="shared" si="7"/>
        <v>323</v>
      </c>
      <c r="DW25" s="75">
        <f t="shared" si="8"/>
        <v>238</v>
      </c>
      <c r="DX25" s="75">
        <f t="shared" si="15"/>
        <v>255</v>
      </c>
      <c r="DY25" s="75">
        <f t="shared" si="16"/>
        <v>366</v>
      </c>
      <c r="DZ25" s="75">
        <f t="shared" si="17"/>
        <v>295</v>
      </c>
      <c r="EA25" s="44"/>
      <c r="EB25" s="44"/>
    </row>
    <row r="26" spans="1:142" s="11" customFormat="1">
      <c r="A26" s="35"/>
      <c r="B26" s="104" t="s">
        <v>42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8</v>
      </c>
      <c r="I26" s="44">
        <v>11</v>
      </c>
      <c r="J26" s="44">
        <v>16</v>
      </c>
      <c r="K26" s="44">
        <v>22</v>
      </c>
      <c r="L26" s="44">
        <v>15</v>
      </c>
      <c r="M26" s="44">
        <v>19</v>
      </c>
      <c r="N26" s="44">
        <v>21</v>
      </c>
      <c r="O26" s="44">
        <v>26</v>
      </c>
      <c r="P26" s="44">
        <v>23</v>
      </c>
      <c r="Q26" s="44">
        <v>24</v>
      </c>
      <c r="R26" s="44">
        <v>26</v>
      </c>
      <c r="S26" s="44">
        <v>29</v>
      </c>
      <c r="T26" s="44">
        <v>35</v>
      </c>
      <c r="U26" s="44">
        <v>37</v>
      </c>
      <c r="V26" s="44">
        <v>39</v>
      </c>
      <c r="W26" s="44">
        <f>91-X26</f>
        <v>44</v>
      </c>
      <c r="X26" s="44">
        <v>47</v>
      </c>
      <c r="Y26" s="44"/>
      <c r="Z26" s="44">
        <v>48</v>
      </c>
      <c r="AA26" s="44">
        <f>102-AB26</f>
        <v>49</v>
      </c>
      <c r="AB26" s="44">
        <v>53</v>
      </c>
      <c r="AC26" s="44"/>
      <c r="AD26" s="44">
        <v>58</v>
      </c>
      <c r="AE26" s="44">
        <v>56</v>
      </c>
      <c r="AF26" s="44"/>
      <c r="AG26" s="57" t="s">
        <v>341</v>
      </c>
      <c r="AH26" s="44"/>
      <c r="AI26" s="44"/>
      <c r="AJ26" s="44"/>
      <c r="AK26" s="56"/>
      <c r="AL26" s="44"/>
      <c r="AM26" s="44"/>
      <c r="AN26" s="44"/>
      <c r="AO26" s="44"/>
      <c r="AP26" s="44"/>
      <c r="AQ26" s="73">
        <v>123</v>
      </c>
      <c r="AR26" s="44">
        <v>0</v>
      </c>
      <c r="AS26" s="44">
        <v>0</v>
      </c>
      <c r="AT26" s="44">
        <v>0</v>
      </c>
      <c r="AU26" s="44">
        <v>151</v>
      </c>
      <c r="AV26" s="44"/>
      <c r="AW26" s="44"/>
      <c r="AX26" s="44"/>
      <c r="AY26" s="44">
        <v>157</v>
      </c>
      <c r="AZ26" s="44">
        <v>173</v>
      </c>
      <c r="BA26" s="44"/>
      <c r="BB26" s="44"/>
      <c r="BC26" s="44">
        <v>172</v>
      </c>
      <c r="BD26" s="44">
        <v>179</v>
      </c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>
        <v>238</v>
      </c>
      <c r="BS26" s="44">
        <v>254</v>
      </c>
      <c r="BT26" s="44">
        <v>247</v>
      </c>
      <c r="BU26" s="44">
        <v>258</v>
      </c>
      <c r="BV26" s="44">
        <v>269</v>
      </c>
      <c r="BW26" s="78">
        <v>254</v>
      </c>
      <c r="BX26" s="78">
        <v>267</v>
      </c>
      <c r="BY26" s="78">
        <v>205</v>
      </c>
      <c r="BZ26" s="78">
        <v>166</v>
      </c>
      <c r="CA26" s="78">
        <v>166</v>
      </c>
      <c r="CB26" s="78">
        <v>146</v>
      </c>
      <c r="CC26" s="78">
        <v>138</v>
      </c>
      <c r="CD26" s="78">
        <v>130</v>
      </c>
      <c r="CE26" s="78">
        <v>122</v>
      </c>
      <c r="CF26" s="78">
        <v>105</v>
      </c>
      <c r="CG26" s="78">
        <v>103</v>
      </c>
      <c r="CH26" s="78">
        <v>101</v>
      </c>
      <c r="CI26" s="78">
        <v>93</v>
      </c>
      <c r="CJ26" s="78">
        <v>86</v>
      </c>
      <c r="CK26" s="78">
        <v>81</v>
      </c>
      <c r="CL26" s="78">
        <v>74</v>
      </c>
      <c r="CM26" s="78">
        <v>75</v>
      </c>
      <c r="CN26" s="78">
        <v>78</v>
      </c>
      <c r="CO26" s="78">
        <v>64</v>
      </c>
      <c r="CP26" s="78">
        <v>79</v>
      </c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44"/>
      <c r="DB26" s="44"/>
      <c r="DC26" s="44"/>
      <c r="DD26" s="43"/>
      <c r="DE26" s="44">
        <v>35</v>
      </c>
      <c r="DF26" s="44">
        <v>77</v>
      </c>
      <c r="DG26" s="44">
        <v>99</v>
      </c>
      <c r="DH26" s="44">
        <f>SUM(S26:V26)</f>
        <v>140</v>
      </c>
      <c r="DI26" s="44">
        <f>SUM(W26:Z26)</f>
        <v>139</v>
      </c>
      <c r="DJ26" s="44"/>
      <c r="DK26" s="44"/>
      <c r="DL26" s="44"/>
      <c r="DM26" s="43"/>
      <c r="DN26" s="44">
        <f>SUM(AQ26:AT26)</f>
        <v>123</v>
      </c>
      <c r="DO26" s="44">
        <f>SUM(AU26:AX26)</f>
        <v>151</v>
      </c>
      <c r="DP26" s="46">
        <f t="shared" ref="DP26:DT26" si="25">DO26*0.5</f>
        <v>75.5</v>
      </c>
      <c r="DQ26" s="46">
        <f t="shared" si="25"/>
        <v>37.75</v>
      </c>
      <c r="DR26" s="46">
        <f t="shared" si="25"/>
        <v>18.875</v>
      </c>
      <c r="DS26" s="46">
        <f t="shared" si="25"/>
        <v>9.4375</v>
      </c>
      <c r="DT26" s="46">
        <f t="shared" si="25"/>
        <v>4.71875</v>
      </c>
      <c r="DU26" s="46"/>
      <c r="DV26" s="75">
        <f t="shared" si="7"/>
        <v>892</v>
      </c>
      <c r="DW26" s="75">
        <f t="shared" si="8"/>
        <v>580</v>
      </c>
      <c r="DX26" s="75">
        <f t="shared" si="15"/>
        <v>431</v>
      </c>
      <c r="DY26" s="75">
        <f t="shared" si="16"/>
        <v>334</v>
      </c>
      <c r="DZ26" s="75">
        <f t="shared" si="17"/>
        <v>296</v>
      </c>
      <c r="EA26" s="69"/>
      <c r="EB26" s="69"/>
    </row>
    <row r="27" spans="1:142" s="11" customFormat="1">
      <c r="A27" s="35"/>
      <c r="B27" s="104" t="s">
        <v>538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57"/>
      <c r="AH27" s="44"/>
      <c r="AI27" s="44"/>
      <c r="AJ27" s="44"/>
      <c r="AK27" s="56"/>
      <c r="AL27" s="44"/>
      <c r="AM27" s="44"/>
      <c r="AN27" s="44"/>
      <c r="AO27" s="44"/>
      <c r="AP27" s="44"/>
      <c r="AQ27" s="73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>
        <v>0</v>
      </c>
      <c r="BS27" s="44">
        <v>0</v>
      </c>
      <c r="BT27" s="44">
        <v>0</v>
      </c>
      <c r="BU27" s="44">
        <v>0</v>
      </c>
      <c r="BV27" s="44">
        <v>0</v>
      </c>
      <c r="BW27" s="78">
        <v>0</v>
      </c>
      <c r="BX27" s="78">
        <v>0</v>
      </c>
      <c r="BY27" s="78">
        <v>1</v>
      </c>
      <c r="BZ27" s="78">
        <v>1</v>
      </c>
      <c r="CA27" s="78">
        <v>4</v>
      </c>
      <c r="CB27" s="78">
        <v>7</v>
      </c>
      <c r="CC27" s="78">
        <v>10</v>
      </c>
      <c r="CD27" s="78">
        <v>6</v>
      </c>
      <c r="CE27" s="78">
        <v>27</v>
      </c>
      <c r="CF27" s="78">
        <v>56</v>
      </c>
      <c r="CG27" s="78">
        <v>47</v>
      </c>
      <c r="CH27" s="78">
        <v>73</v>
      </c>
      <c r="CI27" s="78">
        <v>87</v>
      </c>
      <c r="CJ27" s="78">
        <v>93</v>
      </c>
      <c r="CK27" s="78">
        <v>103</v>
      </c>
      <c r="CL27" s="78">
        <v>116</v>
      </c>
      <c r="CM27" s="78">
        <v>144</v>
      </c>
      <c r="CN27" s="78">
        <v>163</v>
      </c>
      <c r="CO27" s="78">
        <v>171</v>
      </c>
      <c r="CP27" s="78">
        <v>199</v>
      </c>
      <c r="CQ27" s="78">
        <v>219</v>
      </c>
      <c r="CR27" s="78">
        <v>235</v>
      </c>
      <c r="CS27" s="78"/>
      <c r="CT27" s="78"/>
      <c r="CU27" s="78"/>
      <c r="CV27" s="78"/>
      <c r="CW27" s="78"/>
      <c r="CX27" s="78"/>
      <c r="CY27" s="78"/>
      <c r="CZ27" s="78"/>
      <c r="DA27" s="44"/>
      <c r="DB27" s="44"/>
      <c r="DC27" s="44"/>
      <c r="DD27" s="43"/>
      <c r="DE27" s="44"/>
      <c r="DF27" s="44"/>
      <c r="DG27" s="44"/>
      <c r="DH27" s="44"/>
      <c r="DI27" s="44"/>
      <c r="DJ27" s="44"/>
      <c r="DK27" s="44"/>
      <c r="DL27" s="44"/>
      <c r="DM27" s="43"/>
      <c r="DN27" s="44"/>
      <c r="DO27" s="44"/>
      <c r="DP27" s="46"/>
      <c r="DQ27" s="46"/>
      <c r="DR27" s="46"/>
      <c r="DS27" s="46"/>
      <c r="DT27" s="46"/>
      <c r="DU27" s="46"/>
      <c r="DV27" s="75">
        <f t="shared" si="7"/>
        <v>2</v>
      </c>
      <c r="DW27" s="75">
        <f t="shared" si="8"/>
        <v>27</v>
      </c>
      <c r="DX27" s="75">
        <f t="shared" si="15"/>
        <v>203</v>
      </c>
      <c r="DY27" s="75">
        <f t="shared" si="16"/>
        <v>399</v>
      </c>
      <c r="DZ27" s="75">
        <f t="shared" si="17"/>
        <v>677</v>
      </c>
      <c r="EA27" s="69"/>
      <c r="EB27" s="69"/>
    </row>
    <row r="28" spans="1:142" s="11" customFormat="1">
      <c r="A28" s="35"/>
      <c r="B28" s="104" t="s">
        <v>495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56"/>
      <c r="AL28" s="44"/>
      <c r="AM28" s="44"/>
      <c r="AN28" s="44"/>
      <c r="AO28" s="44"/>
      <c r="AP28" s="44"/>
      <c r="AQ28" s="73"/>
      <c r="AR28" s="44"/>
      <c r="AS28" s="44"/>
      <c r="AT28" s="44"/>
      <c r="AU28" s="44"/>
      <c r="AV28" s="44"/>
      <c r="AW28" s="44"/>
      <c r="AX28" s="44"/>
      <c r="AY28" s="44">
        <v>27</v>
      </c>
      <c r="AZ28" s="44">
        <v>32</v>
      </c>
      <c r="BA28" s="44"/>
      <c r="BB28" s="44"/>
      <c r="BC28" s="44">
        <v>80</v>
      </c>
      <c r="BD28" s="44">
        <v>112</v>
      </c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>
        <v>147</v>
      </c>
      <c r="BS28" s="44">
        <v>139</v>
      </c>
      <c r="BT28" s="44">
        <v>155</v>
      </c>
      <c r="BU28" s="44">
        <v>152</v>
      </c>
      <c r="BV28" s="44">
        <v>138</v>
      </c>
      <c r="BW28" s="78">
        <v>142</v>
      </c>
      <c r="BX28" s="78">
        <v>141</v>
      </c>
      <c r="BY28" s="78">
        <v>127</v>
      </c>
      <c r="BZ28" s="78">
        <v>139</v>
      </c>
      <c r="CA28" s="78">
        <v>100</v>
      </c>
      <c r="CB28" s="78">
        <v>116</v>
      </c>
      <c r="CC28" s="78">
        <v>109</v>
      </c>
      <c r="CD28" s="78">
        <v>122</v>
      </c>
      <c r="CE28" s="78">
        <v>103</v>
      </c>
      <c r="CF28" s="78">
        <v>95</v>
      </c>
      <c r="CG28" s="78">
        <v>95</v>
      </c>
      <c r="CH28" s="78">
        <v>91</v>
      </c>
      <c r="CI28" s="78">
        <v>68</v>
      </c>
      <c r="CJ28" s="78">
        <v>73</v>
      </c>
      <c r="CK28" s="78">
        <v>66</v>
      </c>
      <c r="CL28" s="78">
        <v>73</v>
      </c>
      <c r="CM28" s="78">
        <v>45</v>
      </c>
      <c r="CN28" s="78">
        <v>43</v>
      </c>
      <c r="CO28" s="78">
        <v>35</v>
      </c>
      <c r="CP28" s="78">
        <v>39</v>
      </c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44"/>
      <c r="DB28" s="44"/>
      <c r="DC28" s="44"/>
      <c r="DD28" s="43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75">
        <f t="shared" si="7"/>
        <v>549</v>
      </c>
      <c r="DW28" s="75">
        <f t="shared" si="8"/>
        <v>447</v>
      </c>
      <c r="DX28" s="75">
        <f t="shared" si="15"/>
        <v>384</v>
      </c>
      <c r="DY28" s="75">
        <f t="shared" si="16"/>
        <v>280</v>
      </c>
      <c r="DZ28" s="75">
        <f t="shared" si="17"/>
        <v>162</v>
      </c>
      <c r="EA28" s="44"/>
      <c r="EB28" s="44"/>
    </row>
    <row r="29" spans="1:142" s="11" customFormat="1">
      <c r="A29" s="35"/>
      <c r="B29" s="104" t="s">
        <v>236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56">
        <v>9</v>
      </c>
      <c r="AL29" s="44">
        <v>2</v>
      </c>
      <c r="AM29" s="44">
        <v>4</v>
      </c>
      <c r="AN29" s="44">
        <v>14</v>
      </c>
      <c r="AO29" s="44">
        <v>19</v>
      </c>
      <c r="AP29" s="44">
        <v>32</v>
      </c>
      <c r="AQ29" s="73">
        <v>35</v>
      </c>
      <c r="AR29" s="44">
        <f>AQ29+5</f>
        <v>40</v>
      </c>
      <c r="AS29" s="44">
        <v>59</v>
      </c>
      <c r="AT29" s="44">
        <v>71</v>
      </c>
      <c r="AU29" s="44">
        <v>72</v>
      </c>
      <c r="AV29" s="44"/>
      <c r="AW29" s="44"/>
      <c r="AX29" s="44"/>
      <c r="AY29" s="44">
        <v>90</v>
      </c>
      <c r="AZ29" s="44">
        <v>102</v>
      </c>
      <c r="BA29" s="44"/>
      <c r="BB29" s="44"/>
      <c r="BC29" s="44">
        <v>162</v>
      </c>
      <c r="BD29" s="44">
        <v>238</v>
      </c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>
        <v>180</v>
      </c>
      <c r="BS29" s="44">
        <v>129</v>
      </c>
      <c r="BT29" s="44">
        <v>126</v>
      </c>
      <c r="BU29" s="44">
        <v>140</v>
      </c>
      <c r="BV29" s="44">
        <v>148</v>
      </c>
      <c r="BW29" s="78">
        <v>153</v>
      </c>
      <c r="BX29" s="78">
        <v>116</v>
      </c>
      <c r="BY29" s="78">
        <v>127</v>
      </c>
      <c r="BZ29" s="78">
        <v>131</v>
      </c>
      <c r="CA29" s="78">
        <v>141</v>
      </c>
      <c r="CB29" s="78">
        <v>115</v>
      </c>
      <c r="CC29" s="78">
        <v>110</v>
      </c>
      <c r="CD29" s="78">
        <v>105</v>
      </c>
      <c r="CE29" s="78">
        <v>101</v>
      </c>
      <c r="CF29" s="78">
        <v>99</v>
      </c>
      <c r="CG29" s="78">
        <v>84</v>
      </c>
      <c r="CH29" s="78">
        <v>75</v>
      </c>
      <c r="CI29" s="78">
        <v>68</v>
      </c>
      <c r="CJ29" s="78">
        <v>71</v>
      </c>
      <c r="CK29" s="78">
        <v>66</v>
      </c>
      <c r="CL29" s="78">
        <v>52</v>
      </c>
      <c r="CM29" s="78">
        <v>63</v>
      </c>
      <c r="CN29" s="78">
        <v>65</v>
      </c>
      <c r="CO29" s="78">
        <v>53</v>
      </c>
      <c r="CP29" s="78">
        <v>47</v>
      </c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44"/>
      <c r="DB29" s="44"/>
      <c r="DC29" s="44"/>
      <c r="DD29" s="43"/>
      <c r="DE29" s="44"/>
      <c r="DF29" s="44"/>
      <c r="DG29" s="44"/>
      <c r="DH29" s="44"/>
      <c r="DI29" s="44"/>
      <c r="DJ29" s="44"/>
      <c r="DK29" s="44"/>
      <c r="DL29" s="44">
        <f>SUM(AI29:AL29)</f>
        <v>11</v>
      </c>
      <c r="DM29" s="44">
        <f>SUM(AM29:AP29)</f>
        <v>69</v>
      </c>
      <c r="DN29" s="44">
        <f>SUM(AQ29:AT29)</f>
        <v>205</v>
      </c>
      <c r="DO29" s="44">
        <f>SUM(AU29:AX29)</f>
        <v>72</v>
      </c>
      <c r="DP29" s="44">
        <f>DO29*1.3</f>
        <v>93.600000000000009</v>
      </c>
      <c r="DQ29" s="44">
        <f>DP29*1.2</f>
        <v>112.32000000000001</v>
      </c>
      <c r="DR29" s="44">
        <f>DQ29*1.15</f>
        <v>129.16800000000001</v>
      </c>
      <c r="DS29" s="44">
        <f>DR29*1.15</f>
        <v>148.54319999999998</v>
      </c>
      <c r="DT29" s="44">
        <f>DS29*1.15</f>
        <v>170.82467999999997</v>
      </c>
      <c r="DU29" s="44"/>
      <c r="DV29" s="75">
        <f t="shared" si="7"/>
        <v>527</v>
      </c>
      <c r="DW29" s="75">
        <f t="shared" si="8"/>
        <v>471</v>
      </c>
      <c r="DX29" s="75">
        <f t="shared" si="15"/>
        <v>359</v>
      </c>
      <c r="DY29" s="75">
        <f t="shared" si="16"/>
        <v>257</v>
      </c>
      <c r="DZ29" s="75">
        <f t="shared" si="17"/>
        <v>228</v>
      </c>
      <c r="EA29" s="44"/>
      <c r="EB29" s="44"/>
    </row>
    <row r="30" spans="1:142" s="11" customFormat="1">
      <c r="A30" s="35"/>
      <c r="B30" s="104" t="s">
        <v>534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56"/>
      <c r="AL30" s="44"/>
      <c r="AM30" s="44"/>
      <c r="AN30" s="44"/>
      <c r="AO30" s="44"/>
      <c r="AP30" s="44"/>
      <c r="AQ30" s="73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>
        <v>0</v>
      </c>
      <c r="BS30" s="44">
        <v>0</v>
      </c>
      <c r="BT30" s="44">
        <v>0</v>
      </c>
      <c r="BU30" s="44">
        <v>0</v>
      </c>
      <c r="BV30" s="44">
        <v>0</v>
      </c>
      <c r="BW30" s="78">
        <v>0</v>
      </c>
      <c r="BX30" s="78">
        <v>2</v>
      </c>
      <c r="BY30" s="78">
        <v>4</v>
      </c>
      <c r="BZ30" s="78">
        <v>8</v>
      </c>
      <c r="CA30" s="78">
        <v>11</v>
      </c>
      <c r="CB30" s="78">
        <v>17</v>
      </c>
      <c r="CC30" s="78">
        <v>21</v>
      </c>
      <c r="CD30" s="78">
        <v>28</v>
      </c>
      <c r="CE30" s="78">
        <v>33</v>
      </c>
      <c r="CF30" s="78">
        <v>39</v>
      </c>
      <c r="CG30" s="78">
        <v>49</v>
      </c>
      <c r="CH30" s="78">
        <v>54</v>
      </c>
      <c r="CI30" s="78">
        <v>63</v>
      </c>
      <c r="CJ30" s="78">
        <v>66</v>
      </c>
      <c r="CK30" s="78">
        <v>79</v>
      </c>
      <c r="CL30" s="78">
        <v>81</v>
      </c>
      <c r="CM30" s="78">
        <v>98</v>
      </c>
      <c r="CN30" s="78">
        <v>100</v>
      </c>
      <c r="CO30" s="78">
        <v>102</v>
      </c>
      <c r="CP30" s="78">
        <v>112</v>
      </c>
      <c r="CQ30" s="78">
        <v>114</v>
      </c>
      <c r="CR30" s="78">
        <v>136</v>
      </c>
      <c r="CS30" s="78"/>
      <c r="CT30" s="78"/>
      <c r="CU30" s="140"/>
      <c r="CV30" s="78"/>
      <c r="CW30" s="78"/>
      <c r="CX30" s="78"/>
      <c r="CY30" s="78"/>
      <c r="CZ30" s="78"/>
      <c r="DA30" s="44"/>
      <c r="DB30" s="44"/>
      <c r="DC30" s="44"/>
      <c r="DD30" s="43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75">
        <f t="shared" si="7"/>
        <v>14</v>
      </c>
      <c r="DW30" s="75">
        <f t="shared" si="8"/>
        <v>77</v>
      </c>
      <c r="DX30" s="75">
        <f t="shared" si="15"/>
        <v>175</v>
      </c>
      <c r="DY30" s="75">
        <f t="shared" si="16"/>
        <v>289</v>
      </c>
      <c r="DZ30" s="75">
        <f t="shared" si="17"/>
        <v>412</v>
      </c>
      <c r="EA30" s="44"/>
      <c r="EB30" s="69"/>
    </row>
    <row r="31" spans="1:142" s="11" customFormat="1">
      <c r="A31" s="35"/>
      <c r="B31" s="104" t="s">
        <v>540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56"/>
      <c r="AL31" s="44"/>
      <c r="AM31" s="44"/>
      <c r="AN31" s="44"/>
      <c r="AO31" s="44"/>
      <c r="AP31" s="44"/>
      <c r="AQ31" s="73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>
        <v>53</v>
      </c>
      <c r="BS31" s="44">
        <v>38</v>
      </c>
      <c r="BT31" s="44">
        <v>45</v>
      </c>
      <c r="BU31" s="44">
        <v>52</v>
      </c>
      <c r="BV31" s="44">
        <v>54</v>
      </c>
      <c r="BW31" s="78">
        <v>48</v>
      </c>
      <c r="BX31" s="78">
        <v>56</v>
      </c>
      <c r="BY31" s="78">
        <v>53</v>
      </c>
      <c r="BZ31" s="78">
        <v>58</v>
      </c>
      <c r="CA31" s="78">
        <v>53</v>
      </c>
      <c r="CB31" s="78">
        <v>53</v>
      </c>
      <c r="CC31" s="78">
        <v>57</v>
      </c>
      <c r="CD31" s="78">
        <v>54</v>
      </c>
      <c r="CE31" s="78">
        <v>60</v>
      </c>
      <c r="CF31" s="78">
        <v>54</v>
      </c>
      <c r="CG31" s="78">
        <v>54</v>
      </c>
      <c r="CH31" s="78">
        <v>59</v>
      </c>
      <c r="CI31" s="78">
        <v>51</v>
      </c>
      <c r="CJ31" s="78">
        <v>58</v>
      </c>
      <c r="CK31" s="78">
        <v>52</v>
      </c>
      <c r="CL31" s="78">
        <v>28</v>
      </c>
      <c r="CM31" s="78">
        <v>13</v>
      </c>
      <c r="CN31" s="78">
        <v>17</v>
      </c>
      <c r="CO31" s="78">
        <v>11</v>
      </c>
      <c r="CP31" s="78">
        <v>13</v>
      </c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44"/>
      <c r="DB31" s="44"/>
      <c r="DC31" s="44"/>
      <c r="DD31" s="43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75">
        <f t="shared" si="7"/>
        <v>215</v>
      </c>
      <c r="DW31" s="75">
        <f t="shared" si="8"/>
        <v>217</v>
      </c>
      <c r="DX31" s="75">
        <f t="shared" si="15"/>
        <v>227</v>
      </c>
      <c r="DY31" s="75">
        <f t="shared" si="16"/>
        <v>189</v>
      </c>
      <c r="DZ31" s="75">
        <f t="shared" si="17"/>
        <v>54</v>
      </c>
      <c r="EA31" s="44"/>
      <c r="EB31" s="69"/>
    </row>
    <row r="32" spans="1:142" s="11" customFormat="1">
      <c r="A32" s="35"/>
      <c r="B32" s="104" t="s">
        <v>535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56"/>
      <c r="AL32" s="44"/>
      <c r="AM32" s="44"/>
      <c r="AN32" s="44"/>
      <c r="AO32" s="44"/>
      <c r="AP32" s="44"/>
      <c r="AQ32" s="73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>
        <v>0</v>
      </c>
      <c r="BS32" s="44">
        <v>0</v>
      </c>
      <c r="BT32" s="44">
        <v>0</v>
      </c>
      <c r="BU32" s="44">
        <v>0</v>
      </c>
      <c r="BV32" s="44">
        <v>0</v>
      </c>
      <c r="BW32" s="78">
        <v>0</v>
      </c>
      <c r="BX32" s="78">
        <v>0</v>
      </c>
      <c r="BY32" s="78">
        <v>0</v>
      </c>
      <c r="BZ32" s="78">
        <v>0</v>
      </c>
      <c r="CA32" s="78">
        <v>0</v>
      </c>
      <c r="CB32" s="78">
        <v>0</v>
      </c>
      <c r="CC32" s="78">
        <v>0</v>
      </c>
      <c r="CD32" s="78">
        <v>0</v>
      </c>
      <c r="CE32" s="78">
        <v>39</v>
      </c>
      <c r="CF32" s="78">
        <v>51</v>
      </c>
      <c r="CG32" s="78">
        <v>55</v>
      </c>
      <c r="CH32" s="78">
        <v>30</v>
      </c>
      <c r="CI32" s="78">
        <v>41</v>
      </c>
      <c r="CJ32" s="78">
        <v>50</v>
      </c>
      <c r="CK32" s="78">
        <v>57</v>
      </c>
      <c r="CL32" s="78">
        <v>49</v>
      </c>
      <c r="CM32" s="78">
        <v>61</v>
      </c>
      <c r="CN32" s="78">
        <v>73</v>
      </c>
      <c r="CO32" s="78">
        <v>74</v>
      </c>
      <c r="CP32" s="78">
        <v>63</v>
      </c>
      <c r="CQ32" s="78">
        <v>77</v>
      </c>
      <c r="CR32" s="78">
        <v>90</v>
      </c>
      <c r="CS32" s="78"/>
      <c r="CT32" s="78"/>
      <c r="CU32" s="78"/>
      <c r="CV32" s="78"/>
      <c r="CW32" s="78"/>
      <c r="CX32" s="78"/>
      <c r="CY32" s="78"/>
      <c r="CZ32" s="78"/>
      <c r="DA32" s="44"/>
      <c r="DB32" s="44"/>
      <c r="DC32" s="44"/>
      <c r="DD32" s="43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75">
        <f t="shared" si="7"/>
        <v>0</v>
      </c>
      <c r="DW32" s="75">
        <f t="shared" si="8"/>
        <v>0</v>
      </c>
      <c r="DX32" s="75">
        <f t="shared" si="15"/>
        <v>175</v>
      </c>
      <c r="DY32" s="75">
        <f t="shared" si="16"/>
        <v>197</v>
      </c>
      <c r="DZ32" s="75">
        <f t="shared" si="17"/>
        <v>271</v>
      </c>
      <c r="EA32" s="44"/>
      <c r="EB32" s="69"/>
    </row>
    <row r="33" spans="1:132" s="11" customFormat="1">
      <c r="A33" s="35"/>
      <c r="B33" s="104" t="s">
        <v>547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56"/>
      <c r="AL33" s="44"/>
      <c r="AM33" s="44"/>
      <c r="AN33" s="44"/>
      <c r="AO33" s="44"/>
      <c r="AP33" s="44"/>
      <c r="AQ33" s="73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>
        <v>0</v>
      </c>
      <c r="BS33" s="44">
        <v>0</v>
      </c>
      <c r="BT33" s="44">
        <v>0</v>
      </c>
      <c r="BU33" s="44">
        <v>0</v>
      </c>
      <c r="BV33" s="44">
        <v>0</v>
      </c>
      <c r="BW33" s="78">
        <v>0</v>
      </c>
      <c r="BX33" s="78">
        <v>0</v>
      </c>
      <c r="BY33" s="78">
        <v>0</v>
      </c>
      <c r="BZ33" s="78">
        <v>0</v>
      </c>
      <c r="CA33" s="78">
        <v>0</v>
      </c>
      <c r="CB33" s="78">
        <v>7</v>
      </c>
      <c r="CC33" s="78">
        <v>13</v>
      </c>
      <c r="CD33" s="78">
        <v>17</v>
      </c>
      <c r="CE33" s="78">
        <v>21</v>
      </c>
      <c r="CF33" s="78">
        <v>26</v>
      </c>
      <c r="CG33" s="78">
        <v>26</v>
      </c>
      <c r="CH33" s="78">
        <v>34</v>
      </c>
      <c r="CI33" s="78">
        <v>39</v>
      </c>
      <c r="CJ33" s="78">
        <v>62</v>
      </c>
      <c r="CK33" s="78">
        <v>48</v>
      </c>
      <c r="CL33" s="78">
        <v>58</v>
      </c>
      <c r="CM33" s="78">
        <v>79</v>
      </c>
      <c r="CN33" s="78">
        <v>80</v>
      </c>
      <c r="CO33" s="78">
        <v>87</v>
      </c>
      <c r="CP33" s="78">
        <v>85</v>
      </c>
      <c r="CQ33" s="78">
        <v>132</v>
      </c>
      <c r="CR33" s="78">
        <v>114</v>
      </c>
      <c r="CS33" s="78"/>
      <c r="CT33" s="78"/>
      <c r="CU33" s="78"/>
      <c r="CV33" s="78"/>
      <c r="CW33" s="78"/>
      <c r="CX33" s="78"/>
      <c r="CY33" s="78"/>
      <c r="CZ33" s="78"/>
      <c r="DA33" s="44"/>
      <c r="DB33" s="44"/>
      <c r="DC33" s="44"/>
      <c r="DD33" s="43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75">
        <f t="shared" si="7"/>
        <v>0</v>
      </c>
      <c r="DW33" s="75">
        <f t="shared" si="8"/>
        <v>37</v>
      </c>
      <c r="DX33" s="75">
        <f t="shared" si="15"/>
        <v>107</v>
      </c>
      <c r="DY33" s="75">
        <f t="shared" si="16"/>
        <v>207</v>
      </c>
      <c r="DZ33" s="75">
        <f t="shared" si="17"/>
        <v>331</v>
      </c>
      <c r="EA33" s="44"/>
      <c r="EB33" s="69"/>
    </row>
    <row r="34" spans="1:132" s="11" customFormat="1">
      <c r="A34" s="35"/>
      <c r="B34" s="104" t="s">
        <v>548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56"/>
      <c r="AL34" s="44"/>
      <c r="AM34" s="44"/>
      <c r="AN34" s="44"/>
      <c r="AO34" s="44"/>
      <c r="AP34" s="44"/>
      <c r="AQ34" s="73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>
        <v>0</v>
      </c>
      <c r="BS34" s="44">
        <v>0</v>
      </c>
      <c r="BT34" s="44">
        <v>0</v>
      </c>
      <c r="BU34" s="44">
        <v>0</v>
      </c>
      <c r="BV34" s="44">
        <v>0</v>
      </c>
      <c r="BW34" s="78">
        <v>0</v>
      </c>
      <c r="BX34" s="78">
        <v>0</v>
      </c>
      <c r="BY34" s="78">
        <v>0</v>
      </c>
      <c r="BZ34" s="78">
        <v>0</v>
      </c>
      <c r="CA34" s="78">
        <v>0</v>
      </c>
      <c r="CB34" s="78">
        <v>0</v>
      </c>
      <c r="CC34" s="78">
        <v>0</v>
      </c>
      <c r="CD34" s="78">
        <v>0</v>
      </c>
      <c r="CE34" s="78">
        <v>0</v>
      </c>
      <c r="CF34" s="78">
        <v>0</v>
      </c>
      <c r="CG34" s="78">
        <v>28</v>
      </c>
      <c r="CH34" s="78">
        <v>34</v>
      </c>
      <c r="CI34" s="78">
        <v>38</v>
      </c>
      <c r="CJ34" s="78">
        <v>36</v>
      </c>
      <c r="CK34" s="78">
        <v>37</v>
      </c>
      <c r="CL34" s="78">
        <v>49</v>
      </c>
      <c r="CM34" s="78">
        <v>40</v>
      </c>
      <c r="CN34" s="78">
        <v>46</v>
      </c>
      <c r="CO34" s="78">
        <v>44</v>
      </c>
      <c r="CP34" s="78">
        <v>41</v>
      </c>
      <c r="CQ34" s="78">
        <v>53</v>
      </c>
      <c r="CR34" s="78">
        <v>47</v>
      </c>
      <c r="CS34" s="78"/>
      <c r="CT34" s="78"/>
      <c r="CU34" s="78"/>
      <c r="CV34" s="78"/>
      <c r="CW34" s="78"/>
      <c r="CX34" s="78"/>
      <c r="CY34" s="78"/>
      <c r="CZ34" s="78"/>
      <c r="DA34" s="44"/>
      <c r="DB34" s="44"/>
      <c r="DC34" s="44"/>
      <c r="DD34" s="43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75">
        <f t="shared" si="7"/>
        <v>0</v>
      </c>
      <c r="DW34" s="75">
        <f t="shared" si="8"/>
        <v>0</v>
      </c>
      <c r="DX34" s="75">
        <f t="shared" si="15"/>
        <v>62</v>
      </c>
      <c r="DY34" s="75">
        <f t="shared" si="16"/>
        <v>160</v>
      </c>
      <c r="DZ34" s="75">
        <f t="shared" si="17"/>
        <v>171</v>
      </c>
      <c r="EA34" s="44"/>
      <c r="EB34" s="69"/>
    </row>
    <row r="35" spans="1:132" s="11" customFormat="1">
      <c r="A35" s="35"/>
      <c r="B35" s="104" t="s">
        <v>536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56"/>
      <c r="AL35" s="44"/>
      <c r="AM35" s="44"/>
      <c r="AN35" s="44"/>
      <c r="AO35" s="44"/>
      <c r="AP35" s="44"/>
      <c r="AQ35" s="73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>
        <v>0</v>
      </c>
      <c r="BS35" s="44">
        <v>0</v>
      </c>
      <c r="BT35" s="44">
        <v>0</v>
      </c>
      <c r="BU35" s="44">
        <v>0</v>
      </c>
      <c r="BV35" s="44">
        <v>0</v>
      </c>
      <c r="BW35" s="78">
        <v>0</v>
      </c>
      <c r="BX35" s="78">
        <v>0</v>
      </c>
      <c r="BY35" s="78">
        <v>0</v>
      </c>
      <c r="BZ35" s="78">
        <v>0</v>
      </c>
      <c r="CA35" s="78">
        <v>0</v>
      </c>
      <c r="CB35" s="78">
        <v>0</v>
      </c>
      <c r="CC35" s="78">
        <v>0</v>
      </c>
      <c r="CD35" s="78">
        <v>0</v>
      </c>
      <c r="CE35" s="78">
        <v>0</v>
      </c>
      <c r="CF35" s="78">
        <v>0</v>
      </c>
      <c r="CG35" s="78">
        <v>29</v>
      </c>
      <c r="CH35" s="78">
        <v>39</v>
      </c>
      <c r="CI35" s="78">
        <v>33</v>
      </c>
      <c r="CJ35" s="78">
        <v>37</v>
      </c>
      <c r="CK35" s="78">
        <v>41</v>
      </c>
      <c r="CL35" s="78">
        <v>39</v>
      </c>
      <c r="CM35" s="78">
        <v>44</v>
      </c>
      <c r="CN35" s="78">
        <v>45</v>
      </c>
      <c r="CO35" s="78">
        <v>40</v>
      </c>
      <c r="CP35" s="78">
        <v>53</v>
      </c>
      <c r="CQ35" s="78">
        <v>47</v>
      </c>
      <c r="CR35" s="78">
        <v>59</v>
      </c>
      <c r="CS35" s="78"/>
      <c r="CT35" s="78"/>
      <c r="CU35" s="78"/>
      <c r="CV35" s="78"/>
      <c r="CW35" s="78"/>
      <c r="CX35" s="78"/>
      <c r="CY35" s="78"/>
      <c r="CZ35" s="78"/>
      <c r="DA35" s="44"/>
      <c r="DB35" s="44"/>
      <c r="DC35" s="44"/>
      <c r="DD35" s="43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75">
        <f t="shared" si="7"/>
        <v>0</v>
      </c>
      <c r="DW35" s="75">
        <f t="shared" si="8"/>
        <v>0</v>
      </c>
      <c r="DX35" s="75">
        <f t="shared" si="15"/>
        <v>68</v>
      </c>
      <c r="DY35" s="75">
        <f t="shared" si="16"/>
        <v>150</v>
      </c>
      <c r="DZ35" s="75">
        <f t="shared" si="17"/>
        <v>182</v>
      </c>
      <c r="EA35" s="44"/>
      <c r="EB35" s="69"/>
    </row>
    <row r="36" spans="1:132" s="11" customFormat="1">
      <c r="A36" s="35"/>
      <c r="B36" s="138" t="s">
        <v>648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56"/>
      <c r="AL36" s="44"/>
      <c r="AM36" s="44"/>
      <c r="AN36" s="44"/>
      <c r="AO36" s="44"/>
      <c r="AP36" s="44"/>
      <c r="AQ36" s="73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>
        <v>0</v>
      </c>
      <c r="BS36" s="44">
        <v>0</v>
      </c>
      <c r="BT36" s="44">
        <v>0</v>
      </c>
      <c r="BU36" s="44">
        <v>0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0</v>
      </c>
      <c r="CJ36" s="44">
        <v>0</v>
      </c>
      <c r="CK36" s="44">
        <v>0</v>
      </c>
      <c r="CL36" s="44">
        <v>0</v>
      </c>
      <c r="CM36" s="78">
        <v>0</v>
      </c>
      <c r="CN36" s="78">
        <v>2</v>
      </c>
      <c r="CO36" s="78">
        <v>50</v>
      </c>
      <c r="CP36" s="78">
        <v>54</v>
      </c>
      <c r="CQ36" s="78">
        <v>46</v>
      </c>
      <c r="CR36" s="78">
        <v>35</v>
      </c>
      <c r="CS36" s="78"/>
      <c r="CT36" s="78"/>
      <c r="CU36" s="78"/>
      <c r="CV36" s="78"/>
      <c r="CW36" s="78"/>
      <c r="CX36" s="78"/>
      <c r="CY36" s="78"/>
      <c r="CZ36" s="78"/>
      <c r="DA36" s="44"/>
      <c r="DB36" s="44"/>
      <c r="DC36" s="44"/>
      <c r="DD36" s="43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75"/>
      <c r="DW36" s="75"/>
      <c r="DX36" s="75"/>
      <c r="DY36" s="75"/>
      <c r="DZ36" s="75">
        <f t="shared" si="17"/>
        <v>106</v>
      </c>
      <c r="EA36" s="44"/>
      <c r="EB36" s="69"/>
    </row>
    <row r="37" spans="1:132" s="11" customFormat="1">
      <c r="A37" s="35"/>
      <c r="B37" s="138" t="s">
        <v>645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56"/>
      <c r="AL37" s="44"/>
      <c r="AM37" s="44"/>
      <c r="AN37" s="44"/>
      <c r="AO37" s="44"/>
      <c r="AP37" s="44"/>
      <c r="AQ37" s="73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>
        <v>0</v>
      </c>
      <c r="BS37" s="44">
        <v>0</v>
      </c>
      <c r="BT37" s="44">
        <v>0</v>
      </c>
      <c r="BU37" s="44">
        <v>0</v>
      </c>
      <c r="BV37" s="44">
        <v>0</v>
      </c>
      <c r="BW37" s="44">
        <v>0</v>
      </c>
      <c r="BX37" s="44">
        <v>0</v>
      </c>
      <c r="BY37" s="44">
        <v>0</v>
      </c>
      <c r="BZ37" s="44">
        <v>0</v>
      </c>
      <c r="CA37" s="44">
        <v>0</v>
      </c>
      <c r="CB37" s="44">
        <v>0</v>
      </c>
      <c r="CC37" s="44">
        <v>0</v>
      </c>
      <c r="CD37" s="44">
        <v>0</v>
      </c>
      <c r="CE37" s="44">
        <v>0</v>
      </c>
      <c r="CF37" s="44">
        <v>0</v>
      </c>
      <c r="CG37" s="44">
        <v>0</v>
      </c>
      <c r="CH37" s="44">
        <v>0</v>
      </c>
      <c r="CI37" s="44">
        <v>0</v>
      </c>
      <c r="CJ37" s="44">
        <v>0</v>
      </c>
      <c r="CK37" s="44">
        <v>0</v>
      </c>
      <c r="CL37" s="44">
        <v>0</v>
      </c>
      <c r="CM37" s="78">
        <v>0</v>
      </c>
      <c r="CN37" s="78">
        <v>0</v>
      </c>
      <c r="CO37" s="78">
        <v>0</v>
      </c>
      <c r="CP37" s="78">
        <v>0</v>
      </c>
      <c r="CQ37" s="78">
        <v>5</v>
      </c>
      <c r="CR37" s="78">
        <v>16</v>
      </c>
      <c r="CS37" s="78"/>
      <c r="CT37" s="78"/>
      <c r="CU37" s="78"/>
      <c r="CV37" s="78"/>
      <c r="CW37" s="78"/>
      <c r="CX37" s="78"/>
      <c r="CY37" s="78"/>
      <c r="CZ37" s="78"/>
      <c r="DA37" s="44"/>
      <c r="DB37" s="44"/>
      <c r="DC37" s="44"/>
      <c r="DD37" s="43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75"/>
      <c r="DW37" s="75"/>
      <c r="DX37" s="75"/>
      <c r="DY37" s="75"/>
      <c r="DZ37" s="75">
        <f t="shared" si="17"/>
        <v>0</v>
      </c>
      <c r="EA37" s="44"/>
      <c r="EB37" s="69"/>
    </row>
    <row r="38" spans="1:132" s="11" customFormat="1">
      <c r="A38" s="35"/>
      <c r="B38" s="104" t="s">
        <v>8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26</v>
      </c>
      <c r="J38" s="44">
        <v>41</v>
      </c>
      <c r="K38" s="44">
        <v>19</v>
      </c>
      <c r="L38" s="44">
        <v>47</v>
      </c>
      <c r="M38" s="44">
        <v>70</v>
      </c>
      <c r="N38" s="44">
        <v>92</v>
      </c>
      <c r="O38" s="44">
        <v>93</v>
      </c>
      <c r="P38" s="44">
        <v>103</v>
      </c>
      <c r="Q38" s="44">
        <v>113</v>
      </c>
      <c r="R38" s="44">
        <v>80</v>
      </c>
      <c r="S38" s="44">
        <v>81</v>
      </c>
      <c r="T38" s="44">
        <v>59</v>
      </c>
      <c r="U38" s="44">
        <v>61</v>
      </c>
      <c r="V38" s="44">
        <v>72</v>
      </c>
      <c r="W38" s="44">
        <f>112-X38</f>
        <v>50</v>
      </c>
      <c r="X38" s="44">
        <v>62</v>
      </c>
      <c r="Y38" s="44">
        <v>62</v>
      </c>
      <c r="Z38" s="44">
        <v>63</v>
      </c>
      <c r="AA38" s="44">
        <f>113-AB38</f>
        <v>52</v>
      </c>
      <c r="AB38" s="44">
        <v>61</v>
      </c>
      <c r="AC38" s="44">
        <v>55</v>
      </c>
      <c r="AD38" s="44">
        <v>70</v>
      </c>
      <c r="AE38" s="44">
        <v>58</v>
      </c>
      <c r="AF38" s="44">
        <v>67</v>
      </c>
      <c r="AG38" s="44">
        <v>67</v>
      </c>
      <c r="AH38" s="44">
        <v>73</v>
      </c>
      <c r="AI38" s="44">
        <v>68</v>
      </c>
      <c r="AJ38" s="44">
        <v>75</v>
      </c>
      <c r="AK38" s="56">
        <v>75</v>
      </c>
      <c r="AL38" s="44">
        <v>79</v>
      </c>
      <c r="AM38" s="44">
        <v>83</v>
      </c>
      <c r="AN38" s="44">
        <v>93</v>
      </c>
      <c r="AO38" s="44">
        <v>102</v>
      </c>
      <c r="AP38" s="44">
        <v>115</v>
      </c>
      <c r="AQ38" s="73">
        <v>121</v>
      </c>
      <c r="AR38" s="44">
        <f>AQ38</f>
        <v>121</v>
      </c>
      <c r="AS38" s="44">
        <v>145</v>
      </c>
      <c r="AT38" s="44">
        <v>149</v>
      </c>
      <c r="AU38" s="44">
        <v>143</v>
      </c>
      <c r="AV38" s="44"/>
      <c r="AW38" s="44"/>
      <c r="AX38" s="44"/>
      <c r="AY38" s="44">
        <v>168</v>
      </c>
      <c r="AZ38" s="44">
        <v>156</v>
      </c>
      <c r="BA38" s="44"/>
      <c r="BB38" s="44"/>
      <c r="BC38" s="44">
        <v>169</v>
      </c>
      <c r="BD38" s="44">
        <v>147</v>
      </c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>
        <v>130</v>
      </c>
      <c r="BS38" s="44">
        <v>132</v>
      </c>
      <c r="BT38" s="44">
        <v>143</v>
      </c>
      <c r="BU38" s="44">
        <v>131</v>
      </c>
      <c r="BV38" s="44">
        <v>112</v>
      </c>
      <c r="BW38" s="78">
        <v>134</v>
      </c>
      <c r="BX38" s="78">
        <v>118</v>
      </c>
      <c r="BY38" s="78">
        <v>91</v>
      </c>
      <c r="BZ38" s="78">
        <v>80</v>
      </c>
      <c r="CA38" s="78">
        <v>77</v>
      </c>
      <c r="CB38" s="78">
        <v>70</v>
      </c>
      <c r="CC38" s="78">
        <v>54</v>
      </c>
      <c r="CD38" s="78">
        <v>67</v>
      </c>
      <c r="CE38" s="78">
        <v>61</v>
      </c>
      <c r="CF38" s="78">
        <v>47</v>
      </c>
      <c r="CG38" s="78">
        <v>41</v>
      </c>
      <c r="CH38" s="78">
        <v>35</v>
      </c>
      <c r="CI38" s="78">
        <v>32</v>
      </c>
      <c r="CJ38" s="78">
        <v>32</v>
      </c>
      <c r="CK38" s="78">
        <v>27</v>
      </c>
      <c r="CL38" s="78">
        <v>24</v>
      </c>
      <c r="CM38" s="78">
        <v>0</v>
      </c>
      <c r="CN38" s="78">
        <v>0</v>
      </c>
      <c r="CO38" s="78">
        <v>0</v>
      </c>
      <c r="CP38" s="78">
        <v>0</v>
      </c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44"/>
      <c r="DB38" s="44"/>
      <c r="DC38" s="44"/>
      <c r="DD38" s="43"/>
      <c r="DE38" s="44">
        <v>67</v>
      </c>
      <c r="DF38" s="44">
        <v>228</v>
      </c>
      <c r="DG38" s="44">
        <v>389</v>
      </c>
      <c r="DH38" s="44">
        <f>SUM(S38:V38)</f>
        <v>273</v>
      </c>
      <c r="DI38" s="44">
        <f>SUM(W38:Z38)</f>
        <v>237</v>
      </c>
      <c r="DJ38" s="44">
        <f>SUM(AA38:AD38)</f>
        <v>238</v>
      </c>
      <c r="DK38" s="44">
        <f>SUM(AE38:AH38)</f>
        <v>265</v>
      </c>
      <c r="DL38" s="44">
        <f>SUM(AI38:AL38)</f>
        <v>297</v>
      </c>
      <c r="DM38" s="44">
        <f>SUM(AM38:AP38)</f>
        <v>393</v>
      </c>
      <c r="DN38" s="44">
        <f>SUM(AQ38:AT38)</f>
        <v>536</v>
      </c>
      <c r="DO38" s="44">
        <f>SUM(AU38:AX38)</f>
        <v>143</v>
      </c>
      <c r="DP38" s="44">
        <f>DO38*1.05</f>
        <v>150.15</v>
      </c>
      <c r="DQ38" s="44">
        <f>DP38*0.65</f>
        <v>97.597500000000011</v>
      </c>
      <c r="DR38" s="44">
        <f t="shared" ref="DR38:DT38" si="26">DQ38*0.7</f>
        <v>68.318250000000006</v>
      </c>
      <c r="DS38" s="44">
        <f t="shared" si="26"/>
        <v>47.822775</v>
      </c>
      <c r="DT38" s="44">
        <f t="shared" si="26"/>
        <v>33.475942499999995</v>
      </c>
      <c r="DU38" s="44"/>
      <c r="DV38" s="75">
        <f t="shared" si="7"/>
        <v>423</v>
      </c>
      <c r="DW38" s="75">
        <f t="shared" si="8"/>
        <v>268</v>
      </c>
      <c r="DX38" s="75">
        <f t="shared" si="15"/>
        <v>184</v>
      </c>
      <c r="DY38" s="75">
        <f t="shared" si="16"/>
        <v>115</v>
      </c>
      <c r="DZ38" s="75">
        <f t="shared" si="17"/>
        <v>0</v>
      </c>
      <c r="EA38" s="44"/>
      <c r="EB38" s="44"/>
    </row>
    <row r="39" spans="1:132" s="11" customFormat="1">
      <c r="A39" s="35"/>
      <c r="B39" s="104" t="s">
        <v>456</v>
      </c>
      <c r="C39" s="44">
        <v>42</v>
      </c>
      <c r="D39" s="44">
        <v>48</v>
      </c>
      <c r="E39" s="44">
        <v>47</v>
      </c>
      <c r="F39" s="44">
        <v>51</v>
      </c>
      <c r="G39" s="44">
        <v>65</v>
      </c>
      <c r="H39" s="44">
        <v>79</v>
      </c>
      <c r="I39" s="44">
        <v>95</v>
      </c>
      <c r="J39" s="44">
        <v>92</v>
      </c>
      <c r="K39" s="44">
        <v>93</v>
      </c>
      <c r="L39" s="44">
        <v>143</v>
      </c>
      <c r="M39" s="44">
        <v>136</v>
      </c>
      <c r="N39" s="44">
        <v>147</v>
      </c>
      <c r="O39" s="44">
        <v>166</v>
      </c>
      <c r="P39" s="44">
        <v>191</v>
      </c>
      <c r="Q39" s="44">
        <v>221</v>
      </c>
      <c r="R39" s="44">
        <v>233</v>
      </c>
      <c r="S39" s="44">
        <v>256</v>
      </c>
      <c r="T39" s="44">
        <v>297</v>
      </c>
      <c r="U39" s="44">
        <v>303</v>
      </c>
      <c r="V39" s="44">
        <v>325</v>
      </c>
      <c r="W39" s="44">
        <f>714-X39</f>
        <v>335</v>
      </c>
      <c r="X39" s="44">
        <v>379</v>
      </c>
      <c r="Y39" s="44">
        <v>382</v>
      </c>
      <c r="Z39" s="44">
        <v>412</v>
      </c>
      <c r="AA39" s="44">
        <f>831-AB39</f>
        <v>401</v>
      </c>
      <c r="AB39" s="44">
        <v>430</v>
      </c>
      <c r="AC39" s="44">
        <v>425</v>
      </c>
      <c r="AD39" s="44">
        <v>474</v>
      </c>
      <c r="AE39" s="44">
        <v>430</v>
      </c>
      <c r="AF39" s="44">
        <v>490</v>
      </c>
      <c r="AG39" s="44">
        <v>486</v>
      </c>
      <c r="AH39" s="44">
        <v>451</v>
      </c>
      <c r="AI39" s="44">
        <v>463</v>
      </c>
      <c r="AJ39" s="44">
        <v>483</v>
      </c>
      <c r="AK39" s="56">
        <v>476</v>
      </c>
      <c r="AL39" s="44">
        <v>499</v>
      </c>
      <c r="AM39" s="44">
        <v>511</v>
      </c>
      <c r="AN39" s="44">
        <v>439</v>
      </c>
      <c r="AO39" s="44">
        <v>284</v>
      </c>
      <c r="AP39" s="44">
        <v>278</v>
      </c>
      <c r="AQ39" s="73">
        <v>233</v>
      </c>
      <c r="AR39" s="44">
        <f>+AQ39-5</f>
        <v>228</v>
      </c>
      <c r="AS39" s="44">
        <v>176</v>
      </c>
      <c r="AT39" s="44">
        <v>166</v>
      </c>
      <c r="AU39" s="44">
        <v>144</v>
      </c>
      <c r="AV39" s="44"/>
      <c r="AW39" s="44"/>
      <c r="AX39" s="44"/>
      <c r="AY39" s="44">
        <v>92</v>
      </c>
      <c r="AZ39" s="44">
        <v>83</v>
      </c>
      <c r="BA39" s="44"/>
      <c r="BB39" s="44"/>
      <c r="BC39" s="44">
        <v>78</v>
      </c>
      <c r="BD39" s="44">
        <v>78</v>
      </c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>
        <v>57</v>
      </c>
      <c r="BS39" s="44">
        <v>54</v>
      </c>
      <c r="BT39" s="44">
        <v>57</v>
      </c>
      <c r="BU39" s="44">
        <v>55</v>
      </c>
      <c r="BV39" s="44">
        <v>46</v>
      </c>
      <c r="BW39" s="78">
        <v>51</v>
      </c>
      <c r="BX39" s="78">
        <v>60</v>
      </c>
      <c r="BY39" s="78">
        <v>63</v>
      </c>
      <c r="BZ39" s="78">
        <v>51</v>
      </c>
      <c r="CA39" s="78">
        <v>50</v>
      </c>
      <c r="CB39" s="78">
        <v>58</v>
      </c>
      <c r="CC39" s="78">
        <v>42</v>
      </c>
      <c r="CD39" s="78">
        <v>36</v>
      </c>
      <c r="CE39" s="78">
        <v>44</v>
      </c>
      <c r="CF39" s="78">
        <v>29</v>
      </c>
      <c r="CG39" s="78">
        <v>33</v>
      </c>
      <c r="CH39" s="78">
        <v>33</v>
      </c>
      <c r="CI39" s="78">
        <v>32</v>
      </c>
      <c r="CJ39" s="78">
        <v>28</v>
      </c>
      <c r="CK39" s="78">
        <v>24</v>
      </c>
      <c r="CL39" s="78">
        <v>14</v>
      </c>
      <c r="CM39" s="78">
        <v>0</v>
      </c>
      <c r="CN39" s="78">
        <v>0</v>
      </c>
      <c r="CO39" s="78">
        <v>0</v>
      </c>
      <c r="CP39" s="78">
        <v>0</v>
      </c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44"/>
      <c r="DB39" s="44"/>
      <c r="DC39" s="44"/>
      <c r="DD39" s="43"/>
      <c r="DE39" s="44">
        <v>331</v>
      </c>
      <c r="DF39" s="44">
        <v>519</v>
      </c>
      <c r="DG39" s="44">
        <v>811</v>
      </c>
      <c r="DH39" s="44">
        <f>SUM(S39:V39)</f>
        <v>1181</v>
      </c>
      <c r="DI39" s="44">
        <f>SUM(W39:Z39)</f>
        <v>1508</v>
      </c>
      <c r="DJ39" s="44">
        <f>SUM(AA39:AD39)</f>
        <v>1730</v>
      </c>
      <c r="DK39" s="44">
        <f>SUM(AE39:AH39)</f>
        <v>1857</v>
      </c>
      <c r="DL39" s="44">
        <f>SUM(AI39:AL39)</f>
        <v>1921</v>
      </c>
      <c r="DM39" s="44">
        <f>SUM(AM39:AP39)</f>
        <v>1512</v>
      </c>
      <c r="DN39" s="44">
        <f>SUM(AQ39:AT39)</f>
        <v>803</v>
      </c>
      <c r="DO39" s="44">
        <f>SUM(AU39:AX39)</f>
        <v>144</v>
      </c>
      <c r="DP39" s="44">
        <f t="shared" ref="DP39:DT39" si="27">+DO39*0.8</f>
        <v>115.2</v>
      </c>
      <c r="DQ39" s="44">
        <f t="shared" si="27"/>
        <v>92.160000000000011</v>
      </c>
      <c r="DR39" s="44">
        <f t="shared" si="27"/>
        <v>73.728000000000009</v>
      </c>
      <c r="DS39" s="44">
        <f t="shared" si="27"/>
        <v>58.982400000000013</v>
      </c>
      <c r="DT39" s="44">
        <f t="shared" si="27"/>
        <v>47.18592000000001</v>
      </c>
      <c r="DU39" s="44"/>
      <c r="DV39" s="75">
        <f t="shared" si="7"/>
        <v>225</v>
      </c>
      <c r="DW39" s="75">
        <f t="shared" si="8"/>
        <v>186</v>
      </c>
      <c r="DX39" s="75">
        <f t="shared" si="15"/>
        <v>139</v>
      </c>
      <c r="DY39" s="75">
        <f t="shared" si="16"/>
        <v>98</v>
      </c>
      <c r="DZ39" s="75">
        <f t="shared" si="17"/>
        <v>0</v>
      </c>
      <c r="EA39" s="44"/>
      <c r="EB39" s="44"/>
    </row>
    <row r="40" spans="1:132" s="11" customFormat="1">
      <c r="A40" s="35"/>
      <c r="B40" s="104" t="s">
        <v>475</v>
      </c>
      <c r="C40" s="44">
        <v>114</v>
      </c>
      <c r="D40" s="44">
        <v>128</v>
      </c>
      <c r="E40" s="44">
        <v>146</v>
      </c>
      <c r="F40" s="44">
        <v>173</v>
      </c>
      <c r="G40" s="44">
        <v>123</v>
      </c>
      <c r="H40" s="44">
        <v>148</v>
      </c>
      <c r="I40" s="44">
        <v>189</v>
      </c>
      <c r="J40" s="44">
        <v>184</v>
      </c>
      <c r="K40" s="44">
        <v>189</v>
      </c>
      <c r="L40" s="44">
        <v>228</v>
      </c>
      <c r="M40" s="44">
        <v>230</v>
      </c>
      <c r="N40" s="44">
        <v>207</v>
      </c>
      <c r="O40" s="44">
        <v>229</v>
      </c>
      <c r="P40" s="44">
        <v>249</v>
      </c>
      <c r="Q40" s="44">
        <v>258</v>
      </c>
      <c r="R40" s="44">
        <v>276</v>
      </c>
      <c r="S40" s="44">
        <v>277</v>
      </c>
      <c r="T40" s="44">
        <v>287</v>
      </c>
      <c r="U40" s="44">
        <v>276</v>
      </c>
      <c r="V40" s="44">
        <v>283</v>
      </c>
      <c r="W40" s="44">
        <f>580-X40</f>
        <v>274</v>
      </c>
      <c r="X40" s="44">
        <v>306</v>
      </c>
      <c r="Y40" s="44">
        <v>299</v>
      </c>
      <c r="Z40" s="44">
        <v>327</v>
      </c>
      <c r="AA40" s="44">
        <f>641-AB40</f>
        <v>310</v>
      </c>
      <c r="AB40" s="44">
        <v>331</v>
      </c>
      <c r="AC40" s="44">
        <v>324</v>
      </c>
      <c r="AD40" s="44">
        <v>370</v>
      </c>
      <c r="AE40" s="44">
        <v>316</v>
      </c>
      <c r="AF40" s="44">
        <v>358</v>
      </c>
      <c r="AG40" s="44">
        <v>300</v>
      </c>
      <c r="AH40" s="44">
        <v>284</v>
      </c>
      <c r="AI40" s="44">
        <v>236</v>
      </c>
      <c r="AJ40" s="44">
        <v>245</v>
      </c>
      <c r="AK40" s="56">
        <v>174</v>
      </c>
      <c r="AL40" s="44">
        <v>189</v>
      </c>
      <c r="AM40" s="44">
        <v>143</v>
      </c>
      <c r="AN40" s="44">
        <v>151</v>
      </c>
      <c r="AO40" s="44">
        <v>137</v>
      </c>
      <c r="AP40" s="44">
        <v>148</v>
      </c>
      <c r="AQ40" s="73">
        <v>133</v>
      </c>
      <c r="AR40" s="44">
        <f>AQ40-5</f>
        <v>128</v>
      </c>
      <c r="AS40" s="44">
        <v>137</v>
      </c>
      <c r="AT40" s="44">
        <v>142</v>
      </c>
      <c r="AU40" s="44">
        <v>113</v>
      </c>
      <c r="AV40" s="44"/>
      <c r="AW40" s="44"/>
      <c r="AX40" s="44"/>
      <c r="AY40" s="44">
        <v>92</v>
      </c>
      <c r="AZ40" s="44">
        <v>96</v>
      </c>
      <c r="BA40" s="44"/>
      <c r="BB40" s="44"/>
      <c r="BC40" s="44">
        <v>83</v>
      </c>
      <c r="BD40" s="44">
        <v>83</v>
      </c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>
        <v>54</v>
      </c>
      <c r="BS40" s="44">
        <v>52</v>
      </c>
      <c r="BT40" s="44">
        <v>52</v>
      </c>
      <c r="BU40" s="44">
        <v>51</v>
      </c>
      <c r="BV40" s="44">
        <v>46</v>
      </c>
      <c r="BW40" s="78">
        <v>48</v>
      </c>
      <c r="BX40" s="78">
        <v>57</v>
      </c>
      <c r="BY40" s="78">
        <v>52</v>
      </c>
      <c r="BZ40" s="78">
        <v>43</v>
      </c>
      <c r="CA40" s="78">
        <v>42</v>
      </c>
      <c r="CB40" s="78">
        <v>47</v>
      </c>
      <c r="CC40" s="78">
        <v>44</v>
      </c>
      <c r="CD40" s="78">
        <v>39</v>
      </c>
      <c r="CE40" s="78">
        <v>42</v>
      </c>
      <c r="CF40" s="78">
        <v>41</v>
      </c>
      <c r="CG40" s="78">
        <v>38</v>
      </c>
      <c r="CH40" s="78">
        <v>22</v>
      </c>
      <c r="CI40" s="78">
        <v>21</v>
      </c>
      <c r="CJ40" s="78">
        <v>21</v>
      </c>
      <c r="CK40" s="78">
        <v>21</v>
      </c>
      <c r="CL40" s="78">
        <v>16</v>
      </c>
      <c r="CM40" s="78">
        <v>0</v>
      </c>
      <c r="CN40" s="78">
        <v>0</v>
      </c>
      <c r="CO40" s="78">
        <v>0</v>
      </c>
      <c r="CP40" s="78">
        <v>0</v>
      </c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44"/>
      <c r="DB40" s="44"/>
      <c r="DC40" s="44"/>
      <c r="DD40" s="43"/>
      <c r="DE40" s="44">
        <v>644</v>
      </c>
      <c r="DF40" s="44">
        <v>854</v>
      </c>
      <c r="DG40" s="44">
        <v>1012</v>
      </c>
      <c r="DH40" s="44">
        <f>SUM(S40:V40)</f>
        <v>1123</v>
      </c>
      <c r="DI40" s="44">
        <f>SUM(W40:Z40)</f>
        <v>1206</v>
      </c>
      <c r="DJ40" s="44">
        <f>SUM(AA40:AD40)</f>
        <v>1335</v>
      </c>
      <c r="DK40" s="44">
        <f>SUM(AE40:AH40)</f>
        <v>1258</v>
      </c>
      <c r="DL40" s="44">
        <f>SUM(AI40:AL40)</f>
        <v>844</v>
      </c>
      <c r="DM40" s="44">
        <f>SUM(AM40:AP40)</f>
        <v>579</v>
      </c>
      <c r="DN40" s="44">
        <f>SUM(AQ40:AT40)</f>
        <v>540</v>
      </c>
      <c r="DO40" s="44">
        <f>SUM(AU40:AX40)</f>
        <v>113</v>
      </c>
      <c r="DP40" s="44">
        <f>+DO40*0.8</f>
        <v>90.4</v>
      </c>
      <c r="DQ40" s="44">
        <f t="shared" ref="DQ40:DT40" si="28">+DP40*0.8</f>
        <v>72.320000000000007</v>
      </c>
      <c r="DR40" s="44">
        <f t="shared" si="28"/>
        <v>57.856000000000009</v>
      </c>
      <c r="DS40" s="44">
        <f t="shared" si="28"/>
        <v>46.284800000000011</v>
      </c>
      <c r="DT40" s="44">
        <f t="shared" si="28"/>
        <v>37.027840000000012</v>
      </c>
      <c r="DU40" s="44"/>
      <c r="DV40" s="75">
        <f t="shared" si="7"/>
        <v>200</v>
      </c>
      <c r="DW40" s="75">
        <f t="shared" si="8"/>
        <v>172</v>
      </c>
      <c r="DX40" s="75">
        <f t="shared" si="15"/>
        <v>143</v>
      </c>
      <c r="DY40" s="75">
        <f t="shared" si="16"/>
        <v>79</v>
      </c>
      <c r="DZ40" s="75">
        <f t="shared" si="17"/>
        <v>0</v>
      </c>
      <c r="EA40" s="44"/>
      <c r="EB40" s="44"/>
    </row>
    <row r="41" spans="1:132" s="11" customFormat="1">
      <c r="A41" s="35"/>
      <c r="B41" s="104" t="s">
        <v>543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56"/>
      <c r="AL41" s="44"/>
      <c r="AM41" s="44"/>
      <c r="AN41" s="44"/>
      <c r="AO41" s="44"/>
      <c r="AP41" s="44"/>
      <c r="AQ41" s="73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>
        <v>8</v>
      </c>
      <c r="BS41" s="44">
        <v>5</v>
      </c>
      <c r="BT41" s="44">
        <v>8</v>
      </c>
      <c r="BU41" s="44">
        <v>10</v>
      </c>
      <c r="BV41" s="44">
        <v>10</v>
      </c>
      <c r="BW41" s="78">
        <v>10</v>
      </c>
      <c r="BX41" s="78">
        <v>10</v>
      </c>
      <c r="BY41" s="78">
        <v>10</v>
      </c>
      <c r="BZ41" s="78">
        <v>12</v>
      </c>
      <c r="CA41" s="78">
        <v>12</v>
      </c>
      <c r="CB41" s="78">
        <v>10</v>
      </c>
      <c r="CC41" s="78">
        <v>14</v>
      </c>
      <c r="CD41" s="78">
        <v>12</v>
      </c>
      <c r="CE41" s="78">
        <v>13</v>
      </c>
      <c r="CF41" s="78">
        <v>13</v>
      </c>
      <c r="CG41" s="78">
        <v>13</v>
      </c>
      <c r="CH41" s="78">
        <v>15</v>
      </c>
      <c r="CI41" s="78">
        <v>15</v>
      </c>
      <c r="CJ41" s="78">
        <v>15</v>
      </c>
      <c r="CK41" s="78">
        <v>14</v>
      </c>
      <c r="CL41" s="78">
        <v>14</v>
      </c>
      <c r="CM41" s="78">
        <v>15</v>
      </c>
      <c r="CN41" s="78">
        <v>15</v>
      </c>
      <c r="CO41" s="78">
        <v>13</v>
      </c>
      <c r="CP41" s="78">
        <v>15</v>
      </c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44"/>
      <c r="DB41" s="44"/>
      <c r="DC41" s="44"/>
      <c r="DD41" s="43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75">
        <f t="shared" si="7"/>
        <v>42</v>
      </c>
      <c r="DW41" s="75">
        <f t="shared" si="8"/>
        <v>48</v>
      </c>
      <c r="DX41" s="75">
        <f t="shared" si="15"/>
        <v>54</v>
      </c>
      <c r="DY41" s="75">
        <f t="shared" si="16"/>
        <v>58</v>
      </c>
      <c r="DZ41" s="75">
        <f t="shared" si="17"/>
        <v>58</v>
      </c>
      <c r="EA41" s="44"/>
      <c r="EB41" s="44"/>
    </row>
    <row r="42" spans="1:132" s="11" customFormat="1">
      <c r="A42" s="35"/>
      <c r="B42" s="104" t="s">
        <v>43</v>
      </c>
      <c r="C42" s="44">
        <v>7</v>
      </c>
      <c r="D42" s="44">
        <v>8</v>
      </c>
      <c r="E42" s="44">
        <v>7</v>
      </c>
      <c r="F42" s="44">
        <v>4</v>
      </c>
      <c r="G42" s="44">
        <v>5</v>
      </c>
      <c r="H42" s="44">
        <v>6</v>
      </c>
      <c r="I42" s="44">
        <v>3</v>
      </c>
      <c r="J42" s="44">
        <v>4</v>
      </c>
      <c r="K42" s="44">
        <v>4</v>
      </c>
      <c r="L42" s="44">
        <v>5</v>
      </c>
      <c r="M42" s="44">
        <v>5</v>
      </c>
      <c r="N42" s="44">
        <v>4.4000000000000004</v>
      </c>
      <c r="O42" s="44">
        <v>4</v>
      </c>
      <c r="P42" s="44">
        <v>4</v>
      </c>
      <c r="Q42" s="44">
        <v>3</v>
      </c>
      <c r="R42" s="44">
        <v>3</v>
      </c>
      <c r="S42" s="44">
        <v>3</v>
      </c>
      <c r="T42" s="44">
        <v>3</v>
      </c>
      <c r="U42" s="44">
        <v>2</v>
      </c>
      <c r="V42" s="44">
        <v>2</v>
      </c>
      <c r="W42" s="44">
        <v>3</v>
      </c>
      <c r="X42" s="44">
        <v>3</v>
      </c>
      <c r="Y42" s="44">
        <v>78</v>
      </c>
      <c r="Z42" s="44">
        <v>83</v>
      </c>
      <c r="AA42" s="44">
        <v>16</v>
      </c>
      <c r="AB42" s="44">
        <f>90-AB26-AB75</f>
        <v>17</v>
      </c>
      <c r="AC42" s="44">
        <v>93</v>
      </c>
      <c r="AD42" s="44">
        <v>20</v>
      </c>
      <c r="AE42" s="44">
        <v>18</v>
      </c>
      <c r="AF42" s="44">
        <v>107</v>
      </c>
      <c r="AG42" s="44">
        <v>105</v>
      </c>
      <c r="AH42" s="44">
        <v>104</v>
      </c>
      <c r="AI42" s="44">
        <v>80</v>
      </c>
      <c r="AJ42" s="44">
        <v>87</v>
      </c>
      <c r="AK42" s="56">
        <v>90</v>
      </c>
      <c r="AL42" s="44">
        <v>98</v>
      </c>
      <c r="AM42" s="44">
        <v>95</v>
      </c>
      <c r="AN42" s="44">
        <v>104</v>
      </c>
      <c r="AO42" s="44">
        <v>108</v>
      </c>
      <c r="AP42" s="44">
        <v>139</v>
      </c>
      <c r="AQ42" s="73">
        <f>150-AQ26-AQ75</f>
        <v>4</v>
      </c>
      <c r="AR42" s="44">
        <f>AQ42</f>
        <v>4</v>
      </c>
      <c r="AS42" s="44">
        <v>168</v>
      </c>
      <c r="AT42" s="44">
        <v>184</v>
      </c>
      <c r="AU42" s="44">
        <f>29-AU77</f>
        <v>24</v>
      </c>
      <c r="AV42" s="44"/>
      <c r="AW42" s="44"/>
      <c r="AX42" s="44"/>
      <c r="AY42" s="44"/>
      <c r="AZ42" s="44"/>
      <c r="BA42" s="44"/>
      <c r="BB42" s="44"/>
      <c r="BC42" s="44">
        <v>31</v>
      </c>
      <c r="BD42" s="44">
        <v>35</v>
      </c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>
        <v>29</v>
      </c>
      <c r="BS42" s="44">
        <v>27</v>
      </c>
      <c r="BT42" s="44">
        <v>37</v>
      </c>
      <c r="BU42" s="44">
        <v>28</v>
      </c>
      <c r="BV42" s="44">
        <v>23</v>
      </c>
      <c r="BW42" s="78">
        <v>20</v>
      </c>
      <c r="BX42" s="78">
        <v>28</v>
      </c>
      <c r="BY42" s="78">
        <v>20</v>
      </c>
      <c r="BZ42" s="78">
        <v>26</v>
      </c>
      <c r="CA42" s="78">
        <v>13</v>
      </c>
      <c r="CB42" s="78">
        <v>12</v>
      </c>
      <c r="CC42" s="78">
        <v>13</v>
      </c>
      <c r="CD42" s="78">
        <v>13</v>
      </c>
      <c r="CE42" s="78">
        <v>12</v>
      </c>
      <c r="CF42" s="78">
        <v>13</v>
      </c>
      <c r="CG42" s="78">
        <v>13</v>
      </c>
      <c r="CH42" s="78">
        <v>13</v>
      </c>
      <c r="CI42" s="78">
        <v>12</v>
      </c>
      <c r="CJ42" s="78">
        <v>12</v>
      </c>
      <c r="CK42" s="78">
        <v>10</v>
      </c>
      <c r="CL42" s="78">
        <v>10</v>
      </c>
      <c r="CM42" s="78">
        <v>66</v>
      </c>
      <c r="CN42" s="78">
        <v>54</v>
      </c>
      <c r="CO42" s="78">
        <v>54</v>
      </c>
      <c r="CP42" s="78">
        <v>50</v>
      </c>
      <c r="CQ42" s="78">
        <v>107</v>
      </c>
      <c r="CR42" s="78">
        <v>109</v>
      </c>
      <c r="CS42" s="78"/>
      <c r="CT42" s="78"/>
      <c r="CU42" s="78"/>
      <c r="CV42" s="78"/>
      <c r="CW42" s="78"/>
      <c r="CX42" s="78"/>
      <c r="CY42" s="78"/>
      <c r="CZ42" s="78"/>
      <c r="DA42" s="44"/>
      <c r="DB42" s="44"/>
      <c r="DC42" s="44"/>
      <c r="DD42" s="44"/>
      <c r="DE42" s="44">
        <v>18</v>
      </c>
      <c r="DF42" s="44">
        <v>18.399999999999999</v>
      </c>
      <c r="DG42" s="44">
        <v>14</v>
      </c>
      <c r="DH42" s="44">
        <f>SUM(S42:V42)</f>
        <v>10</v>
      </c>
      <c r="DI42" s="44">
        <f>SUM(W42:Z42)</f>
        <v>167</v>
      </c>
      <c r="DJ42" s="44">
        <f>SUM(AA42:AD42)</f>
        <v>146</v>
      </c>
      <c r="DK42" s="44">
        <f>DJ42</f>
        <v>146</v>
      </c>
      <c r="DL42" s="44">
        <f>SUM(AI42:AL42)</f>
        <v>355</v>
      </c>
      <c r="DM42" s="44">
        <f>SUM(AM42:AP42)</f>
        <v>446</v>
      </c>
      <c r="DN42" s="44">
        <f>SUM(AQ42:AT42)</f>
        <v>360</v>
      </c>
      <c r="DO42" s="44">
        <f>SUM(AU42:AX42)</f>
        <v>24</v>
      </c>
      <c r="DP42" s="44">
        <f t="shared" ref="DP42:DT42" si="29">+DO42*0.9</f>
        <v>21.6</v>
      </c>
      <c r="DQ42" s="44">
        <f t="shared" si="29"/>
        <v>19.440000000000001</v>
      </c>
      <c r="DR42" s="44">
        <f t="shared" si="29"/>
        <v>17.496000000000002</v>
      </c>
      <c r="DS42" s="44">
        <f t="shared" si="29"/>
        <v>15.746400000000003</v>
      </c>
      <c r="DT42" s="44">
        <f t="shared" si="29"/>
        <v>14.171760000000003</v>
      </c>
      <c r="DU42" s="44"/>
      <c r="DV42" s="75">
        <f t="shared" si="7"/>
        <v>94</v>
      </c>
      <c r="DW42" s="75">
        <f t="shared" si="8"/>
        <v>51</v>
      </c>
      <c r="DX42" s="75">
        <f t="shared" si="15"/>
        <v>51</v>
      </c>
      <c r="DY42" s="75">
        <f t="shared" si="16"/>
        <v>44</v>
      </c>
      <c r="DZ42" s="75">
        <f t="shared" si="17"/>
        <v>224</v>
      </c>
      <c r="EA42" s="44"/>
      <c r="EB42" s="44"/>
    </row>
    <row r="43" spans="1:132" s="11" customFormat="1">
      <c r="A43" s="35"/>
      <c r="B43" s="103" t="s">
        <v>539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6"/>
      <c r="AL43" s="75"/>
      <c r="AM43" s="75"/>
      <c r="AN43" s="75"/>
      <c r="AO43" s="75"/>
      <c r="AP43" s="75"/>
      <c r="AQ43" s="76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0</v>
      </c>
      <c r="CE43" s="81">
        <v>0</v>
      </c>
      <c r="CF43" s="81">
        <v>0</v>
      </c>
      <c r="CG43" s="81">
        <v>1</v>
      </c>
      <c r="CH43" s="81">
        <v>7</v>
      </c>
      <c r="CI43" s="81">
        <v>11</v>
      </c>
      <c r="CJ43" s="81">
        <v>24</v>
      </c>
      <c r="CK43" s="81">
        <v>33</v>
      </c>
      <c r="CL43" s="81">
        <v>48</v>
      </c>
      <c r="CM43" s="81">
        <v>47</v>
      </c>
      <c r="CN43" s="81">
        <v>68</v>
      </c>
      <c r="CO43" s="81">
        <v>76</v>
      </c>
      <c r="CP43" s="81">
        <v>89</v>
      </c>
      <c r="CQ43" s="81">
        <v>91</v>
      </c>
      <c r="CR43" s="81">
        <v>112</v>
      </c>
      <c r="CS43" s="81"/>
      <c r="CT43" s="81"/>
      <c r="CU43" s="81"/>
      <c r="CV43" s="81"/>
      <c r="CW43" s="81"/>
      <c r="CX43" s="81"/>
      <c r="CY43" s="81"/>
      <c r="CZ43" s="81"/>
      <c r="DA43" s="75"/>
      <c r="DB43" s="75"/>
      <c r="DC43" s="75"/>
      <c r="DD43" s="75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5">
        <f t="shared" si="7"/>
        <v>0</v>
      </c>
      <c r="DW43" s="75">
        <f t="shared" si="8"/>
        <v>0</v>
      </c>
      <c r="DX43" s="75">
        <f t="shared" si="15"/>
        <v>8</v>
      </c>
      <c r="DY43" s="75">
        <f t="shared" si="16"/>
        <v>116</v>
      </c>
      <c r="DZ43" s="75">
        <f t="shared" si="17"/>
        <v>280</v>
      </c>
      <c r="EA43" s="77"/>
      <c r="EB43" s="77"/>
    </row>
    <row r="44" spans="1:132" s="11" customFormat="1">
      <c r="A44" s="35"/>
      <c r="B44" s="139" t="s">
        <v>647</v>
      </c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6"/>
      <c r="AL44" s="75"/>
      <c r="AM44" s="75"/>
      <c r="AN44" s="75"/>
      <c r="AO44" s="75"/>
      <c r="AP44" s="75"/>
      <c r="AQ44" s="76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>
        <v>0</v>
      </c>
      <c r="CM44" s="81">
        <v>0</v>
      </c>
      <c r="CN44" s="81">
        <v>0</v>
      </c>
      <c r="CO44" s="81">
        <v>0</v>
      </c>
      <c r="CP44" s="81">
        <v>0</v>
      </c>
      <c r="CQ44" s="81">
        <v>7</v>
      </c>
      <c r="CR44" s="81">
        <v>14</v>
      </c>
      <c r="CS44" s="81"/>
      <c r="CT44" s="81"/>
      <c r="CU44" s="81"/>
      <c r="CV44" s="81"/>
      <c r="CW44" s="81"/>
      <c r="CX44" s="81"/>
      <c r="CY44" s="81"/>
      <c r="CZ44" s="81"/>
      <c r="DA44" s="75"/>
      <c r="DB44" s="75"/>
      <c r="DC44" s="75"/>
      <c r="DD44" s="75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5"/>
      <c r="DW44" s="75"/>
      <c r="DX44" s="75"/>
      <c r="DY44" s="75"/>
      <c r="DZ44" s="75">
        <f t="shared" si="17"/>
        <v>0</v>
      </c>
      <c r="EA44" s="77"/>
      <c r="EB44" s="77"/>
    </row>
    <row r="45" spans="1:132" s="11" customFormat="1">
      <c r="A45" s="35"/>
      <c r="B45" s="103" t="s">
        <v>532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6"/>
      <c r="AL45" s="75"/>
      <c r="AM45" s="75"/>
      <c r="AN45" s="75"/>
      <c r="AO45" s="75"/>
      <c r="AP45" s="75"/>
      <c r="AQ45" s="76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0</v>
      </c>
      <c r="CE45" s="81">
        <v>0</v>
      </c>
      <c r="CF45" s="81">
        <v>0</v>
      </c>
      <c r="CG45" s="81">
        <v>10</v>
      </c>
      <c r="CH45" s="81">
        <v>6</v>
      </c>
      <c r="CI45" s="81">
        <v>13</v>
      </c>
      <c r="CJ45" s="81">
        <v>11</v>
      </c>
      <c r="CK45" s="81">
        <v>11</v>
      </c>
      <c r="CL45" s="81">
        <v>-1</v>
      </c>
      <c r="CM45" s="81">
        <v>8</v>
      </c>
      <c r="CN45" s="81">
        <v>13</v>
      </c>
      <c r="CO45" s="81">
        <v>12</v>
      </c>
      <c r="CP45" s="81">
        <v>11</v>
      </c>
      <c r="CQ45" s="81">
        <v>12</v>
      </c>
      <c r="CR45" s="81">
        <v>13</v>
      </c>
      <c r="CS45" s="81"/>
      <c r="CT45" s="81"/>
      <c r="CU45" s="81"/>
      <c r="CV45" s="81"/>
      <c r="CW45" s="81"/>
      <c r="CX45" s="81"/>
      <c r="CY45" s="81"/>
      <c r="CZ45" s="81"/>
      <c r="DA45" s="75"/>
      <c r="DB45" s="75"/>
      <c r="DC45" s="75"/>
      <c r="DD45" s="75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5">
        <f t="shared" si="7"/>
        <v>0</v>
      </c>
      <c r="DW45" s="75">
        <f t="shared" si="8"/>
        <v>0</v>
      </c>
      <c r="DX45" s="75">
        <f t="shared" ref="DX45:DX76" si="30">SUM(CE45:CH45)</f>
        <v>16</v>
      </c>
      <c r="DY45" s="75">
        <f t="shared" ref="DY45:DY76" si="31">SUM(CI45:CL45)</f>
        <v>34</v>
      </c>
      <c r="DZ45" s="75">
        <f t="shared" ref="DZ45:DZ76" si="32">SUM(CM45:CP45)</f>
        <v>44</v>
      </c>
      <c r="EA45" s="77"/>
      <c r="EB45" s="77"/>
    </row>
    <row r="46" spans="1:132" s="11" customFormat="1">
      <c r="A46" s="35"/>
      <c r="B46" s="104" t="s">
        <v>241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>
        <v>0</v>
      </c>
      <c r="AD46" s="44">
        <v>53</v>
      </c>
      <c r="AE46" s="44"/>
      <c r="AF46" s="44">
        <v>0</v>
      </c>
      <c r="AG46" s="44">
        <v>71</v>
      </c>
      <c r="AH46" s="44">
        <v>33</v>
      </c>
      <c r="AI46" s="44">
        <v>2</v>
      </c>
      <c r="AJ46" s="44">
        <v>0</v>
      </c>
      <c r="AK46" s="56">
        <v>92</v>
      </c>
      <c r="AL46" s="44">
        <v>51</v>
      </c>
      <c r="AM46" s="44">
        <v>2</v>
      </c>
      <c r="AN46" s="44">
        <v>1</v>
      </c>
      <c r="AO46" s="44">
        <v>120</v>
      </c>
      <c r="AP46" s="44">
        <v>51</v>
      </c>
      <c r="AQ46" s="73">
        <v>3</v>
      </c>
      <c r="AR46" s="44">
        <f>AN46</f>
        <v>1</v>
      </c>
      <c r="AS46" s="44">
        <v>124</v>
      </c>
      <c r="AT46" s="44">
        <v>34</v>
      </c>
      <c r="AU46" s="44">
        <v>2</v>
      </c>
      <c r="AV46" s="44"/>
      <c r="AW46" s="44"/>
      <c r="AX46" s="44"/>
      <c r="AY46" s="44"/>
      <c r="AZ46" s="44"/>
      <c r="BA46" s="44"/>
      <c r="BB46" s="44"/>
      <c r="BC46" s="44">
        <v>7</v>
      </c>
      <c r="BD46" s="44">
        <v>5</v>
      </c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>
        <v>58</v>
      </c>
      <c r="BS46" s="44">
        <v>0</v>
      </c>
      <c r="BT46" s="44">
        <v>0</v>
      </c>
      <c r="BU46" s="44">
        <v>35</v>
      </c>
      <c r="BV46" s="44">
        <v>75</v>
      </c>
      <c r="BW46" s="78">
        <v>0</v>
      </c>
      <c r="BX46" s="78">
        <v>0</v>
      </c>
      <c r="BY46" s="78">
        <v>0</v>
      </c>
      <c r="BZ46" s="78">
        <v>0</v>
      </c>
      <c r="CA46" s="78">
        <v>0</v>
      </c>
      <c r="CB46" s="78">
        <v>0</v>
      </c>
      <c r="CC46" s="78">
        <v>116</v>
      </c>
      <c r="CD46" s="78">
        <v>179</v>
      </c>
      <c r="CE46" s="78">
        <v>2</v>
      </c>
      <c r="CF46" s="78">
        <v>1</v>
      </c>
      <c r="CG46" s="78">
        <v>72</v>
      </c>
      <c r="CH46" s="78">
        <v>178</v>
      </c>
      <c r="CI46" s="78">
        <v>-1</v>
      </c>
      <c r="CJ46" s="78">
        <v>1</v>
      </c>
      <c r="CK46" s="78">
        <v>59</v>
      </c>
      <c r="CL46" s="78">
        <v>116</v>
      </c>
      <c r="CM46" s="78">
        <v>2</v>
      </c>
      <c r="CN46" s="78">
        <v>0</v>
      </c>
      <c r="CO46" s="78">
        <v>75</v>
      </c>
      <c r="CP46" s="78">
        <v>138</v>
      </c>
      <c r="CQ46" s="78">
        <v>7</v>
      </c>
      <c r="CR46" s="78">
        <v>2</v>
      </c>
      <c r="CS46" s="78"/>
      <c r="CT46" s="78"/>
      <c r="CU46" s="78"/>
      <c r="CV46" s="78"/>
      <c r="CW46" s="78"/>
      <c r="CX46" s="78"/>
      <c r="CY46" s="78"/>
      <c r="CZ46" s="78"/>
      <c r="DA46" s="44"/>
      <c r="DB46" s="44"/>
      <c r="DC46" s="44"/>
      <c r="DD46" s="43"/>
      <c r="DE46" s="44"/>
      <c r="DF46" s="44"/>
      <c r="DG46" s="44"/>
      <c r="DH46" s="44"/>
      <c r="DI46" s="44"/>
      <c r="DJ46" s="44"/>
      <c r="DK46" s="44"/>
      <c r="DL46" s="44">
        <f>SUM(AI46:AL46)</f>
        <v>145</v>
      </c>
      <c r="DM46" s="44">
        <f>SUM(AM46:AP46)</f>
        <v>174</v>
      </c>
      <c r="DN46" s="44">
        <f>SUM(AQ46:AT46)</f>
        <v>162</v>
      </c>
      <c r="DO46" s="44">
        <f>SUM(AU46:AX46)</f>
        <v>2</v>
      </c>
      <c r="DP46" s="44">
        <f>+DO46*0.99</f>
        <v>1.98</v>
      </c>
      <c r="DQ46" s="44">
        <f t="shared" ref="DQ46:DT46" si="33">+DP46*0.99</f>
        <v>1.9601999999999999</v>
      </c>
      <c r="DR46" s="44">
        <f t="shared" si="33"/>
        <v>1.9405979999999998</v>
      </c>
      <c r="DS46" s="44">
        <f t="shared" si="33"/>
        <v>1.9211920199999999</v>
      </c>
      <c r="DT46" s="44">
        <f t="shared" si="33"/>
        <v>1.9019800997999998</v>
      </c>
      <c r="DU46" s="44"/>
      <c r="DV46" s="75">
        <f t="shared" si="7"/>
        <v>0</v>
      </c>
      <c r="DW46" s="75">
        <f t="shared" si="8"/>
        <v>295</v>
      </c>
      <c r="DX46" s="75">
        <f t="shared" si="30"/>
        <v>253</v>
      </c>
      <c r="DY46" s="75">
        <f t="shared" si="31"/>
        <v>175</v>
      </c>
      <c r="DZ46" s="75">
        <f t="shared" si="32"/>
        <v>215</v>
      </c>
    </row>
    <row r="47" spans="1:132" s="11" customFormat="1">
      <c r="A47" s="35"/>
      <c r="B47" s="138" t="s">
        <v>651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56"/>
      <c r="AL47" s="44"/>
      <c r="AM47" s="44"/>
      <c r="AN47" s="44"/>
      <c r="AO47" s="44"/>
      <c r="AP47" s="44"/>
      <c r="AQ47" s="73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>
        <v>23</v>
      </c>
      <c r="BS47" s="44">
        <v>28</v>
      </c>
      <c r="BT47" s="44">
        <v>22</v>
      </c>
      <c r="BU47" s="44">
        <v>23</v>
      </c>
      <c r="BV47" s="44">
        <v>22</v>
      </c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44"/>
      <c r="DB47" s="44"/>
      <c r="DC47" s="44"/>
      <c r="DD47" s="43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75"/>
      <c r="DW47" s="75"/>
      <c r="DX47" s="75"/>
      <c r="DY47" s="75"/>
      <c r="DZ47" s="75"/>
    </row>
    <row r="48" spans="1:132" s="11" customFormat="1">
      <c r="A48" s="35"/>
      <c r="B48" s="138" t="s">
        <v>652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56"/>
      <c r="AL48" s="44"/>
      <c r="AM48" s="44"/>
      <c r="AN48" s="44"/>
      <c r="AO48" s="44"/>
      <c r="AP48" s="44"/>
      <c r="AQ48" s="73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>
        <v>42</v>
      </c>
      <c r="BS48" s="44">
        <v>34</v>
      </c>
      <c r="BT48" s="44">
        <v>39</v>
      </c>
      <c r="BU48" s="44">
        <v>18</v>
      </c>
      <c r="BV48" s="44">
        <v>19</v>
      </c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  <c r="CW48" s="78"/>
      <c r="CX48" s="78"/>
      <c r="CY48" s="78"/>
      <c r="CZ48" s="78"/>
      <c r="DA48" s="44"/>
      <c r="DB48" s="44"/>
      <c r="DC48" s="44"/>
      <c r="DD48" s="43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75"/>
      <c r="DW48" s="75"/>
      <c r="DX48" s="75"/>
      <c r="DY48" s="75"/>
      <c r="DZ48" s="75"/>
    </row>
    <row r="49" spans="1:132" s="11" customFormat="1">
      <c r="A49" s="35"/>
      <c r="B49" s="104" t="s">
        <v>188</v>
      </c>
      <c r="C49" s="44">
        <v>12</v>
      </c>
      <c r="D49" s="44">
        <v>9</v>
      </c>
      <c r="E49" s="44">
        <v>9</v>
      </c>
      <c r="F49" s="44">
        <v>14</v>
      </c>
      <c r="G49" s="44">
        <v>13</v>
      </c>
      <c r="H49" s="44">
        <v>17</v>
      </c>
      <c r="I49" s="44">
        <v>15</v>
      </c>
      <c r="J49" s="44">
        <v>18</v>
      </c>
      <c r="K49" s="44">
        <v>18</v>
      </c>
      <c r="L49" s="44">
        <v>17</v>
      </c>
      <c r="M49" s="44">
        <v>18</v>
      </c>
      <c r="N49" s="44">
        <v>23</v>
      </c>
      <c r="O49" s="44">
        <v>21</v>
      </c>
      <c r="P49" s="44">
        <v>17</v>
      </c>
      <c r="Q49" s="44">
        <v>26</v>
      </c>
      <c r="R49" s="44">
        <v>24</v>
      </c>
      <c r="S49" s="44">
        <v>17</v>
      </c>
      <c r="T49" s="44">
        <v>19</v>
      </c>
      <c r="U49" s="44">
        <v>15</v>
      </c>
      <c r="V49" s="44">
        <v>19</v>
      </c>
      <c r="W49" s="44">
        <v>18</v>
      </c>
      <c r="X49" s="44">
        <v>15</v>
      </c>
      <c r="Y49" s="44">
        <v>21</v>
      </c>
      <c r="Z49" s="44">
        <v>24</v>
      </c>
      <c r="AA49" s="44">
        <v>20</v>
      </c>
      <c r="AB49" s="44">
        <v>20</v>
      </c>
      <c r="AC49" s="44">
        <v>20</v>
      </c>
      <c r="AD49" s="44">
        <v>24</v>
      </c>
      <c r="AE49" s="44">
        <v>20</v>
      </c>
      <c r="AF49" s="44">
        <v>21</v>
      </c>
      <c r="AG49" s="44">
        <v>25</v>
      </c>
      <c r="AH49" s="44">
        <v>23</v>
      </c>
      <c r="AI49" s="44">
        <v>24</v>
      </c>
      <c r="AJ49" s="44">
        <v>23</v>
      </c>
      <c r="AK49" s="56">
        <v>34</v>
      </c>
      <c r="AL49" s="44">
        <v>25</v>
      </c>
      <c r="AM49" s="44">
        <v>32</v>
      </c>
      <c r="AN49" s="44">
        <v>38</v>
      </c>
      <c r="AO49" s="44">
        <v>37</v>
      </c>
      <c r="AP49" s="44">
        <v>26</v>
      </c>
      <c r="AQ49" s="73">
        <v>39</v>
      </c>
      <c r="AR49" s="44">
        <f>AQ49</f>
        <v>39</v>
      </c>
      <c r="AS49" s="44">
        <v>37</v>
      </c>
      <c r="AT49" s="44">
        <v>49</v>
      </c>
      <c r="AU49" s="44">
        <v>52</v>
      </c>
      <c r="AV49" s="44"/>
      <c r="AW49" s="44"/>
      <c r="AX49" s="44"/>
      <c r="AY49" s="44"/>
      <c r="AZ49" s="44"/>
      <c r="BA49" s="44"/>
      <c r="BB49" s="44"/>
      <c r="BC49" s="44">
        <v>203</v>
      </c>
      <c r="BD49" s="44">
        <v>206</v>
      </c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>
        <v>168</v>
      </c>
      <c r="BS49" s="44">
        <v>107</v>
      </c>
      <c r="BT49" s="44">
        <v>103</v>
      </c>
      <c r="BU49" s="44">
        <v>72</v>
      </c>
      <c r="BV49" s="44">
        <v>35</v>
      </c>
      <c r="BW49" s="78">
        <v>47</v>
      </c>
      <c r="BX49" s="78">
        <v>52</v>
      </c>
      <c r="BY49" s="78">
        <v>56</v>
      </c>
      <c r="BZ49" s="78">
        <v>151</v>
      </c>
      <c r="CA49" s="78">
        <v>44</v>
      </c>
      <c r="CB49" s="78">
        <v>24</v>
      </c>
      <c r="CC49" s="78">
        <v>19</v>
      </c>
      <c r="CD49" s="78">
        <v>41</v>
      </c>
      <c r="CE49" s="78">
        <v>36</v>
      </c>
      <c r="CF49" s="78">
        <v>26</v>
      </c>
      <c r="CG49" s="78">
        <v>24</v>
      </c>
      <c r="CH49" s="78">
        <v>20</v>
      </c>
      <c r="CI49" s="78">
        <v>93</v>
      </c>
      <c r="CJ49" s="78">
        <v>75</v>
      </c>
      <c r="CK49" s="78">
        <v>93</v>
      </c>
      <c r="CL49" s="141">
        <v>79</v>
      </c>
      <c r="CM49" s="78">
        <v>68</v>
      </c>
      <c r="CN49" s="78">
        <v>53</v>
      </c>
      <c r="CO49" s="78">
        <v>53</v>
      </c>
      <c r="CP49" s="78">
        <v>57</v>
      </c>
      <c r="CQ49" s="78">
        <f>54+6</f>
        <v>60</v>
      </c>
      <c r="CR49" s="78">
        <v>49</v>
      </c>
      <c r="CS49" s="78"/>
      <c r="CT49" s="78"/>
      <c r="CU49" s="78"/>
      <c r="CV49" s="78"/>
      <c r="CW49" s="78"/>
      <c r="CX49" s="78"/>
      <c r="CY49" s="78"/>
      <c r="CZ49" s="78"/>
      <c r="DA49" s="44"/>
      <c r="DB49" s="44"/>
      <c r="DC49" s="44"/>
      <c r="DD49" s="43"/>
      <c r="DE49" s="44">
        <v>63</v>
      </c>
      <c r="DF49" s="44">
        <v>76</v>
      </c>
      <c r="DG49" s="44">
        <v>88</v>
      </c>
      <c r="DH49" s="44">
        <f t="shared" ref="DH49:DH53" si="34">SUM(S49:V49)</f>
        <v>70</v>
      </c>
      <c r="DI49" s="44">
        <f>SUM(W49:Z49)</f>
        <v>78</v>
      </c>
      <c r="DJ49" s="44">
        <f t="shared" ref="DJ49:DJ53" si="35">SUM(AA49:AD49)</f>
        <v>84</v>
      </c>
      <c r="DK49" s="44">
        <f>DJ49</f>
        <v>84</v>
      </c>
      <c r="DL49" s="44">
        <f>SUM(AI49:AL49)</f>
        <v>106</v>
      </c>
      <c r="DM49" s="44">
        <f>SUM(AM49:AP49)</f>
        <v>133</v>
      </c>
      <c r="DN49" s="44">
        <f>SUM(AQ49:AT49)</f>
        <v>164</v>
      </c>
      <c r="DO49" s="44">
        <f>SUM(AU49:AX49)</f>
        <v>52</v>
      </c>
      <c r="DP49" s="44">
        <f t="shared" ref="DP49:DT49" si="36">+DO49*0.9</f>
        <v>46.800000000000004</v>
      </c>
      <c r="DQ49" s="44">
        <f t="shared" si="36"/>
        <v>42.120000000000005</v>
      </c>
      <c r="DR49" s="44">
        <f t="shared" si="36"/>
        <v>37.908000000000008</v>
      </c>
      <c r="DS49" s="44">
        <f t="shared" si="36"/>
        <v>34.117200000000011</v>
      </c>
      <c r="DT49" s="44">
        <f t="shared" si="36"/>
        <v>30.705480000000012</v>
      </c>
      <c r="DU49" s="44"/>
      <c r="DV49" s="75">
        <f t="shared" si="7"/>
        <v>306</v>
      </c>
      <c r="DW49" s="75">
        <f t="shared" si="8"/>
        <v>128</v>
      </c>
      <c r="DX49" s="75">
        <f t="shared" si="30"/>
        <v>106</v>
      </c>
      <c r="DY49" s="75">
        <f t="shared" si="31"/>
        <v>340</v>
      </c>
      <c r="DZ49" s="75">
        <f t="shared" si="32"/>
        <v>231</v>
      </c>
      <c r="EA49" s="44"/>
      <c r="EB49" s="44"/>
    </row>
    <row r="50" spans="1:132" s="11" customFormat="1">
      <c r="A50" s="35"/>
      <c r="B50" s="104" t="s">
        <v>351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>
        <v>0</v>
      </c>
      <c r="AB50" s="44">
        <v>16</v>
      </c>
      <c r="AC50" s="44">
        <v>122</v>
      </c>
      <c r="AD50" s="44">
        <v>480</v>
      </c>
      <c r="AE50" s="44">
        <v>519</v>
      </c>
      <c r="AF50" s="44">
        <v>81</v>
      </c>
      <c r="AG50" s="44">
        <v>124</v>
      </c>
      <c r="AH50" s="44">
        <v>506</v>
      </c>
      <c r="AI50" s="44">
        <v>545</v>
      </c>
      <c r="AJ50" s="44">
        <v>54</v>
      </c>
      <c r="AK50" s="56">
        <v>82</v>
      </c>
      <c r="AL50" s="44">
        <v>401</v>
      </c>
      <c r="AM50" s="44">
        <v>459</v>
      </c>
      <c r="AN50" s="44">
        <v>43</v>
      </c>
      <c r="AO50" s="44">
        <v>139</v>
      </c>
      <c r="AP50" s="44">
        <v>397</v>
      </c>
      <c r="AQ50" s="73">
        <v>408</v>
      </c>
      <c r="AR50" s="44">
        <f>AN50</f>
        <v>43</v>
      </c>
      <c r="AS50" s="44">
        <v>108</v>
      </c>
      <c r="AT50" s="44">
        <v>411</v>
      </c>
      <c r="AU50" s="44">
        <v>384</v>
      </c>
      <c r="AV50" s="44"/>
      <c r="AW50" s="44"/>
      <c r="AX50" s="44"/>
      <c r="AY50" s="44">
        <v>404</v>
      </c>
      <c r="AZ50" s="44"/>
      <c r="BA50" s="44"/>
      <c r="BB50" s="44"/>
      <c r="BC50" s="44">
        <v>328</v>
      </c>
      <c r="BD50" s="44">
        <v>47</v>
      </c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>
        <v>234</v>
      </c>
      <c r="BS50" s="44">
        <v>224</v>
      </c>
      <c r="BT50" s="44">
        <v>26</v>
      </c>
      <c r="BU50" s="44">
        <v>164</v>
      </c>
      <c r="BV50" s="44">
        <v>251</v>
      </c>
      <c r="BW50" s="78">
        <v>53</v>
      </c>
      <c r="BX50" s="78">
        <v>96</v>
      </c>
      <c r="BY50" s="78">
        <v>146</v>
      </c>
      <c r="BZ50" s="78">
        <v>63</v>
      </c>
      <c r="CA50" s="78">
        <v>85</v>
      </c>
      <c r="CB50" s="78">
        <v>90</v>
      </c>
      <c r="CC50" s="78">
        <v>118</v>
      </c>
      <c r="CD50" s="78">
        <v>78</v>
      </c>
      <c r="CE50" s="78">
        <v>24</v>
      </c>
      <c r="CF50" s="78">
        <v>24</v>
      </c>
      <c r="CG50" s="78">
        <v>122</v>
      </c>
      <c r="CH50" s="78">
        <v>239</v>
      </c>
      <c r="CI50" s="78">
        <v>200</v>
      </c>
      <c r="CJ50" s="78">
        <v>80</v>
      </c>
      <c r="CK50" s="78">
        <v>104</v>
      </c>
      <c r="CL50" s="78">
        <v>194</v>
      </c>
      <c r="CM50" s="78">
        <v>198</v>
      </c>
      <c r="CN50" s="78">
        <v>87</v>
      </c>
      <c r="CO50" s="78">
        <v>99</v>
      </c>
      <c r="CP50" s="78">
        <v>164</v>
      </c>
      <c r="CQ50" s="78">
        <v>171</v>
      </c>
      <c r="CR50" s="78">
        <v>81</v>
      </c>
      <c r="CS50" s="78"/>
      <c r="CT50" s="78"/>
      <c r="CU50" s="78"/>
      <c r="CV50" s="78"/>
      <c r="CW50" s="78"/>
      <c r="CX50" s="78"/>
      <c r="CY50" s="78"/>
      <c r="CZ50" s="78"/>
      <c r="DA50" s="44"/>
      <c r="DB50" s="44"/>
      <c r="DC50" s="44"/>
      <c r="DD50" s="43"/>
      <c r="DE50" s="44"/>
      <c r="DF50" s="44"/>
      <c r="DG50" s="44"/>
      <c r="DH50" s="44"/>
      <c r="DI50" s="44"/>
      <c r="DJ50" s="44">
        <f>SUM(AA50:AD50)</f>
        <v>618</v>
      </c>
      <c r="DK50" s="44">
        <f>SUM(AE50:AH50)</f>
        <v>1230</v>
      </c>
      <c r="DL50" s="44">
        <f>SUM(AI50:AL50)</f>
        <v>1082</v>
      </c>
      <c r="DM50" s="44">
        <f>SUM(AM50:AP50)</f>
        <v>1038</v>
      </c>
      <c r="DN50" s="44">
        <f>SUM(AQ50:AT50)</f>
        <v>970</v>
      </c>
      <c r="DO50" s="44">
        <f>SUM(AU50:AX50)</f>
        <v>384</v>
      </c>
      <c r="DP50" s="44">
        <f>+DO50*0.98</f>
        <v>376.32</v>
      </c>
      <c r="DQ50" s="44">
        <f t="shared" ref="DQ50:DT50" si="37">+DP50*0.98</f>
        <v>368.79359999999997</v>
      </c>
      <c r="DR50" s="44">
        <f t="shared" si="37"/>
        <v>361.41772799999995</v>
      </c>
      <c r="DS50" s="44">
        <f t="shared" si="37"/>
        <v>354.18937343999994</v>
      </c>
      <c r="DT50" s="44">
        <f t="shared" si="37"/>
        <v>347.10558597119996</v>
      </c>
      <c r="DU50" s="44"/>
      <c r="DV50" s="75">
        <f t="shared" si="7"/>
        <v>358</v>
      </c>
      <c r="DW50" s="75">
        <f t="shared" si="8"/>
        <v>371</v>
      </c>
      <c r="DX50" s="75">
        <f t="shared" si="30"/>
        <v>409</v>
      </c>
      <c r="DY50" s="75">
        <f t="shared" si="31"/>
        <v>578</v>
      </c>
      <c r="DZ50" s="75">
        <f t="shared" si="32"/>
        <v>548</v>
      </c>
      <c r="EA50" s="44"/>
      <c r="EB50" s="44"/>
    </row>
    <row r="51" spans="1:132" s="11" customFormat="1">
      <c r="A51" s="35"/>
      <c r="B51" s="104" t="s">
        <v>38</v>
      </c>
      <c r="C51" s="44">
        <v>41</v>
      </c>
      <c r="D51" s="44">
        <v>40</v>
      </c>
      <c r="E51" s="44">
        <v>34</v>
      </c>
      <c r="F51" s="44">
        <v>40</v>
      </c>
      <c r="G51" s="44">
        <v>35</v>
      </c>
      <c r="H51" s="44">
        <v>37</v>
      </c>
      <c r="I51" s="44">
        <v>34</v>
      </c>
      <c r="J51" s="44">
        <v>38</v>
      </c>
      <c r="K51" s="44">
        <v>38</v>
      </c>
      <c r="L51" s="44">
        <v>36</v>
      </c>
      <c r="M51" s="44">
        <v>36</v>
      </c>
      <c r="N51" s="44">
        <v>43</v>
      </c>
      <c r="O51" s="44">
        <v>42</v>
      </c>
      <c r="P51" s="44">
        <v>41</v>
      </c>
      <c r="Q51" s="44">
        <v>35</v>
      </c>
      <c r="R51" s="44">
        <v>40</v>
      </c>
      <c r="S51" s="44">
        <v>42</v>
      </c>
      <c r="T51" s="44">
        <v>39</v>
      </c>
      <c r="U51" s="44">
        <v>34</v>
      </c>
      <c r="V51" s="44">
        <v>40</v>
      </c>
      <c r="W51" s="44">
        <v>35</v>
      </c>
      <c r="X51" s="44">
        <v>37</v>
      </c>
      <c r="Y51" s="44">
        <v>33</v>
      </c>
      <c r="Z51" s="44">
        <v>41</v>
      </c>
      <c r="AA51" s="44">
        <v>42</v>
      </c>
      <c r="AB51" s="44">
        <v>40</v>
      </c>
      <c r="AC51" s="44">
        <v>39</v>
      </c>
      <c r="AD51" s="44">
        <v>45</v>
      </c>
      <c r="AE51" s="44">
        <v>43</v>
      </c>
      <c r="AF51" s="44">
        <v>45</v>
      </c>
      <c r="AG51" s="44">
        <v>38</v>
      </c>
      <c r="AH51" s="44">
        <v>37</v>
      </c>
      <c r="AI51" s="44">
        <v>36</v>
      </c>
      <c r="AJ51" s="44">
        <v>31</v>
      </c>
      <c r="AK51" s="56">
        <v>31</v>
      </c>
      <c r="AL51" s="44">
        <v>37</v>
      </c>
      <c r="AM51" s="44">
        <v>69</v>
      </c>
      <c r="AN51" s="44">
        <v>64</v>
      </c>
      <c r="AO51" s="44">
        <v>61</v>
      </c>
      <c r="AP51" s="44">
        <v>60</v>
      </c>
      <c r="AQ51" s="73">
        <v>55</v>
      </c>
      <c r="AR51" s="44">
        <f>AQ51</f>
        <v>55</v>
      </c>
      <c r="AS51" s="44">
        <v>52</v>
      </c>
      <c r="AT51" s="44">
        <v>54</v>
      </c>
      <c r="AU51" s="44">
        <v>48</v>
      </c>
      <c r="AV51" s="44"/>
      <c r="AW51" s="44"/>
      <c r="AX51" s="44"/>
      <c r="AY51" s="44"/>
      <c r="AZ51" s="44"/>
      <c r="BA51" s="44"/>
      <c r="BB51" s="44"/>
      <c r="BC51" s="44">
        <v>80</v>
      </c>
      <c r="BD51" s="44">
        <v>75</v>
      </c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>
        <v>85</v>
      </c>
      <c r="BS51" s="44">
        <v>75</v>
      </c>
      <c r="BT51" s="44">
        <v>88</v>
      </c>
      <c r="BU51" s="44">
        <v>70</v>
      </c>
      <c r="BV51" s="44">
        <v>107</v>
      </c>
      <c r="BW51" s="78">
        <v>128</v>
      </c>
      <c r="BX51" s="78">
        <v>101</v>
      </c>
      <c r="BY51" s="78">
        <v>102</v>
      </c>
      <c r="BZ51" s="78">
        <v>135</v>
      </c>
      <c r="CA51" s="78">
        <v>113</v>
      </c>
      <c r="CB51" s="78">
        <v>70</v>
      </c>
      <c r="CC51" s="78">
        <v>90</v>
      </c>
      <c r="CD51" s="78">
        <v>125</v>
      </c>
      <c r="CE51" s="78">
        <v>160</v>
      </c>
      <c r="CF51" s="78">
        <v>130</v>
      </c>
      <c r="CG51" s="78">
        <v>153</v>
      </c>
      <c r="CH51" s="78">
        <v>150</v>
      </c>
      <c r="CI51" s="78">
        <v>146</v>
      </c>
      <c r="CJ51" s="78">
        <v>107</v>
      </c>
      <c r="CK51" s="78">
        <v>97</v>
      </c>
      <c r="CL51" s="78">
        <v>70</v>
      </c>
      <c r="CM51" s="78">
        <v>106</v>
      </c>
      <c r="CN51" s="78">
        <v>71</v>
      </c>
      <c r="CO51" s="78">
        <v>67</v>
      </c>
      <c r="CP51" s="78">
        <v>80</v>
      </c>
      <c r="CQ51" s="78">
        <v>98</v>
      </c>
      <c r="CR51" s="78">
        <v>83</v>
      </c>
      <c r="CS51" s="78"/>
      <c r="CT51" s="78"/>
      <c r="CU51" s="78"/>
      <c r="CV51" s="78"/>
      <c r="CW51" s="78"/>
      <c r="CX51" s="78"/>
      <c r="CY51" s="78"/>
      <c r="CZ51" s="78"/>
      <c r="DA51" s="44"/>
      <c r="DB51" s="44"/>
      <c r="DC51" s="44"/>
      <c r="DD51" s="43"/>
      <c r="DE51" s="44">
        <v>144</v>
      </c>
      <c r="DF51" s="44">
        <v>153</v>
      </c>
      <c r="DG51" s="44">
        <v>158</v>
      </c>
      <c r="DH51" s="44">
        <f>SUM(S51:V51)</f>
        <v>155</v>
      </c>
      <c r="DI51" s="44">
        <f>SUM(W51:Z51)</f>
        <v>146</v>
      </c>
      <c r="DJ51" s="44">
        <f>SUM(AA51:AD51)</f>
        <v>166</v>
      </c>
      <c r="DK51" s="44">
        <f>DJ51</f>
        <v>166</v>
      </c>
      <c r="DL51" s="44">
        <f>SUM(AI51:AL51)</f>
        <v>135</v>
      </c>
      <c r="DM51" s="44">
        <f>SUM(AM51:AP51)</f>
        <v>254</v>
      </c>
      <c r="DN51" s="44">
        <f>SUM(AQ51:AT51)</f>
        <v>216</v>
      </c>
      <c r="DO51" s="44">
        <f>SUM(AU51:AX51)</f>
        <v>48</v>
      </c>
      <c r="DP51" s="44">
        <f>+DO51*0.9</f>
        <v>43.2</v>
      </c>
      <c r="DQ51" s="44">
        <f t="shared" ref="DQ51:DT51" si="38">+DP51*0.9</f>
        <v>38.880000000000003</v>
      </c>
      <c r="DR51" s="44">
        <f t="shared" si="38"/>
        <v>34.992000000000004</v>
      </c>
      <c r="DS51" s="44">
        <f t="shared" si="38"/>
        <v>31.492800000000006</v>
      </c>
      <c r="DT51" s="44">
        <f t="shared" si="38"/>
        <v>28.343520000000005</v>
      </c>
      <c r="DU51" s="44"/>
      <c r="DV51" s="75">
        <f t="shared" si="7"/>
        <v>466</v>
      </c>
      <c r="DW51" s="75">
        <f t="shared" si="8"/>
        <v>398</v>
      </c>
      <c r="DX51" s="75">
        <f t="shared" si="30"/>
        <v>593</v>
      </c>
      <c r="DY51" s="75">
        <f t="shared" si="31"/>
        <v>420</v>
      </c>
      <c r="DZ51" s="75">
        <f t="shared" si="32"/>
        <v>324</v>
      </c>
      <c r="EA51" s="44"/>
      <c r="EB51" s="44"/>
    </row>
    <row r="52" spans="1:132" s="11" customFormat="1">
      <c r="A52" s="35"/>
      <c r="B52" s="104" t="s">
        <v>549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56"/>
      <c r="AL52" s="44"/>
      <c r="AM52" s="44"/>
      <c r="AN52" s="44"/>
      <c r="AO52" s="44"/>
      <c r="AP52" s="44"/>
      <c r="AQ52" s="73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78"/>
      <c r="BX52" s="78"/>
      <c r="BY52" s="78"/>
      <c r="BZ52" s="78">
        <v>414</v>
      </c>
      <c r="CA52" s="78">
        <v>43</v>
      </c>
      <c r="CB52" s="78">
        <v>227</v>
      </c>
      <c r="CC52" s="78">
        <v>58</v>
      </c>
      <c r="CD52" s="78">
        <v>399</v>
      </c>
      <c r="CE52" s="78">
        <v>63</v>
      </c>
      <c r="CF52" s="78">
        <v>175</v>
      </c>
      <c r="CG52" s="78">
        <v>125</v>
      </c>
      <c r="CH52" s="78">
        <v>513</v>
      </c>
      <c r="CI52" s="78">
        <v>410</v>
      </c>
      <c r="CJ52" s="78">
        <v>141</v>
      </c>
      <c r="CK52" s="78">
        <v>392</v>
      </c>
      <c r="CL52" s="78">
        <v>409</v>
      </c>
      <c r="CM52" s="78">
        <f>27+286</f>
        <v>313</v>
      </c>
      <c r="CN52" s="78">
        <f>341+193</f>
        <v>534</v>
      </c>
      <c r="CO52" s="78">
        <f>377+97</f>
        <v>474</v>
      </c>
      <c r="CP52" s="78">
        <f>277+424</f>
        <v>701</v>
      </c>
      <c r="CQ52" s="78">
        <v>457</v>
      </c>
      <c r="CR52" s="78"/>
      <c r="CS52" s="78"/>
      <c r="CT52" s="78"/>
      <c r="CU52" s="78"/>
      <c r="CV52" s="78"/>
      <c r="CW52" s="78"/>
      <c r="CX52" s="78"/>
      <c r="CY52" s="78"/>
      <c r="CZ52" s="78"/>
      <c r="DA52" s="44"/>
      <c r="DB52" s="44"/>
      <c r="DC52" s="44"/>
      <c r="DD52" s="43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>
        <v>50</v>
      </c>
      <c r="DQ52" s="44">
        <v>200</v>
      </c>
      <c r="DR52" s="44">
        <v>250</v>
      </c>
      <c r="DS52" s="44">
        <v>300</v>
      </c>
      <c r="DT52" s="44">
        <f>+DS52*1.1</f>
        <v>330</v>
      </c>
      <c r="DU52" s="44"/>
      <c r="DV52" s="75">
        <f t="shared" si="7"/>
        <v>414</v>
      </c>
      <c r="DW52" s="75">
        <f t="shared" si="8"/>
        <v>727</v>
      </c>
      <c r="DX52" s="75">
        <f t="shared" si="30"/>
        <v>876</v>
      </c>
      <c r="DY52" s="75">
        <f t="shared" si="31"/>
        <v>1352</v>
      </c>
      <c r="DZ52" s="75">
        <f t="shared" si="32"/>
        <v>2022</v>
      </c>
      <c r="EA52" s="44"/>
      <c r="EB52" s="44"/>
    </row>
    <row r="53" spans="1:132" s="11" customFormat="1">
      <c r="A53" s="35"/>
      <c r="B53" s="104" t="s">
        <v>297</v>
      </c>
      <c r="C53" s="44">
        <v>1467</v>
      </c>
      <c r="D53" s="44">
        <v>1345</v>
      </c>
      <c r="E53" s="44">
        <v>1394</v>
      </c>
      <c r="F53" s="44">
        <v>1372</v>
      </c>
      <c r="G53" s="44">
        <v>1192</v>
      </c>
      <c r="H53" s="44">
        <v>1116</v>
      </c>
      <c r="I53" s="44">
        <v>1200</v>
      </c>
      <c r="J53" s="44">
        <v>1115</v>
      </c>
      <c r="K53" s="44">
        <v>692</v>
      </c>
      <c r="L53" s="44">
        <v>742</v>
      </c>
      <c r="M53" s="44">
        <v>631</v>
      </c>
      <c r="N53" s="44">
        <v>500</v>
      </c>
      <c r="O53" s="44">
        <v>540</v>
      </c>
      <c r="P53" s="44">
        <v>531</v>
      </c>
      <c r="Q53" s="44">
        <v>430</v>
      </c>
      <c r="R53" s="44">
        <v>446</v>
      </c>
      <c r="S53" s="44">
        <v>427</v>
      </c>
      <c r="T53" s="44">
        <v>438</v>
      </c>
      <c r="U53" s="44">
        <v>376</v>
      </c>
      <c r="V53" s="44">
        <v>411</v>
      </c>
      <c r="W53" s="44">
        <f>700-X53</f>
        <v>344</v>
      </c>
      <c r="X53" s="44">
        <v>356</v>
      </c>
      <c r="Y53" s="44">
        <v>324</v>
      </c>
      <c r="Z53" s="44">
        <v>347</v>
      </c>
      <c r="AA53" s="44">
        <f>577-AB53</f>
        <v>279</v>
      </c>
      <c r="AB53" s="44">
        <v>298</v>
      </c>
      <c r="AC53" s="44">
        <v>268</v>
      </c>
      <c r="AD53" s="44">
        <v>298</v>
      </c>
      <c r="AE53" s="44">
        <v>252</v>
      </c>
      <c r="AF53" s="44">
        <v>290</v>
      </c>
      <c r="AG53" s="44">
        <v>249</v>
      </c>
      <c r="AH53" s="44">
        <v>264</v>
      </c>
      <c r="AI53" s="44">
        <v>211</v>
      </c>
      <c r="AJ53" s="44">
        <v>245</v>
      </c>
      <c r="AK53" s="56">
        <v>240</v>
      </c>
      <c r="AL53" s="44">
        <v>250</v>
      </c>
      <c r="AM53" s="44">
        <f>18+67+99+65</f>
        <v>249</v>
      </c>
      <c r="AN53" s="44">
        <v>261</v>
      </c>
      <c r="AO53" s="44">
        <v>233</v>
      </c>
      <c r="AP53" s="44">
        <v>243</v>
      </c>
      <c r="AQ53" s="73">
        <v>235</v>
      </c>
      <c r="AR53" s="44">
        <f t="shared" ref="AR53" si="39">AQ53-5</f>
        <v>230</v>
      </c>
      <c r="AS53" s="44">
        <v>224</v>
      </c>
      <c r="AT53" s="44">
        <v>248</v>
      </c>
      <c r="AU53" s="44">
        <v>170</v>
      </c>
      <c r="AV53" s="44"/>
      <c r="AW53" s="44"/>
      <c r="AX53" s="44"/>
      <c r="AY53" s="44">
        <v>125</v>
      </c>
      <c r="AZ53" s="44"/>
      <c r="BA53" s="44"/>
      <c r="BB53" s="44"/>
      <c r="BC53" s="44">
        <v>110</v>
      </c>
      <c r="BD53" s="44">
        <v>105</v>
      </c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>
        <v>69</v>
      </c>
      <c r="BS53" s="44">
        <v>69</v>
      </c>
      <c r="BT53" s="44">
        <v>76</v>
      </c>
      <c r="BU53" s="44">
        <v>67</v>
      </c>
      <c r="BV53" s="44">
        <v>60</v>
      </c>
      <c r="BW53" s="78">
        <v>76</v>
      </c>
      <c r="BX53" s="78">
        <v>68</v>
      </c>
      <c r="BY53" s="78">
        <v>73</v>
      </c>
      <c r="BZ53" s="78">
        <v>46</v>
      </c>
      <c r="CA53" s="78">
        <v>54</v>
      </c>
      <c r="CB53" s="78">
        <v>45</v>
      </c>
      <c r="CC53" s="78">
        <v>45</v>
      </c>
      <c r="CD53" s="78">
        <v>39</v>
      </c>
      <c r="CE53" s="78">
        <v>54</v>
      </c>
      <c r="CF53" s="78">
        <v>46</v>
      </c>
      <c r="CG53" s="78">
        <v>38</v>
      </c>
      <c r="CH53" s="78">
        <v>41</v>
      </c>
      <c r="CI53" s="78">
        <v>0</v>
      </c>
      <c r="CJ53" s="78">
        <v>0</v>
      </c>
      <c r="CK53" s="78">
        <v>0</v>
      </c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44"/>
      <c r="DB53" s="44"/>
      <c r="DC53" s="44"/>
      <c r="DD53" s="43"/>
      <c r="DE53" s="44">
        <v>4623</v>
      </c>
      <c r="DF53" s="44">
        <v>2565</v>
      </c>
      <c r="DG53" s="44">
        <v>1947</v>
      </c>
      <c r="DH53" s="44">
        <f t="shared" si="34"/>
        <v>1652</v>
      </c>
      <c r="DI53" s="44">
        <f t="shared" ref="DI53:DI65" si="40">SUM(W53:Z53)</f>
        <v>1371</v>
      </c>
      <c r="DJ53" s="44">
        <f t="shared" si="35"/>
        <v>1143</v>
      </c>
      <c r="DK53" s="44">
        <f>SUM(AE53:AH53)</f>
        <v>1055</v>
      </c>
      <c r="DL53" s="44">
        <f>SUM(AI53:AL53)</f>
        <v>946</v>
      </c>
      <c r="DM53" s="44">
        <f t="shared" ref="DM53:DM70" si="41">SUM(AM53:AP53)</f>
        <v>986</v>
      </c>
      <c r="DN53" s="44">
        <f t="shared" ref="DN53:DN71" si="42">SUM(AQ53:AT53)</f>
        <v>937</v>
      </c>
      <c r="DO53" s="44">
        <f t="shared" ref="DO53:DO63" si="43">SUM(AU53:AX53)</f>
        <v>170</v>
      </c>
      <c r="DP53" s="44">
        <f>DO53*0.8</f>
        <v>136</v>
      </c>
      <c r="DQ53" s="44">
        <f t="shared" ref="DQ53:DT53" si="44">DP53*0.8</f>
        <v>108.80000000000001</v>
      </c>
      <c r="DR53" s="44">
        <f t="shared" si="44"/>
        <v>87.04000000000002</v>
      </c>
      <c r="DS53" s="44">
        <f t="shared" si="44"/>
        <v>69.632000000000019</v>
      </c>
      <c r="DT53" s="44">
        <f t="shared" si="44"/>
        <v>55.705600000000018</v>
      </c>
      <c r="DU53" s="44"/>
      <c r="DV53" s="75">
        <f t="shared" si="7"/>
        <v>263</v>
      </c>
      <c r="DW53" s="75">
        <f t="shared" si="8"/>
        <v>183</v>
      </c>
      <c r="DX53" s="75">
        <f t="shared" si="30"/>
        <v>179</v>
      </c>
      <c r="DY53" s="75">
        <f t="shared" si="31"/>
        <v>0</v>
      </c>
      <c r="DZ53" s="75">
        <f t="shared" si="32"/>
        <v>0</v>
      </c>
      <c r="EA53" s="44"/>
      <c r="EB53" s="44"/>
    </row>
    <row r="54" spans="1:132" s="11" customFormat="1">
      <c r="A54" s="35"/>
      <c r="B54" s="104" t="s">
        <v>479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56"/>
      <c r="AL54" s="44"/>
      <c r="AM54" s="44"/>
      <c r="AN54" s="44"/>
      <c r="AO54" s="44"/>
      <c r="AP54" s="44"/>
      <c r="AQ54" s="73"/>
      <c r="AR54" s="44"/>
      <c r="AS54" s="44"/>
      <c r="AT54" s="44"/>
      <c r="AU54" s="44"/>
      <c r="AV54" s="44"/>
      <c r="AW54" s="44"/>
      <c r="AX54" s="44"/>
      <c r="AY54" s="44">
        <v>42</v>
      </c>
      <c r="AZ54" s="44">
        <v>53</v>
      </c>
      <c r="BA54" s="44"/>
      <c r="BB54" s="44"/>
      <c r="BC54" s="44">
        <v>78</v>
      </c>
      <c r="BD54" s="44">
        <v>88</v>
      </c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>
        <v>48</v>
      </c>
      <c r="BS54" s="44">
        <v>31</v>
      </c>
      <c r="BT54" s="44">
        <v>29</v>
      </c>
      <c r="BU54" s="44">
        <v>34</v>
      </c>
      <c r="BV54" s="44">
        <v>32</v>
      </c>
      <c r="BW54" s="78">
        <v>30</v>
      </c>
      <c r="BX54" s="78">
        <v>25</v>
      </c>
      <c r="BY54" s="78">
        <v>28</v>
      </c>
      <c r="BZ54" s="78">
        <v>27</v>
      </c>
      <c r="CA54" s="78">
        <v>20</v>
      </c>
      <c r="CB54" s="78">
        <v>15</v>
      </c>
      <c r="CC54" s="78">
        <v>15</v>
      </c>
      <c r="CD54" s="78">
        <v>19</v>
      </c>
      <c r="CE54" s="78">
        <v>16</v>
      </c>
      <c r="CF54" s="78">
        <v>16</v>
      </c>
      <c r="CG54" s="78">
        <v>13</v>
      </c>
      <c r="CH54" s="78">
        <v>10</v>
      </c>
      <c r="CI54" s="78">
        <v>0</v>
      </c>
      <c r="CJ54" s="78">
        <v>0</v>
      </c>
      <c r="CK54" s="78">
        <v>0</v>
      </c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44"/>
      <c r="DB54" s="44"/>
      <c r="DC54" s="44"/>
      <c r="DD54" s="43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>
        <v>400</v>
      </c>
      <c r="DP54" s="44">
        <f>+DO54*1.2</f>
        <v>480</v>
      </c>
      <c r="DQ54" s="44">
        <f>+DP54*1.2</f>
        <v>576</v>
      </c>
      <c r="DR54" s="44">
        <f>+DQ54*1.1</f>
        <v>633.6</v>
      </c>
      <c r="DS54" s="44">
        <f>+DR54*1.1</f>
        <v>696.96</v>
      </c>
      <c r="DT54" s="44">
        <f>+DS54*1.1</f>
        <v>766.65600000000006</v>
      </c>
      <c r="DU54" s="44"/>
      <c r="DV54" s="75">
        <f t="shared" si="7"/>
        <v>110</v>
      </c>
      <c r="DW54" s="75">
        <f t="shared" si="8"/>
        <v>69</v>
      </c>
      <c r="DX54" s="75">
        <f t="shared" si="30"/>
        <v>55</v>
      </c>
      <c r="DY54" s="75">
        <f t="shared" si="31"/>
        <v>0</v>
      </c>
      <c r="DZ54" s="75">
        <f t="shared" si="32"/>
        <v>0</v>
      </c>
      <c r="EA54" s="44"/>
      <c r="EB54" s="44"/>
    </row>
    <row r="55" spans="1:132" s="11" customFormat="1">
      <c r="A55" s="35"/>
      <c r="B55" s="104" t="s">
        <v>447</v>
      </c>
      <c r="C55" s="44">
        <v>82</v>
      </c>
      <c r="D55" s="44">
        <v>112</v>
      </c>
      <c r="E55" s="44">
        <v>92</v>
      </c>
      <c r="F55" s="44">
        <v>124</v>
      </c>
      <c r="G55" s="44">
        <v>149</v>
      </c>
      <c r="H55" s="44">
        <v>129</v>
      </c>
      <c r="I55" s="44">
        <v>131</v>
      </c>
      <c r="J55" s="44">
        <v>160</v>
      </c>
      <c r="K55" s="44">
        <v>206</v>
      </c>
      <c r="L55" s="44">
        <v>152</v>
      </c>
      <c r="M55" s="44">
        <v>185</v>
      </c>
      <c r="N55" s="44">
        <v>207</v>
      </c>
      <c r="O55" s="44">
        <v>209</v>
      </c>
      <c r="P55" s="44">
        <v>216</v>
      </c>
      <c r="Q55" s="44">
        <v>214</v>
      </c>
      <c r="R55" s="44">
        <v>240</v>
      </c>
      <c r="S55" s="44">
        <v>235</v>
      </c>
      <c r="T55" s="44">
        <v>254</v>
      </c>
      <c r="U55" s="44">
        <v>238</v>
      </c>
      <c r="V55" s="44">
        <v>247</v>
      </c>
      <c r="W55" s="44">
        <f>530-X55</f>
        <v>254</v>
      </c>
      <c r="X55" s="44">
        <v>276</v>
      </c>
      <c r="Y55" s="44">
        <v>279</v>
      </c>
      <c r="Z55" s="44">
        <v>301</v>
      </c>
      <c r="AA55" s="44">
        <f>614-AB55</f>
        <v>296</v>
      </c>
      <c r="AB55" s="44">
        <v>318</v>
      </c>
      <c r="AC55" s="44">
        <v>320</v>
      </c>
      <c r="AD55" s="44">
        <v>353</v>
      </c>
      <c r="AE55" s="44">
        <v>346</v>
      </c>
      <c r="AF55" s="44">
        <v>388</v>
      </c>
      <c r="AG55" s="44">
        <v>386</v>
      </c>
      <c r="AH55" s="44">
        <v>351</v>
      </c>
      <c r="AI55" s="44">
        <v>323</v>
      </c>
      <c r="AJ55" s="44">
        <v>356</v>
      </c>
      <c r="AK55" s="56">
        <v>370</v>
      </c>
      <c r="AL55" s="44">
        <v>387</v>
      </c>
      <c r="AM55" s="44">
        <f>56+195+53+69</f>
        <v>373</v>
      </c>
      <c r="AN55" s="44">
        <v>376</v>
      </c>
      <c r="AO55" s="44">
        <v>359</v>
      </c>
      <c r="AP55" s="44">
        <v>375</v>
      </c>
      <c r="AQ55" s="73">
        <v>355</v>
      </c>
      <c r="AR55" s="44">
        <f>AQ55-5</f>
        <v>350</v>
      </c>
      <c r="AS55" s="44">
        <v>364</v>
      </c>
      <c r="AT55" s="44">
        <v>346</v>
      </c>
      <c r="AU55" s="44">
        <v>317</v>
      </c>
      <c r="AV55" s="44"/>
      <c r="AW55" s="44"/>
      <c r="AX55" s="44"/>
      <c r="AY55" s="44">
        <v>168</v>
      </c>
      <c r="AZ55" s="44">
        <v>166</v>
      </c>
      <c r="BA55" s="44"/>
      <c r="BB55" s="44"/>
      <c r="BC55" s="44">
        <v>122</v>
      </c>
      <c r="BD55" s="44">
        <v>139</v>
      </c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>
        <v>73</v>
      </c>
      <c r="BS55" s="44">
        <v>71</v>
      </c>
      <c r="BT55" s="44">
        <v>66</v>
      </c>
      <c r="BU55" s="44">
        <v>65</v>
      </c>
      <c r="BV55" s="44">
        <v>58</v>
      </c>
      <c r="BW55" s="78">
        <v>50</v>
      </c>
      <c r="BX55" s="78">
        <v>56</v>
      </c>
      <c r="BY55" s="78">
        <v>55</v>
      </c>
      <c r="BZ55" s="78">
        <v>60</v>
      </c>
      <c r="CA55" s="78">
        <v>66</v>
      </c>
      <c r="CB55" s="78">
        <v>59</v>
      </c>
      <c r="CC55" s="78">
        <v>54</v>
      </c>
      <c r="CD55" s="78">
        <v>63</v>
      </c>
      <c r="CE55" s="78">
        <v>34</v>
      </c>
      <c r="CF55" s="78">
        <v>23</v>
      </c>
      <c r="CG55" s="78">
        <v>19</v>
      </c>
      <c r="CH55" s="78">
        <v>21</v>
      </c>
      <c r="CI55" s="78">
        <v>0</v>
      </c>
      <c r="CJ55" s="78">
        <v>0</v>
      </c>
      <c r="CK55" s="78">
        <v>0</v>
      </c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44"/>
      <c r="DB55" s="44"/>
      <c r="DC55" s="44"/>
      <c r="DD55" s="43"/>
      <c r="DE55" s="44">
        <v>569</v>
      </c>
      <c r="DF55" s="44">
        <v>750</v>
      </c>
      <c r="DG55" s="44">
        <v>879</v>
      </c>
      <c r="DH55" s="44">
        <f>SUM(S55:V55)</f>
        <v>974</v>
      </c>
      <c r="DI55" s="44">
        <f>SUM(W55:Z55)</f>
        <v>1110</v>
      </c>
      <c r="DJ55" s="44">
        <f>SUM(AA55:AD55)</f>
        <v>1287</v>
      </c>
      <c r="DK55" s="44">
        <f>SUM(AE55:AH55)</f>
        <v>1471</v>
      </c>
      <c r="DL55" s="44">
        <f>SUM(AI55:AL55)</f>
        <v>1436</v>
      </c>
      <c r="DM55" s="44">
        <f>SUM(AM55:AP55)</f>
        <v>1483</v>
      </c>
      <c r="DN55" s="44">
        <f>SUM(AQ55:AT55)</f>
        <v>1415</v>
      </c>
      <c r="DO55" s="44">
        <f>SUM(AU55:AX55)</f>
        <v>317</v>
      </c>
      <c r="DP55" s="44">
        <f>+DO55*0.8</f>
        <v>253.60000000000002</v>
      </c>
      <c r="DQ55" s="44">
        <f t="shared" ref="DQ55:DT55" si="45">+DP55*0.8</f>
        <v>202.88000000000002</v>
      </c>
      <c r="DR55" s="44">
        <f t="shared" si="45"/>
        <v>162.30400000000003</v>
      </c>
      <c r="DS55" s="44">
        <f t="shared" si="45"/>
        <v>129.84320000000002</v>
      </c>
      <c r="DT55" s="44">
        <f t="shared" si="45"/>
        <v>103.87456000000003</v>
      </c>
      <c r="DU55" s="44"/>
      <c r="DV55" s="75">
        <f t="shared" si="7"/>
        <v>221</v>
      </c>
      <c r="DW55" s="75">
        <f t="shared" si="8"/>
        <v>242</v>
      </c>
      <c r="DX55" s="75">
        <f t="shared" si="30"/>
        <v>97</v>
      </c>
      <c r="DY55" s="75">
        <f t="shared" si="31"/>
        <v>0</v>
      </c>
      <c r="DZ55" s="75">
        <f t="shared" si="32"/>
        <v>0</v>
      </c>
      <c r="EA55" s="44"/>
      <c r="EB55" s="44"/>
    </row>
    <row r="56" spans="1:132" s="11" customFormat="1">
      <c r="A56" s="35"/>
      <c r="B56" s="104" t="s">
        <v>459</v>
      </c>
      <c r="C56" s="44">
        <v>185</v>
      </c>
      <c r="D56" s="44">
        <v>165</v>
      </c>
      <c r="E56" s="44">
        <v>165</v>
      </c>
      <c r="F56" s="44">
        <v>170</v>
      </c>
      <c r="G56" s="44">
        <v>329</v>
      </c>
      <c r="H56" s="44">
        <v>263</v>
      </c>
      <c r="I56" s="44">
        <v>196</v>
      </c>
      <c r="J56" s="44">
        <v>357</v>
      </c>
      <c r="K56" s="44">
        <v>444</v>
      </c>
      <c r="L56" s="44">
        <v>270</v>
      </c>
      <c r="M56" s="44">
        <v>345</v>
      </c>
      <c r="N56" s="44">
        <v>428</v>
      </c>
      <c r="O56" s="44">
        <v>448</v>
      </c>
      <c r="P56" s="44">
        <v>488</v>
      </c>
      <c r="Q56" s="44">
        <v>529</v>
      </c>
      <c r="R56" s="44">
        <v>562</v>
      </c>
      <c r="S56" s="44">
        <v>633</v>
      </c>
      <c r="T56" s="44">
        <v>667</v>
      </c>
      <c r="U56" s="44">
        <v>706</v>
      </c>
      <c r="V56" s="44">
        <v>755</v>
      </c>
      <c r="W56" s="44">
        <v>807</v>
      </c>
      <c r="X56" s="44">
        <v>849</v>
      </c>
      <c r="Y56" s="44">
        <v>848</v>
      </c>
      <c r="Z56" s="44">
        <v>912</v>
      </c>
      <c r="AA56" s="44">
        <v>923</v>
      </c>
      <c r="AB56" s="44">
        <v>963</v>
      </c>
      <c r="AC56" s="44">
        <v>1055</v>
      </c>
      <c r="AD56" s="44">
        <v>1086</v>
      </c>
      <c r="AE56" s="44">
        <v>1050</v>
      </c>
      <c r="AF56" s="44">
        <v>1112</v>
      </c>
      <c r="AG56" s="44">
        <v>1130</v>
      </c>
      <c r="AH56" s="44">
        <v>1160</v>
      </c>
      <c r="AI56" s="44">
        <v>1125</v>
      </c>
      <c r="AJ56" s="44">
        <v>1249</v>
      </c>
      <c r="AK56" s="56">
        <v>1231</v>
      </c>
      <c r="AL56" s="44">
        <v>1261</v>
      </c>
      <c r="AM56" s="44">
        <v>1307</v>
      </c>
      <c r="AN56" s="44">
        <f>1049+303</f>
        <v>1352</v>
      </c>
      <c r="AO56" s="44">
        <f>1024+279</f>
        <v>1303</v>
      </c>
      <c r="AP56" s="44">
        <f>1024+316</f>
        <v>1340</v>
      </c>
      <c r="AQ56" s="73">
        <v>1345</v>
      </c>
      <c r="AR56" s="44">
        <f>+AN56*1.03</f>
        <v>1392.56</v>
      </c>
      <c r="AS56" s="44">
        <f>1034+366</f>
        <v>1400</v>
      </c>
      <c r="AT56" s="44">
        <f>1148+398</f>
        <v>1546</v>
      </c>
      <c r="AU56" s="44">
        <f>384+754</f>
        <v>1138</v>
      </c>
      <c r="AV56" s="44"/>
      <c r="AW56" s="44"/>
      <c r="AX56" s="44"/>
      <c r="AY56" s="44">
        <f>322+127</f>
        <v>449</v>
      </c>
      <c r="AZ56" s="44">
        <f>99+339</f>
        <v>438</v>
      </c>
      <c r="BA56" s="44"/>
      <c r="BB56" s="44"/>
      <c r="BC56" s="44">
        <f>66+292</f>
        <v>358</v>
      </c>
      <c r="BD56" s="44">
        <f>304+89</f>
        <v>393</v>
      </c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>
        <v>108</v>
      </c>
      <c r="BS56" s="44">
        <v>53</v>
      </c>
      <c r="BT56" s="44">
        <v>76</v>
      </c>
      <c r="BU56" s="44">
        <v>40</v>
      </c>
      <c r="BV56" s="44">
        <v>56</v>
      </c>
      <c r="BW56" s="78">
        <v>37</v>
      </c>
      <c r="BX56" s="78">
        <v>32</v>
      </c>
      <c r="BY56" s="78">
        <v>82</v>
      </c>
      <c r="BZ56" s="78">
        <v>40</v>
      </c>
      <c r="CA56" s="78">
        <v>36</v>
      </c>
      <c r="CB56" s="78">
        <v>27</v>
      </c>
      <c r="CC56" s="78">
        <v>35</v>
      </c>
      <c r="CD56" s="78">
        <v>19</v>
      </c>
      <c r="CE56" s="78">
        <v>29</v>
      </c>
      <c r="CF56" s="78">
        <v>21</v>
      </c>
      <c r="CG56" s="78">
        <v>24</v>
      </c>
      <c r="CH56" s="78">
        <v>19</v>
      </c>
      <c r="CI56" s="78">
        <v>0</v>
      </c>
      <c r="CJ56" s="78">
        <v>0</v>
      </c>
      <c r="CK56" s="78">
        <v>0</v>
      </c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44"/>
      <c r="DB56" s="44"/>
      <c r="DC56" s="44"/>
      <c r="DD56" s="43"/>
      <c r="DE56" s="44">
        <v>1145</v>
      </c>
      <c r="DF56" s="44">
        <v>1487</v>
      </c>
      <c r="DG56" s="44">
        <v>2027</v>
      </c>
      <c r="DH56" s="44">
        <f>SUM(S56:V56)</f>
        <v>2761</v>
      </c>
      <c r="DI56" s="44">
        <f>SUM(W56:Z56)</f>
        <v>3416</v>
      </c>
      <c r="DJ56" s="44">
        <f>SUM(AA56:AD56)</f>
        <v>4027</v>
      </c>
      <c r="DK56" s="44">
        <f>SUM(AE56:AH56)</f>
        <v>4452</v>
      </c>
      <c r="DL56" s="44">
        <f>SUM(AI56:AL56)</f>
        <v>4866</v>
      </c>
      <c r="DM56" s="44">
        <f>SUM(AM56:AP56)</f>
        <v>5302</v>
      </c>
      <c r="DN56" s="44">
        <f>SUM(AQ56:AT56)</f>
        <v>5683.5599999999995</v>
      </c>
      <c r="DO56" s="44">
        <f>SUM(AU56:AX56)</f>
        <v>1138</v>
      </c>
      <c r="DP56" s="44">
        <f>DO56*0.5</f>
        <v>569</v>
      </c>
      <c r="DQ56" s="44">
        <f>DP56*0.7</f>
        <v>398.29999999999995</v>
      </c>
      <c r="DR56" s="44">
        <f>DQ56*0.5</f>
        <v>199.14999999999998</v>
      </c>
      <c r="DS56" s="44">
        <f>DR56*0.8</f>
        <v>159.32</v>
      </c>
      <c r="DT56" s="44">
        <f>DS56*0.8</f>
        <v>127.456</v>
      </c>
      <c r="DU56" s="44"/>
      <c r="DV56" s="75">
        <f t="shared" si="7"/>
        <v>191</v>
      </c>
      <c r="DW56" s="75">
        <f t="shared" si="8"/>
        <v>117</v>
      </c>
      <c r="DX56" s="75">
        <f t="shared" si="30"/>
        <v>93</v>
      </c>
      <c r="DY56" s="75">
        <f t="shared" si="31"/>
        <v>0</v>
      </c>
      <c r="DZ56" s="75">
        <f t="shared" si="32"/>
        <v>0</v>
      </c>
      <c r="EA56" s="44"/>
      <c r="EB56" s="44"/>
    </row>
    <row r="57" spans="1:132" s="11" customFormat="1">
      <c r="A57" s="35"/>
      <c r="B57" s="138" t="s">
        <v>649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56"/>
      <c r="AL57" s="44"/>
      <c r="AM57" s="44"/>
      <c r="AN57" s="44"/>
      <c r="AO57" s="44"/>
      <c r="AP57" s="44"/>
      <c r="AQ57" s="73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>
        <v>30</v>
      </c>
      <c r="BS57" s="44">
        <v>28</v>
      </c>
      <c r="BT57" s="44">
        <v>24</v>
      </c>
      <c r="BU57" s="44">
        <v>32</v>
      </c>
      <c r="BV57" s="44">
        <v>25</v>
      </c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44"/>
      <c r="DB57" s="44"/>
      <c r="DC57" s="44"/>
      <c r="DD57" s="43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75"/>
      <c r="DW57" s="75"/>
      <c r="DX57" s="75"/>
      <c r="DY57" s="75"/>
      <c r="DZ57" s="75"/>
      <c r="EA57" s="44"/>
      <c r="EB57" s="44"/>
    </row>
    <row r="58" spans="1:132" s="11" customFormat="1">
      <c r="A58" s="35"/>
      <c r="B58" s="138" t="s">
        <v>650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56"/>
      <c r="AL58" s="44"/>
      <c r="AM58" s="44"/>
      <c r="AN58" s="44"/>
      <c r="AO58" s="44"/>
      <c r="AP58" s="44"/>
      <c r="AQ58" s="73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>
        <v>13</v>
      </c>
      <c r="BS58" s="44">
        <v>9</v>
      </c>
      <c r="BT58" s="44">
        <v>7</v>
      </c>
      <c r="BU58" s="44">
        <v>8</v>
      </c>
      <c r="BV58" s="44">
        <v>10</v>
      </c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44"/>
      <c r="DB58" s="44"/>
      <c r="DC58" s="44"/>
      <c r="DD58" s="43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75"/>
      <c r="DW58" s="75"/>
      <c r="DX58" s="75"/>
      <c r="DY58" s="75"/>
      <c r="DZ58" s="75"/>
      <c r="EA58" s="44"/>
      <c r="EB58" s="44"/>
    </row>
    <row r="59" spans="1:132" s="11" customFormat="1">
      <c r="A59" s="35"/>
      <c r="B59" s="138" t="s">
        <v>653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56"/>
      <c r="AL59" s="44"/>
      <c r="AM59" s="44"/>
      <c r="AN59" s="44"/>
      <c r="AO59" s="44"/>
      <c r="AP59" s="44"/>
      <c r="AQ59" s="73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>
        <v>5</v>
      </c>
      <c r="BS59" s="44"/>
      <c r="BT59" s="44"/>
      <c r="BU59" s="44"/>
      <c r="BV59" s="44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44"/>
      <c r="DB59" s="44"/>
      <c r="DC59" s="44"/>
      <c r="DD59" s="43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75"/>
      <c r="DW59" s="75"/>
      <c r="DX59" s="75"/>
      <c r="DY59" s="75"/>
      <c r="DZ59" s="75"/>
      <c r="EA59" s="44"/>
      <c r="EB59" s="44"/>
    </row>
    <row r="60" spans="1:132" s="11" customFormat="1">
      <c r="A60" s="35"/>
      <c r="B60" s="104" t="s">
        <v>45</v>
      </c>
      <c r="C60" s="44">
        <v>66</v>
      </c>
      <c r="D60" s="44">
        <v>86</v>
      </c>
      <c r="E60" s="44">
        <v>54</v>
      </c>
      <c r="F60" s="44">
        <v>67</v>
      </c>
      <c r="G60" s="44">
        <v>92</v>
      </c>
      <c r="H60" s="44">
        <v>74</v>
      </c>
      <c r="I60" s="44">
        <v>68</v>
      </c>
      <c r="J60" s="44">
        <v>94</v>
      </c>
      <c r="K60" s="44">
        <v>108</v>
      </c>
      <c r="L60" s="44">
        <v>54</v>
      </c>
      <c r="M60" s="44">
        <v>83</v>
      </c>
      <c r="N60" s="44">
        <v>104</v>
      </c>
      <c r="O60" s="44">
        <v>95</v>
      </c>
      <c r="P60" s="44">
        <v>91</v>
      </c>
      <c r="Q60" s="44">
        <v>81</v>
      </c>
      <c r="R60" s="44">
        <v>89</v>
      </c>
      <c r="S60" s="44">
        <v>68</v>
      </c>
      <c r="T60" s="44">
        <v>104</v>
      </c>
      <c r="U60" s="44">
        <v>86</v>
      </c>
      <c r="V60" s="44">
        <v>94</v>
      </c>
      <c r="W60" s="44">
        <f>196-X60</f>
        <v>93</v>
      </c>
      <c r="X60" s="44">
        <v>103</v>
      </c>
      <c r="Y60" s="44">
        <v>99</v>
      </c>
      <c r="Z60" s="44">
        <v>103</v>
      </c>
      <c r="AA60" s="44">
        <f>213-AB60</f>
        <v>107</v>
      </c>
      <c r="AB60" s="44">
        <v>106</v>
      </c>
      <c r="AC60" s="44">
        <v>107</v>
      </c>
      <c r="AD60" s="44">
        <v>114</v>
      </c>
      <c r="AE60" s="44">
        <v>107</v>
      </c>
      <c r="AF60" s="44">
        <v>114</v>
      </c>
      <c r="AG60" s="44">
        <v>115</v>
      </c>
      <c r="AH60" s="44">
        <v>112</v>
      </c>
      <c r="AI60" s="44">
        <v>101</v>
      </c>
      <c r="AJ60" s="44">
        <v>107</v>
      </c>
      <c r="AK60" s="56">
        <v>111</v>
      </c>
      <c r="AL60" s="44">
        <v>115</v>
      </c>
      <c r="AM60" s="44">
        <v>106</v>
      </c>
      <c r="AN60" s="44">
        <v>109</v>
      </c>
      <c r="AO60" s="44">
        <v>103</v>
      </c>
      <c r="AP60" s="44">
        <v>110</v>
      </c>
      <c r="AQ60" s="73">
        <v>101</v>
      </c>
      <c r="AR60" s="44">
        <f t="shared" ref="AR60:AR65" si="46">AQ60</f>
        <v>101</v>
      </c>
      <c r="AS60" s="44">
        <v>108</v>
      </c>
      <c r="AT60" s="44">
        <v>101</v>
      </c>
      <c r="AU60" s="44">
        <v>54</v>
      </c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44"/>
      <c r="DB60" s="44"/>
      <c r="DC60" s="44"/>
      <c r="DD60" s="43"/>
      <c r="DE60" s="44">
        <v>328</v>
      </c>
      <c r="DF60" s="44">
        <v>349</v>
      </c>
      <c r="DG60" s="44">
        <v>356</v>
      </c>
      <c r="DH60" s="44">
        <f t="shared" ref="DH60:DH69" si="47">SUM(S60:V60)</f>
        <v>352</v>
      </c>
      <c r="DI60" s="44">
        <f t="shared" si="40"/>
        <v>398</v>
      </c>
      <c r="DJ60" s="44">
        <f t="shared" ref="DJ60:DJ69" si="48">SUM(AA60:AD60)</f>
        <v>434</v>
      </c>
      <c r="DK60" s="44">
        <f t="shared" ref="DK60:DK65" si="49">DJ60</f>
        <v>434</v>
      </c>
      <c r="DL60" s="44">
        <f t="shared" ref="DL60:DL65" si="50">SUM(AI60:AL60)</f>
        <v>434</v>
      </c>
      <c r="DM60" s="44">
        <f t="shared" si="41"/>
        <v>428</v>
      </c>
      <c r="DN60" s="44">
        <f t="shared" si="42"/>
        <v>411</v>
      </c>
      <c r="DO60" s="44">
        <f t="shared" si="43"/>
        <v>54</v>
      </c>
      <c r="DP60" s="44">
        <f>DO60*0.1</f>
        <v>5.4</v>
      </c>
      <c r="DQ60" s="44">
        <f>DP60*0.1</f>
        <v>0.54</v>
      </c>
      <c r="DR60" s="44"/>
      <c r="DS60" s="44"/>
      <c r="DT60" s="44"/>
      <c r="DU60" s="44"/>
      <c r="DV60" s="75">
        <f t="shared" si="7"/>
        <v>0</v>
      </c>
      <c r="DW60" s="75">
        <f t="shared" si="8"/>
        <v>0</v>
      </c>
      <c r="DX60" s="75">
        <f t="shared" si="30"/>
        <v>0</v>
      </c>
      <c r="DY60" s="75">
        <f t="shared" si="31"/>
        <v>0</v>
      </c>
      <c r="DZ60" s="75">
        <f t="shared" si="32"/>
        <v>0</v>
      </c>
      <c r="EA60" s="44"/>
      <c r="EB60" s="44"/>
    </row>
    <row r="61" spans="1:132" s="11" customFormat="1">
      <c r="A61" s="35"/>
      <c r="B61" s="35" t="s">
        <v>47</v>
      </c>
      <c r="C61" s="44">
        <v>49</v>
      </c>
      <c r="D61" s="44">
        <v>57</v>
      </c>
      <c r="E61" s="44">
        <v>56</v>
      </c>
      <c r="F61" s="44">
        <v>65.499999999999005</v>
      </c>
      <c r="G61" s="44">
        <v>67</v>
      </c>
      <c r="H61" s="44">
        <v>74</v>
      </c>
      <c r="I61" s="44">
        <v>75</v>
      </c>
      <c r="J61" s="44">
        <v>69</v>
      </c>
      <c r="K61" s="44">
        <v>74</v>
      </c>
      <c r="L61" s="44">
        <v>80</v>
      </c>
      <c r="M61" s="44">
        <v>88</v>
      </c>
      <c r="N61" s="44">
        <v>104</v>
      </c>
      <c r="O61" s="44">
        <v>97</v>
      </c>
      <c r="P61" s="44">
        <v>112</v>
      </c>
      <c r="Q61" s="44">
        <v>101</v>
      </c>
      <c r="R61" s="44">
        <v>113</v>
      </c>
      <c r="S61" s="44">
        <v>131</v>
      </c>
      <c r="T61" s="44">
        <v>127</v>
      </c>
      <c r="U61" s="44">
        <v>117</v>
      </c>
      <c r="V61" s="44">
        <v>130</v>
      </c>
      <c r="W61" s="44">
        <v>141</v>
      </c>
      <c r="X61" s="44">
        <v>143</v>
      </c>
      <c r="Y61" s="44">
        <v>153</v>
      </c>
      <c r="Z61" s="44">
        <v>167</v>
      </c>
      <c r="AA61" s="44">
        <v>178</v>
      </c>
      <c r="AB61" s="44">
        <v>194</v>
      </c>
      <c r="AC61" s="44">
        <v>186</v>
      </c>
      <c r="AD61" s="44">
        <v>215</v>
      </c>
      <c r="AE61" s="44">
        <v>213</v>
      </c>
      <c r="AF61" s="44">
        <v>226</v>
      </c>
      <c r="AG61" s="44">
        <v>241</v>
      </c>
      <c r="AH61" s="44">
        <v>217</v>
      </c>
      <c r="AI61" s="44">
        <v>202</v>
      </c>
      <c r="AJ61" s="44">
        <v>213</v>
      </c>
      <c r="AK61" s="56">
        <v>221</v>
      </c>
      <c r="AL61" s="44">
        <v>236</v>
      </c>
      <c r="AM61" s="44">
        <v>233</v>
      </c>
      <c r="AN61" s="44">
        <v>197</v>
      </c>
      <c r="AO61" s="44">
        <v>204</v>
      </c>
      <c r="AP61" s="44">
        <v>183</v>
      </c>
      <c r="AQ61" s="73">
        <v>172</v>
      </c>
      <c r="AR61" s="44">
        <f>AQ61-5</f>
        <v>167</v>
      </c>
      <c r="AS61" s="44">
        <v>139</v>
      </c>
      <c r="AT61" s="44">
        <v>114</v>
      </c>
      <c r="AU61" s="44">
        <v>100</v>
      </c>
      <c r="AV61" s="44"/>
      <c r="AW61" s="44"/>
      <c r="AX61" s="44"/>
      <c r="AY61" s="44"/>
      <c r="AZ61" s="44"/>
      <c r="BA61" s="44"/>
      <c r="BB61" s="44"/>
      <c r="BC61" s="44">
        <v>65</v>
      </c>
      <c r="BD61" s="44">
        <v>65</v>
      </c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44"/>
      <c r="DB61" s="44"/>
      <c r="DC61" s="44"/>
      <c r="DD61" s="43"/>
      <c r="DE61" s="44">
        <v>285</v>
      </c>
      <c r="DF61" s="44">
        <v>346</v>
      </c>
      <c r="DG61" s="44">
        <v>423</v>
      </c>
      <c r="DH61" s="44">
        <f>SUM(S61:V61)</f>
        <v>505</v>
      </c>
      <c r="DI61" s="44">
        <f>SUM(W61:Z61)</f>
        <v>604</v>
      </c>
      <c r="DJ61" s="44">
        <f>SUM(AA61:AD61)</f>
        <v>773</v>
      </c>
      <c r="DK61" s="44">
        <f>SUM(AE61:AH61)</f>
        <v>897</v>
      </c>
      <c r="DL61" s="44">
        <f>SUM(AI61:AL61)</f>
        <v>872</v>
      </c>
      <c r="DM61" s="44">
        <f>SUM(AM61:AP61)</f>
        <v>817</v>
      </c>
      <c r="DN61" s="44">
        <f>SUM(AQ61:AT61)</f>
        <v>592</v>
      </c>
      <c r="DO61" s="44">
        <f>SUM(AU61:AX61)</f>
        <v>100</v>
      </c>
      <c r="DP61" s="44">
        <f t="shared" ref="DP61:DT61" si="51">DO61*0.9</f>
        <v>90</v>
      </c>
      <c r="DQ61" s="44">
        <f t="shared" si="51"/>
        <v>81</v>
      </c>
      <c r="DR61" s="44">
        <f t="shared" si="51"/>
        <v>72.900000000000006</v>
      </c>
      <c r="DS61" s="44">
        <f t="shared" si="51"/>
        <v>65.610000000000014</v>
      </c>
      <c r="DT61" s="44">
        <f t="shared" si="51"/>
        <v>59.049000000000014</v>
      </c>
      <c r="DU61" s="44"/>
      <c r="DV61" s="75">
        <f t="shared" si="7"/>
        <v>0</v>
      </c>
      <c r="DW61" s="75">
        <f t="shared" si="8"/>
        <v>0</v>
      </c>
      <c r="DX61" s="75">
        <f t="shared" si="30"/>
        <v>0</v>
      </c>
      <c r="DY61" s="75">
        <f t="shared" si="31"/>
        <v>0</v>
      </c>
      <c r="DZ61" s="75">
        <f t="shared" si="32"/>
        <v>0</v>
      </c>
      <c r="EA61" s="44"/>
      <c r="EB61" s="44"/>
    </row>
    <row r="62" spans="1:132" s="11" customFormat="1">
      <c r="A62" s="35"/>
      <c r="B62" s="104" t="s">
        <v>46</v>
      </c>
      <c r="C62" s="44"/>
      <c r="D62" s="44"/>
      <c r="E62" s="44"/>
      <c r="F62" s="44"/>
      <c r="G62" s="44"/>
      <c r="H62" s="44"/>
      <c r="I62" s="44"/>
      <c r="J62" s="44"/>
      <c r="K62" s="44">
        <v>17</v>
      </c>
      <c r="L62" s="44">
        <v>18</v>
      </c>
      <c r="M62" s="44">
        <v>19</v>
      </c>
      <c r="N62" s="44">
        <v>19</v>
      </c>
      <c r="O62" s="44">
        <v>17</v>
      </c>
      <c r="P62" s="44">
        <v>21</v>
      </c>
      <c r="Q62" s="44">
        <v>16</v>
      </c>
      <c r="R62" s="44">
        <v>17</v>
      </c>
      <c r="S62" s="44">
        <v>17</v>
      </c>
      <c r="T62" s="44">
        <v>18</v>
      </c>
      <c r="U62" s="44">
        <v>15</v>
      </c>
      <c r="V62" s="44">
        <v>16</v>
      </c>
      <c r="W62" s="44">
        <v>15</v>
      </c>
      <c r="X62" s="44">
        <v>14</v>
      </c>
      <c r="Y62" s="44">
        <v>15</v>
      </c>
      <c r="Z62" s="44">
        <v>13</v>
      </c>
      <c r="AA62" s="44">
        <v>12</v>
      </c>
      <c r="AB62" s="44">
        <v>15</v>
      </c>
      <c r="AC62" s="44">
        <v>16</v>
      </c>
      <c r="AD62" s="44">
        <v>249</v>
      </c>
      <c r="AE62" s="44">
        <v>221</v>
      </c>
      <c r="AF62" s="44">
        <v>15</v>
      </c>
      <c r="AG62" s="44">
        <v>13</v>
      </c>
      <c r="AH62" s="44">
        <v>11</v>
      </c>
      <c r="AI62" s="44">
        <v>10</v>
      </c>
      <c r="AJ62" s="44">
        <v>12</v>
      </c>
      <c r="AK62" s="56">
        <v>11</v>
      </c>
      <c r="AL62" s="44">
        <v>15</v>
      </c>
      <c r="AM62" s="44">
        <v>10</v>
      </c>
      <c r="AN62" s="44">
        <v>10</v>
      </c>
      <c r="AO62" s="44">
        <v>9</v>
      </c>
      <c r="AP62" s="44">
        <v>13</v>
      </c>
      <c r="AQ62" s="73">
        <v>10</v>
      </c>
      <c r="AR62" s="44">
        <f>AQ62</f>
        <v>10</v>
      </c>
      <c r="AS62" s="44">
        <v>7</v>
      </c>
      <c r="AT62" s="44">
        <v>7</v>
      </c>
      <c r="AU62" s="44">
        <v>6</v>
      </c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44"/>
      <c r="DB62" s="44"/>
      <c r="DC62" s="44"/>
      <c r="DD62" s="43"/>
      <c r="DE62" s="44"/>
      <c r="DF62" s="44">
        <v>73</v>
      </c>
      <c r="DG62" s="44">
        <v>71</v>
      </c>
      <c r="DH62" s="44">
        <f>SUM(S62:V62)</f>
        <v>66</v>
      </c>
      <c r="DI62" s="44">
        <f>SUM(W62:Z62)</f>
        <v>57</v>
      </c>
      <c r="DJ62" s="44">
        <f>SUM(AA62:AD62)</f>
        <v>292</v>
      </c>
      <c r="DK62" s="44">
        <f>DJ62</f>
        <v>292</v>
      </c>
      <c r="DL62" s="44">
        <f>SUM(AI62:AL62)</f>
        <v>48</v>
      </c>
      <c r="DM62" s="44">
        <f>SUM(AM62:AP62)</f>
        <v>42</v>
      </c>
      <c r="DN62" s="44">
        <f>SUM(AQ62:AT62)</f>
        <v>34</v>
      </c>
      <c r="DO62" s="44">
        <f>SUM(AU62:AX62)</f>
        <v>6</v>
      </c>
      <c r="DP62" s="44">
        <f t="shared" ref="DP62:DT62" si="52">+DO62*0.8</f>
        <v>4.8000000000000007</v>
      </c>
      <c r="DQ62" s="44">
        <f t="shared" si="52"/>
        <v>3.8400000000000007</v>
      </c>
      <c r="DR62" s="44">
        <f t="shared" si="52"/>
        <v>3.072000000000001</v>
      </c>
      <c r="DS62" s="44">
        <f t="shared" si="52"/>
        <v>2.4576000000000011</v>
      </c>
      <c r="DT62" s="44">
        <f t="shared" si="52"/>
        <v>1.9660800000000009</v>
      </c>
      <c r="DU62" s="44"/>
      <c r="DV62" s="75">
        <f t="shared" si="7"/>
        <v>0</v>
      </c>
      <c r="DW62" s="75">
        <f t="shared" si="8"/>
        <v>0</v>
      </c>
      <c r="DX62" s="75">
        <f t="shared" si="30"/>
        <v>0</v>
      </c>
      <c r="DY62" s="75">
        <f t="shared" si="31"/>
        <v>0</v>
      </c>
      <c r="DZ62" s="75">
        <f t="shared" si="32"/>
        <v>0</v>
      </c>
      <c r="EA62" s="44"/>
      <c r="EB62" s="44"/>
    </row>
    <row r="63" spans="1:132" s="11" customFormat="1">
      <c r="A63" s="35"/>
      <c r="B63" s="104" t="s">
        <v>35</v>
      </c>
      <c r="C63" s="44">
        <v>55</v>
      </c>
      <c r="D63" s="44">
        <v>73</v>
      </c>
      <c r="E63" s="44">
        <v>63</v>
      </c>
      <c r="F63" s="44">
        <v>74</v>
      </c>
      <c r="G63" s="44">
        <v>63</v>
      </c>
      <c r="H63" s="44">
        <v>81</v>
      </c>
      <c r="I63" s="44">
        <v>79</v>
      </c>
      <c r="J63" s="44">
        <v>76</v>
      </c>
      <c r="K63" s="44">
        <v>90</v>
      </c>
      <c r="L63" s="44">
        <v>96</v>
      </c>
      <c r="M63" s="44">
        <v>86</v>
      </c>
      <c r="N63" s="44">
        <v>92</v>
      </c>
      <c r="O63" s="44">
        <v>81</v>
      </c>
      <c r="P63" s="44">
        <v>100</v>
      </c>
      <c r="Q63" s="44">
        <v>87</v>
      </c>
      <c r="R63" s="44">
        <v>93</v>
      </c>
      <c r="S63" s="44">
        <v>92</v>
      </c>
      <c r="T63" s="44">
        <v>112</v>
      </c>
      <c r="U63" s="44">
        <v>91</v>
      </c>
      <c r="V63" s="44">
        <v>92</v>
      </c>
      <c r="W63" s="44">
        <f>187-X63</f>
        <v>85</v>
      </c>
      <c r="X63" s="44">
        <v>102</v>
      </c>
      <c r="Y63" s="44">
        <v>83</v>
      </c>
      <c r="Z63" s="44">
        <v>90</v>
      </c>
      <c r="AA63" s="44">
        <f>187-AB63</f>
        <v>92</v>
      </c>
      <c r="AB63" s="44">
        <v>95</v>
      </c>
      <c r="AC63" s="44">
        <v>80</v>
      </c>
      <c r="AD63" s="44">
        <v>87</v>
      </c>
      <c r="AE63" s="44">
        <v>80</v>
      </c>
      <c r="AF63" s="44">
        <v>92</v>
      </c>
      <c r="AG63" s="44">
        <v>72</v>
      </c>
      <c r="AH63" s="44">
        <v>78</v>
      </c>
      <c r="AI63" s="44">
        <v>64</v>
      </c>
      <c r="AJ63" s="44">
        <v>72</v>
      </c>
      <c r="AK63" s="56">
        <v>63</v>
      </c>
      <c r="AL63" s="44">
        <v>65</v>
      </c>
      <c r="AM63" s="44">
        <v>55</v>
      </c>
      <c r="AN63" s="44">
        <v>65</v>
      </c>
      <c r="AO63" s="44">
        <v>55</v>
      </c>
      <c r="AP63" s="44">
        <v>52</v>
      </c>
      <c r="AQ63" s="73">
        <v>55</v>
      </c>
      <c r="AR63" s="44">
        <f t="shared" si="46"/>
        <v>55</v>
      </c>
      <c r="AS63" s="44">
        <v>52</v>
      </c>
      <c r="AT63" s="44">
        <v>50</v>
      </c>
      <c r="AU63" s="44">
        <v>44</v>
      </c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44"/>
      <c r="DB63" s="44"/>
      <c r="DC63" s="44"/>
      <c r="DD63" s="43"/>
      <c r="DE63" s="44">
        <v>299</v>
      </c>
      <c r="DF63" s="44">
        <v>364</v>
      </c>
      <c r="DG63" s="44">
        <v>361</v>
      </c>
      <c r="DH63" s="44">
        <f t="shared" si="47"/>
        <v>387</v>
      </c>
      <c r="DI63" s="44">
        <f t="shared" si="40"/>
        <v>360</v>
      </c>
      <c r="DJ63" s="44">
        <f t="shared" si="48"/>
        <v>354</v>
      </c>
      <c r="DK63" s="44">
        <f t="shared" si="49"/>
        <v>354</v>
      </c>
      <c r="DL63" s="44">
        <f t="shared" si="50"/>
        <v>264</v>
      </c>
      <c r="DM63" s="44">
        <f t="shared" si="41"/>
        <v>227</v>
      </c>
      <c r="DN63" s="44">
        <f t="shared" si="42"/>
        <v>212</v>
      </c>
      <c r="DO63" s="44">
        <f t="shared" si="43"/>
        <v>44</v>
      </c>
      <c r="DP63" s="44">
        <f>+DO63*0.9</f>
        <v>39.6</v>
      </c>
      <c r="DQ63" s="44">
        <f t="shared" ref="DQ63:DT63" si="53">+DP63*0.9</f>
        <v>35.64</v>
      </c>
      <c r="DR63" s="44">
        <f t="shared" si="53"/>
        <v>32.076000000000001</v>
      </c>
      <c r="DS63" s="44">
        <f t="shared" si="53"/>
        <v>28.868400000000001</v>
      </c>
      <c r="DT63" s="44">
        <f t="shared" si="53"/>
        <v>25.981560000000002</v>
      </c>
      <c r="DU63" s="44"/>
      <c r="DV63" s="75">
        <f t="shared" si="7"/>
        <v>0</v>
      </c>
      <c r="DW63" s="75">
        <f t="shared" si="8"/>
        <v>0</v>
      </c>
      <c r="DX63" s="75">
        <f t="shared" si="30"/>
        <v>0</v>
      </c>
      <c r="DY63" s="75">
        <f t="shared" si="31"/>
        <v>0</v>
      </c>
      <c r="DZ63" s="75">
        <f t="shared" si="32"/>
        <v>0</v>
      </c>
      <c r="EA63" s="44"/>
      <c r="EB63" s="44"/>
    </row>
    <row r="64" spans="1:132" s="11" customFormat="1">
      <c r="A64" s="35"/>
      <c r="B64" s="104" t="s">
        <v>33</v>
      </c>
      <c r="C64" s="44">
        <v>287</v>
      </c>
      <c r="D64" s="44">
        <v>341</v>
      </c>
      <c r="E64" s="44">
        <v>183</v>
      </c>
      <c r="F64" s="44">
        <v>256</v>
      </c>
      <c r="G64" s="44">
        <v>277</v>
      </c>
      <c r="H64" s="44">
        <v>269</v>
      </c>
      <c r="I64" s="44">
        <v>187</v>
      </c>
      <c r="J64" s="44">
        <v>144</v>
      </c>
      <c r="K64" s="44">
        <v>108</v>
      </c>
      <c r="L64" s="44">
        <v>118</v>
      </c>
      <c r="M64" s="44">
        <v>116</v>
      </c>
      <c r="N64" s="44">
        <v>136</v>
      </c>
      <c r="O64" s="44">
        <v>105</v>
      </c>
      <c r="P64" s="44">
        <v>117</v>
      </c>
      <c r="Q64" s="44">
        <v>105</v>
      </c>
      <c r="R64" s="44">
        <v>113</v>
      </c>
      <c r="S64" s="44">
        <v>87</v>
      </c>
      <c r="T64" s="44">
        <v>78</v>
      </c>
      <c r="U64" s="44">
        <v>83</v>
      </c>
      <c r="V64" s="44">
        <v>84</v>
      </c>
      <c r="W64" s="44">
        <f>153-X64</f>
        <v>75</v>
      </c>
      <c r="X64" s="44">
        <v>78</v>
      </c>
      <c r="Y64" s="44">
        <v>76</v>
      </c>
      <c r="Z64" s="44">
        <v>78</v>
      </c>
      <c r="AA64" s="44">
        <f>156-AB64</f>
        <v>80</v>
      </c>
      <c r="AB64" s="44">
        <v>76</v>
      </c>
      <c r="AC64" s="44">
        <v>72</v>
      </c>
      <c r="AD64" s="44">
        <v>67</v>
      </c>
      <c r="AE64" s="44">
        <v>59</v>
      </c>
      <c r="AF64" s="44">
        <v>65</v>
      </c>
      <c r="AG64" s="44">
        <v>60</v>
      </c>
      <c r="AH64" s="44">
        <v>52</v>
      </c>
      <c r="AI64" s="44">
        <v>47</v>
      </c>
      <c r="AJ64" s="44">
        <v>47</v>
      </c>
      <c r="AK64" s="56">
        <v>47</v>
      </c>
      <c r="AL64" s="44">
        <v>43</v>
      </c>
      <c r="AM64" s="44">
        <v>42</v>
      </c>
      <c r="AN64" s="44">
        <v>40</v>
      </c>
      <c r="AO64" s="44">
        <v>35</v>
      </c>
      <c r="AP64" s="44">
        <v>40</v>
      </c>
      <c r="AQ64" s="73">
        <v>33</v>
      </c>
      <c r="AR64" s="44">
        <f t="shared" si="46"/>
        <v>33</v>
      </c>
      <c r="AS64" s="44">
        <v>37</v>
      </c>
      <c r="AT64" s="44">
        <v>35</v>
      </c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44"/>
      <c r="DB64" s="44"/>
      <c r="DC64" s="44"/>
      <c r="DD64" s="43"/>
      <c r="DE64" s="44">
        <v>877</v>
      </c>
      <c r="DF64" s="44">
        <v>478</v>
      </c>
      <c r="DG64" s="44">
        <v>440</v>
      </c>
      <c r="DH64" s="44">
        <f t="shared" si="47"/>
        <v>332</v>
      </c>
      <c r="DI64" s="44">
        <f t="shared" si="40"/>
        <v>307</v>
      </c>
      <c r="DJ64" s="44">
        <f t="shared" si="48"/>
        <v>295</v>
      </c>
      <c r="DK64" s="44">
        <f t="shared" si="49"/>
        <v>295</v>
      </c>
      <c r="DL64" s="44">
        <f t="shared" si="50"/>
        <v>184</v>
      </c>
      <c r="DM64" s="44">
        <f t="shared" si="41"/>
        <v>157</v>
      </c>
      <c r="DN64" s="44">
        <f t="shared" si="42"/>
        <v>138</v>
      </c>
      <c r="DO64" s="44"/>
      <c r="DP64" s="44"/>
      <c r="DQ64" s="44"/>
      <c r="DR64" s="44"/>
      <c r="DS64" s="44"/>
      <c r="DT64" s="44"/>
      <c r="DU64" s="44"/>
      <c r="DV64" s="75">
        <f t="shared" si="7"/>
        <v>0</v>
      </c>
      <c r="DW64" s="75">
        <f t="shared" si="8"/>
        <v>0</v>
      </c>
      <c r="DX64" s="75">
        <f t="shared" si="30"/>
        <v>0</v>
      </c>
      <c r="DY64" s="75">
        <f t="shared" si="31"/>
        <v>0</v>
      </c>
      <c r="DZ64" s="75">
        <f t="shared" si="32"/>
        <v>0</v>
      </c>
    </row>
    <row r="65" spans="1:132" s="11" customFormat="1">
      <c r="A65" s="35"/>
      <c r="B65" s="104" t="s">
        <v>477</v>
      </c>
      <c r="C65" s="44">
        <v>105</v>
      </c>
      <c r="D65" s="44">
        <v>104</v>
      </c>
      <c r="E65" s="44">
        <v>118</v>
      </c>
      <c r="F65" s="44">
        <v>136</v>
      </c>
      <c r="G65" s="44">
        <v>106</v>
      </c>
      <c r="H65" s="44">
        <v>97</v>
      </c>
      <c r="I65" s="44">
        <v>147</v>
      </c>
      <c r="J65" s="44">
        <v>139</v>
      </c>
      <c r="K65" s="44">
        <v>110</v>
      </c>
      <c r="L65" s="44">
        <v>129</v>
      </c>
      <c r="M65" s="44">
        <v>144</v>
      </c>
      <c r="N65" s="44">
        <v>157</v>
      </c>
      <c r="O65" s="44">
        <v>111</v>
      </c>
      <c r="P65" s="44">
        <v>148</v>
      </c>
      <c r="Q65" s="44">
        <v>102</v>
      </c>
      <c r="R65" s="44">
        <v>94</v>
      </c>
      <c r="S65" s="44">
        <v>93</v>
      </c>
      <c r="T65" s="44">
        <v>112.25</v>
      </c>
      <c r="U65" s="44">
        <v>82</v>
      </c>
      <c r="V65" s="44">
        <v>73</v>
      </c>
      <c r="W65" s="44">
        <f>142-X65</f>
        <v>72</v>
      </c>
      <c r="X65" s="44">
        <v>70</v>
      </c>
      <c r="Y65" s="44">
        <v>68</v>
      </c>
      <c r="Z65" s="44">
        <v>65</v>
      </c>
      <c r="AA65" s="44">
        <f>139-AB65</f>
        <v>65</v>
      </c>
      <c r="AB65" s="44">
        <v>74</v>
      </c>
      <c r="AC65" s="44">
        <v>66</v>
      </c>
      <c r="AD65" s="44">
        <v>66</v>
      </c>
      <c r="AE65" s="44">
        <v>66</v>
      </c>
      <c r="AF65" s="44">
        <v>70</v>
      </c>
      <c r="AG65" s="44">
        <v>65</v>
      </c>
      <c r="AH65" s="44">
        <v>67</v>
      </c>
      <c r="AI65" s="44">
        <v>61</v>
      </c>
      <c r="AJ65" s="44">
        <v>60</v>
      </c>
      <c r="AK65" s="56">
        <v>60</v>
      </c>
      <c r="AL65" s="44">
        <v>60</v>
      </c>
      <c r="AM65" s="44">
        <v>66</v>
      </c>
      <c r="AN65" s="44">
        <v>63</v>
      </c>
      <c r="AO65" s="44">
        <v>63</v>
      </c>
      <c r="AP65" s="44">
        <v>63</v>
      </c>
      <c r="AQ65" s="73">
        <v>68</v>
      </c>
      <c r="AR65" s="44">
        <f t="shared" si="46"/>
        <v>68</v>
      </c>
      <c r="AS65" s="44">
        <v>66</v>
      </c>
      <c r="AT65" s="44">
        <v>60</v>
      </c>
      <c r="AU65" s="44">
        <v>73</v>
      </c>
      <c r="AV65" s="44"/>
      <c r="AW65" s="44"/>
      <c r="AX65" s="44"/>
      <c r="AY65" s="44"/>
      <c r="AZ65" s="44"/>
      <c r="BA65" s="44"/>
      <c r="BB65" s="44"/>
      <c r="BC65" s="44">
        <v>69</v>
      </c>
      <c r="BD65" s="44">
        <v>53</v>
      </c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44"/>
      <c r="DB65" s="44"/>
      <c r="DC65" s="44"/>
      <c r="DD65" s="43"/>
      <c r="DE65" s="44">
        <v>489</v>
      </c>
      <c r="DF65" s="44">
        <v>540</v>
      </c>
      <c r="DG65" s="44">
        <v>455</v>
      </c>
      <c r="DH65" s="44">
        <f t="shared" si="47"/>
        <v>360.25</v>
      </c>
      <c r="DI65" s="44">
        <f t="shared" si="40"/>
        <v>275</v>
      </c>
      <c r="DJ65" s="44">
        <f t="shared" si="48"/>
        <v>271</v>
      </c>
      <c r="DK65" s="44">
        <f t="shared" si="49"/>
        <v>271</v>
      </c>
      <c r="DL65" s="44">
        <f t="shared" si="50"/>
        <v>241</v>
      </c>
      <c r="DM65" s="44">
        <f t="shared" si="41"/>
        <v>255</v>
      </c>
      <c r="DN65" s="44">
        <f t="shared" si="42"/>
        <v>262</v>
      </c>
      <c r="DO65" s="44">
        <f t="shared" ref="DO65:DO69" si="54">SUM(AU65:AX65)</f>
        <v>73</v>
      </c>
      <c r="DP65" s="44">
        <f>+DO65*0.8</f>
        <v>58.400000000000006</v>
      </c>
      <c r="DQ65" s="44">
        <f t="shared" ref="DQ65:DT65" si="55">+DP65*0.8</f>
        <v>46.720000000000006</v>
      </c>
      <c r="DR65" s="44">
        <f t="shared" si="55"/>
        <v>37.376000000000005</v>
      </c>
      <c r="DS65" s="44">
        <f t="shared" si="55"/>
        <v>29.900800000000004</v>
      </c>
      <c r="DT65" s="44">
        <f t="shared" si="55"/>
        <v>23.920640000000006</v>
      </c>
      <c r="DU65" s="44"/>
      <c r="DV65" s="75">
        <f t="shared" si="7"/>
        <v>0</v>
      </c>
      <c r="DW65" s="75">
        <f t="shared" si="8"/>
        <v>0</v>
      </c>
      <c r="DX65" s="75">
        <f t="shared" si="30"/>
        <v>0</v>
      </c>
      <c r="DY65" s="75">
        <f t="shared" si="31"/>
        <v>0</v>
      </c>
      <c r="DZ65" s="75">
        <f t="shared" si="32"/>
        <v>0</v>
      </c>
      <c r="EA65" s="44"/>
      <c r="EB65" s="44"/>
    </row>
    <row r="66" spans="1:132" s="11" customFormat="1">
      <c r="A66" s="35"/>
      <c r="B66" s="35" t="s">
        <v>476</v>
      </c>
      <c r="C66" s="44">
        <v>98</v>
      </c>
      <c r="D66" s="44">
        <v>115</v>
      </c>
      <c r="E66" s="44">
        <v>87</v>
      </c>
      <c r="F66" s="44">
        <v>104</v>
      </c>
      <c r="G66" s="44">
        <v>94</v>
      </c>
      <c r="H66" s="44">
        <v>96</v>
      </c>
      <c r="I66" s="44">
        <v>85</v>
      </c>
      <c r="J66" s="44">
        <v>95</v>
      </c>
      <c r="K66" s="44">
        <v>84</v>
      </c>
      <c r="L66" s="44">
        <v>81</v>
      </c>
      <c r="M66" s="44">
        <v>81</v>
      </c>
      <c r="N66" s="44">
        <v>96</v>
      </c>
      <c r="O66" s="44">
        <v>85</v>
      </c>
      <c r="P66" s="44">
        <v>93</v>
      </c>
      <c r="Q66" s="44">
        <v>93</v>
      </c>
      <c r="R66" s="44">
        <v>97</v>
      </c>
      <c r="S66" s="44">
        <v>83</v>
      </c>
      <c r="T66" s="44">
        <v>92</v>
      </c>
      <c r="U66" s="44">
        <v>87</v>
      </c>
      <c r="V66" s="44">
        <v>90</v>
      </c>
      <c r="W66" s="44">
        <v>76</v>
      </c>
      <c r="X66" s="44">
        <v>85</v>
      </c>
      <c r="Y66" s="44">
        <v>77</v>
      </c>
      <c r="Z66" s="44">
        <v>82</v>
      </c>
      <c r="AA66" s="44">
        <v>71</v>
      </c>
      <c r="AB66" s="44">
        <v>80</v>
      </c>
      <c r="AC66" s="44">
        <v>73</v>
      </c>
      <c r="AD66" s="44"/>
      <c r="AE66" s="44"/>
      <c r="AF66" s="44">
        <v>87</v>
      </c>
      <c r="AG66" s="44">
        <v>79</v>
      </c>
      <c r="AH66" s="44">
        <v>77</v>
      </c>
      <c r="AI66" s="44">
        <v>66</v>
      </c>
      <c r="AJ66" s="44">
        <v>77</v>
      </c>
      <c r="AK66" s="56">
        <v>74</v>
      </c>
      <c r="AL66" s="44">
        <v>79</v>
      </c>
      <c r="AM66" s="44">
        <v>67</v>
      </c>
      <c r="AN66" s="44">
        <v>72</v>
      </c>
      <c r="AO66" s="44">
        <v>0</v>
      </c>
      <c r="AP66" s="44">
        <v>0</v>
      </c>
      <c r="AQ66" s="73">
        <v>63</v>
      </c>
      <c r="AR66" s="44">
        <f t="shared" ref="AR66:AR69" si="56">AQ66</f>
        <v>63</v>
      </c>
      <c r="AS66" s="44">
        <v>68</v>
      </c>
      <c r="AT66" s="44">
        <v>68</v>
      </c>
      <c r="AU66" s="44">
        <v>57</v>
      </c>
      <c r="AV66" s="44"/>
      <c r="AW66" s="44"/>
      <c r="AX66" s="44"/>
      <c r="AY66" s="44"/>
      <c r="AZ66" s="44"/>
      <c r="BA66" s="44"/>
      <c r="BB66" s="44"/>
      <c r="BC66" s="44">
        <v>39</v>
      </c>
      <c r="BD66" s="44">
        <v>42</v>
      </c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44"/>
      <c r="DB66" s="44"/>
      <c r="DC66" s="44"/>
      <c r="DD66" s="43"/>
      <c r="DE66" s="44">
        <v>370</v>
      </c>
      <c r="DF66" s="44">
        <v>342</v>
      </c>
      <c r="DG66" s="44">
        <v>368</v>
      </c>
      <c r="DH66" s="44">
        <f t="shared" si="47"/>
        <v>352</v>
      </c>
      <c r="DI66" s="44">
        <f>SUM(W66:Z66)</f>
        <v>320</v>
      </c>
      <c r="DJ66" s="44">
        <f t="shared" si="48"/>
        <v>224</v>
      </c>
      <c r="DK66" s="44">
        <f t="shared" ref="DK66:DK69" si="57">DJ66</f>
        <v>224</v>
      </c>
      <c r="DL66" s="44">
        <f t="shared" ref="DL66:DL70" si="58">SUM(AI66:AL66)</f>
        <v>296</v>
      </c>
      <c r="DM66" s="44">
        <f t="shared" si="41"/>
        <v>139</v>
      </c>
      <c r="DN66" s="44">
        <f t="shared" si="42"/>
        <v>262</v>
      </c>
      <c r="DO66" s="44">
        <f t="shared" si="54"/>
        <v>57</v>
      </c>
      <c r="DP66" s="44">
        <f>+DO66*0.8</f>
        <v>45.6</v>
      </c>
      <c r="DQ66" s="44">
        <f t="shared" ref="DQ66:DT66" si="59">+DP66*0.8</f>
        <v>36.480000000000004</v>
      </c>
      <c r="DR66" s="44">
        <f t="shared" si="59"/>
        <v>29.184000000000005</v>
      </c>
      <c r="DS66" s="44">
        <f t="shared" si="59"/>
        <v>23.347200000000004</v>
      </c>
      <c r="DT66" s="44">
        <f t="shared" si="59"/>
        <v>18.677760000000003</v>
      </c>
      <c r="DU66" s="44"/>
      <c r="DV66" s="75">
        <f t="shared" si="7"/>
        <v>0</v>
      </c>
      <c r="DW66" s="75">
        <f t="shared" si="8"/>
        <v>0</v>
      </c>
      <c r="DX66" s="75">
        <f t="shared" si="30"/>
        <v>0</v>
      </c>
      <c r="DY66" s="75">
        <f t="shared" si="31"/>
        <v>0</v>
      </c>
      <c r="DZ66" s="75">
        <f t="shared" si="32"/>
        <v>0</v>
      </c>
      <c r="EA66" s="44"/>
      <c r="EB66" s="44"/>
    </row>
    <row r="67" spans="1:132" s="11" customFormat="1">
      <c r="A67" s="35"/>
      <c r="B67" s="104" t="s">
        <v>44</v>
      </c>
      <c r="C67" s="44"/>
      <c r="D67" s="44"/>
      <c r="E67" s="44"/>
      <c r="F67" s="44"/>
      <c r="G67" s="44"/>
      <c r="H67" s="44"/>
      <c r="I67" s="44"/>
      <c r="J67" s="44"/>
      <c r="K67" s="44">
        <v>136</v>
      </c>
      <c r="L67" s="44">
        <v>98</v>
      </c>
      <c r="M67" s="44">
        <v>105</v>
      </c>
      <c r="N67" s="44">
        <v>119</v>
      </c>
      <c r="O67" s="44">
        <v>122</v>
      </c>
      <c r="P67" s="44">
        <v>126</v>
      </c>
      <c r="Q67" s="44">
        <v>126</v>
      </c>
      <c r="R67" s="44">
        <v>126</v>
      </c>
      <c r="S67" s="44">
        <v>107</v>
      </c>
      <c r="T67" s="44">
        <v>98</v>
      </c>
      <c r="U67" s="44">
        <v>76</v>
      </c>
      <c r="V67" s="44">
        <v>88</v>
      </c>
      <c r="W67" s="44">
        <v>89</v>
      </c>
      <c r="X67" s="44">
        <v>72</v>
      </c>
      <c r="Y67" s="44">
        <v>64</v>
      </c>
      <c r="Z67" s="44">
        <v>79</v>
      </c>
      <c r="AA67" s="44">
        <v>59</v>
      </c>
      <c r="AB67" s="44">
        <v>66</v>
      </c>
      <c r="AC67" s="44">
        <v>64</v>
      </c>
      <c r="AD67" s="44"/>
      <c r="AE67" s="44"/>
      <c r="AF67" s="44">
        <v>76</v>
      </c>
      <c r="AG67" s="44">
        <v>69</v>
      </c>
      <c r="AH67" s="44">
        <v>65</v>
      </c>
      <c r="AI67" s="44">
        <v>64</v>
      </c>
      <c r="AJ67" s="44">
        <v>70</v>
      </c>
      <c r="AK67" s="56">
        <v>77</v>
      </c>
      <c r="AL67" s="44">
        <v>79</v>
      </c>
      <c r="AM67" s="44">
        <v>75</v>
      </c>
      <c r="AN67" s="44">
        <v>81</v>
      </c>
      <c r="AO67" s="44">
        <v>85</v>
      </c>
      <c r="AP67" s="44">
        <v>81</v>
      </c>
      <c r="AQ67" s="73">
        <v>70</v>
      </c>
      <c r="AR67" s="44">
        <f t="shared" si="56"/>
        <v>70</v>
      </c>
      <c r="AS67" s="44">
        <v>71</v>
      </c>
      <c r="AT67" s="44">
        <v>67</v>
      </c>
      <c r="AU67" s="44">
        <v>66</v>
      </c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44"/>
      <c r="DB67" s="44"/>
      <c r="DC67" s="44"/>
      <c r="DD67" s="43"/>
      <c r="DE67" s="44"/>
      <c r="DF67" s="44">
        <v>458</v>
      </c>
      <c r="DG67" s="44">
        <v>500</v>
      </c>
      <c r="DH67" s="44">
        <f t="shared" si="47"/>
        <v>369</v>
      </c>
      <c r="DI67" s="44">
        <f>SUM(W67:Z67)</f>
        <v>304</v>
      </c>
      <c r="DJ67" s="44">
        <f t="shared" si="48"/>
        <v>189</v>
      </c>
      <c r="DK67" s="44">
        <f t="shared" si="57"/>
        <v>189</v>
      </c>
      <c r="DL67" s="44">
        <f t="shared" si="58"/>
        <v>290</v>
      </c>
      <c r="DM67" s="44">
        <f t="shared" si="41"/>
        <v>322</v>
      </c>
      <c r="DN67" s="44">
        <f t="shared" si="42"/>
        <v>278</v>
      </c>
      <c r="DO67" s="44">
        <f t="shared" si="54"/>
        <v>66</v>
      </c>
      <c r="DP67" s="44">
        <f>DO67</f>
        <v>66</v>
      </c>
      <c r="DQ67" s="44">
        <f>+DP67*0.9</f>
        <v>59.4</v>
      </c>
      <c r="DR67" s="44">
        <f t="shared" ref="DR67:DT67" si="60">+DQ67*0.9</f>
        <v>53.46</v>
      </c>
      <c r="DS67" s="44">
        <f t="shared" si="60"/>
        <v>48.114000000000004</v>
      </c>
      <c r="DT67" s="44">
        <f t="shared" si="60"/>
        <v>43.302600000000005</v>
      </c>
      <c r="DU67" s="44"/>
      <c r="DV67" s="75">
        <f t="shared" si="7"/>
        <v>0</v>
      </c>
      <c r="DW67" s="75">
        <f t="shared" si="8"/>
        <v>0</v>
      </c>
      <c r="DX67" s="75">
        <f t="shared" si="30"/>
        <v>0</v>
      </c>
      <c r="DY67" s="75">
        <f t="shared" si="31"/>
        <v>0</v>
      </c>
      <c r="DZ67" s="75">
        <f t="shared" si="32"/>
        <v>0</v>
      </c>
      <c r="EA67" s="44"/>
      <c r="EB67" s="44"/>
    </row>
    <row r="68" spans="1:132" s="11" customFormat="1">
      <c r="A68" s="35"/>
      <c r="B68" s="35" t="s">
        <v>225</v>
      </c>
      <c r="C68" s="44"/>
      <c r="D68" s="44"/>
      <c r="E68" s="44"/>
      <c r="F68" s="44"/>
      <c r="G68" s="44"/>
      <c r="H68" s="44"/>
      <c r="I68" s="44"/>
      <c r="J68" s="44"/>
      <c r="K68" s="44">
        <v>101</v>
      </c>
      <c r="L68" s="44">
        <v>122</v>
      </c>
      <c r="M68" s="44">
        <v>121</v>
      </c>
      <c r="N68" s="44">
        <v>122</v>
      </c>
      <c r="O68" s="44">
        <v>130</v>
      </c>
      <c r="P68" s="44">
        <v>140</v>
      </c>
      <c r="Q68" s="44">
        <v>128</v>
      </c>
      <c r="R68" s="44">
        <v>144</v>
      </c>
      <c r="S68" s="44">
        <v>127</v>
      </c>
      <c r="T68" s="44">
        <v>135</v>
      </c>
      <c r="U68" s="44">
        <v>118</v>
      </c>
      <c r="V68" s="44">
        <v>131</v>
      </c>
      <c r="W68" s="44">
        <v>132</v>
      </c>
      <c r="X68" s="44">
        <v>140</v>
      </c>
      <c r="Y68" s="44">
        <v>124</v>
      </c>
      <c r="Z68" s="44">
        <v>133</v>
      </c>
      <c r="AA68" s="44">
        <v>126</v>
      </c>
      <c r="AB68" s="44">
        <v>143</v>
      </c>
      <c r="AC68" s="44">
        <v>129</v>
      </c>
      <c r="AD68" s="44"/>
      <c r="AE68" s="44">
        <v>138</v>
      </c>
      <c r="AF68" s="44">
        <v>171</v>
      </c>
      <c r="AG68" s="44">
        <v>149</v>
      </c>
      <c r="AH68" s="44">
        <v>147</v>
      </c>
      <c r="AI68" s="44">
        <v>132</v>
      </c>
      <c r="AJ68" s="44">
        <v>153</v>
      </c>
      <c r="AK68" s="56">
        <v>148</v>
      </c>
      <c r="AL68" s="44">
        <v>166</v>
      </c>
      <c r="AM68" s="44">
        <v>149</v>
      </c>
      <c r="AN68" s="44">
        <v>155</v>
      </c>
      <c r="AO68" s="44">
        <v>139</v>
      </c>
      <c r="AP68" s="44">
        <v>162</v>
      </c>
      <c r="AQ68" s="73">
        <v>149</v>
      </c>
      <c r="AR68" s="44">
        <f t="shared" si="56"/>
        <v>149</v>
      </c>
      <c r="AS68" s="44">
        <v>149</v>
      </c>
      <c r="AT68" s="44">
        <v>148</v>
      </c>
      <c r="AU68" s="44">
        <v>132</v>
      </c>
      <c r="AV68" s="44"/>
      <c r="AW68" s="44"/>
      <c r="AX68" s="44"/>
      <c r="AY68" s="44"/>
      <c r="AZ68" s="44"/>
      <c r="BA68" s="44"/>
      <c r="BB68" s="44"/>
      <c r="BC68" s="44">
        <v>122</v>
      </c>
      <c r="BD68" s="44">
        <v>127</v>
      </c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44"/>
      <c r="DB68" s="44"/>
      <c r="DC68" s="44"/>
      <c r="DD68" s="43"/>
      <c r="DE68" s="44"/>
      <c r="DF68" s="44">
        <v>466</v>
      </c>
      <c r="DG68" s="44">
        <v>542</v>
      </c>
      <c r="DH68" s="44">
        <f t="shared" si="47"/>
        <v>511</v>
      </c>
      <c r="DI68" s="44">
        <f>SUM(W68:Z68)</f>
        <v>529</v>
      </c>
      <c r="DJ68" s="44">
        <f t="shared" si="48"/>
        <v>398</v>
      </c>
      <c r="DK68" s="44">
        <f t="shared" si="57"/>
        <v>398</v>
      </c>
      <c r="DL68" s="44">
        <f t="shared" si="58"/>
        <v>599</v>
      </c>
      <c r="DM68" s="44">
        <f t="shared" si="41"/>
        <v>605</v>
      </c>
      <c r="DN68" s="44">
        <f t="shared" si="42"/>
        <v>595</v>
      </c>
      <c r="DO68" s="44">
        <f t="shared" si="54"/>
        <v>132</v>
      </c>
      <c r="DP68" s="44">
        <f>DO68</f>
        <v>132</v>
      </c>
      <c r="DQ68" s="44">
        <f t="shared" ref="DQ68:DT68" si="61">DP68</f>
        <v>132</v>
      </c>
      <c r="DR68" s="44">
        <f t="shared" si="61"/>
        <v>132</v>
      </c>
      <c r="DS68" s="44">
        <f t="shared" si="61"/>
        <v>132</v>
      </c>
      <c r="DT68" s="44">
        <f t="shared" si="61"/>
        <v>132</v>
      </c>
      <c r="DU68" s="44"/>
      <c r="DV68" s="75">
        <f t="shared" si="7"/>
        <v>0</v>
      </c>
      <c r="DW68" s="75">
        <f t="shared" si="8"/>
        <v>0</v>
      </c>
      <c r="DX68" s="75">
        <f t="shared" si="30"/>
        <v>0</v>
      </c>
      <c r="DY68" s="75">
        <f t="shared" si="31"/>
        <v>0</v>
      </c>
      <c r="DZ68" s="75">
        <f t="shared" si="32"/>
        <v>0</v>
      </c>
      <c r="EA68" s="44"/>
      <c r="EB68" s="44"/>
    </row>
    <row r="69" spans="1:132" s="11" customFormat="1">
      <c r="A69" s="35"/>
      <c r="B69" s="104" t="s">
        <v>218</v>
      </c>
      <c r="C69" s="44">
        <v>207</v>
      </c>
      <c r="D69" s="44">
        <v>210</v>
      </c>
      <c r="E69" s="44">
        <v>190</v>
      </c>
      <c r="F69" s="44">
        <v>206</v>
      </c>
      <c r="G69" s="44">
        <v>164</v>
      </c>
      <c r="H69" s="44">
        <v>172</v>
      </c>
      <c r="I69" s="44">
        <v>165</v>
      </c>
      <c r="J69" s="44">
        <v>189</v>
      </c>
      <c r="K69" s="44">
        <v>66</v>
      </c>
      <c r="L69" s="44">
        <v>69</v>
      </c>
      <c r="M69" s="44">
        <v>100</v>
      </c>
      <c r="N69" s="44">
        <v>47</v>
      </c>
      <c r="O69" s="44">
        <v>72</v>
      </c>
      <c r="P69" s="44">
        <v>64</v>
      </c>
      <c r="Q69" s="44">
        <v>71</v>
      </c>
      <c r="R69" s="44">
        <v>86</v>
      </c>
      <c r="S69" s="44">
        <v>97</v>
      </c>
      <c r="T69" s="44">
        <v>92</v>
      </c>
      <c r="U69" s="44">
        <v>73</v>
      </c>
      <c r="V69" s="44">
        <v>72</v>
      </c>
      <c r="W69" s="44">
        <v>68</v>
      </c>
      <c r="X69" s="44">
        <v>65</v>
      </c>
      <c r="Y69" s="44">
        <v>57</v>
      </c>
      <c r="Z69" s="44">
        <v>81</v>
      </c>
      <c r="AA69" s="44">
        <v>74</v>
      </c>
      <c r="AB69" s="44">
        <v>66</v>
      </c>
      <c r="AC69" s="44">
        <v>63</v>
      </c>
      <c r="AD69" s="44">
        <v>68</v>
      </c>
      <c r="AE69" s="44">
        <f>787-519-213</f>
        <v>55</v>
      </c>
      <c r="AF69" s="44">
        <v>58</v>
      </c>
      <c r="AG69" s="44">
        <v>58</v>
      </c>
      <c r="AH69" s="44">
        <v>49</v>
      </c>
      <c r="AI69" s="44">
        <v>43</v>
      </c>
      <c r="AJ69" s="44">
        <v>35</v>
      </c>
      <c r="AK69" s="56">
        <v>35</v>
      </c>
      <c r="AL69" s="44">
        <v>30</v>
      </c>
      <c r="AM69" s="44">
        <v>28</v>
      </c>
      <c r="AN69" s="44">
        <v>25</v>
      </c>
      <c r="AO69" s="44">
        <v>30</v>
      </c>
      <c r="AP69" s="44">
        <v>25</v>
      </c>
      <c r="AQ69" s="73">
        <f>40-AQ70</f>
        <v>33</v>
      </c>
      <c r="AR69" s="44">
        <f t="shared" si="56"/>
        <v>33</v>
      </c>
      <c r="AS69" s="44">
        <v>29</v>
      </c>
      <c r="AT69" s="44">
        <v>36</v>
      </c>
      <c r="AU69" s="44">
        <v>16</v>
      </c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44"/>
      <c r="DB69" s="44"/>
      <c r="DC69" s="44"/>
      <c r="DD69" s="43"/>
      <c r="DE69" s="44">
        <v>690</v>
      </c>
      <c r="DF69" s="44">
        <v>282</v>
      </c>
      <c r="DG69" s="44">
        <v>293</v>
      </c>
      <c r="DH69" s="44">
        <f t="shared" si="47"/>
        <v>334</v>
      </c>
      <c r="DI69" s="44">
        <f>SUM(W69:Z69)</f>
        <v>271</v>
      </c>
      <c r="DJ69" s="44">
        <f t="shared" si="48"/>
        <v>271</v>
      </c>
      <c r="DK69" s="44">
        <f t="shared" si="57"/>
        <v>271</v>
      </c>
      <c r="DL69" s="44">
        <f t="shared" si="58"/>
        <v>143</v>
      </c>
      <c r="DM69" s="44">
        <f t="shared" si="41"/>
        <v>108</v>
      </c>
      <c r="DN69" s="44">
        <f t="shared" si="42"/>
        <v>131</v>
      </c>
      <c r="DO69" s="44">
        <f t="shared" si="54"/>
        <v>16</v>
      </c>
      <c r="DP69" s="44">
        <f>DO69</f>
        <v>16</v>
      </c>
      <c r="DQ69" s="44">
        <f t="shared" ref="DQ69:DT69" si="62">DP69</f>
        <v>16</v>
      </c>
      <c r="DR69" s="44">
        <f t="shared" si="62"/>
        <v>16</v>
      </c>
      <c r="DS69" s="44">
        <f t="shared" si="62"/>
        <v>16</v>
      </c>
      <c r="DT69" s="44">
        <f t="shared" si="62"/>
        <v>16</v>
      </c>
      <c r="DU69" s="44"/>
      <c r="DV69" s="75">
        <f t="shared" si="7"/>
        <v>0</v>
      </c>
      <c r="DW69" s="75">
        <f t="shared" si="8"/>
        <v>0</v>
      </c>
      <c r="DX69" s="75">
        <f t="shared" si="30"/>
        <v>0</v>
      </c>
      <c r="DY69" s="75">
        <f t="shared" si="31"/>
        <v>0</v>
      </c>
      <c r="DZ69" s="75">
        <f t="shared" si="32"/>
        <v>0</v>
      </c>
      <c r="EA69" s="44"/>
      <c r="EB69" s="44"/>
    </row>
    <row r="70" spans="1:132" s="11" customFormat="1">
      <c r="A70" s="35"/>
      <c r="B70" s="104" t="s">
        <v>340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>
        <v>0</v>
      </c>
      <c r="AH70" s="44"/>
      <c r="AI70" s="44"/>
      <c r="AJ70" s="44"/>
      <c r="AK70" s="56">
        <v>152</v>
      </c>
      <c r="AL70" s="44">
        <v>237</v>
      </c>
      <c r="AM70" s="44">
        <v>39</v>
      </c>
      <c r="AN70" s="44">
        <v>0</v>
      </c>
      <c r="AO70" s="44">
        <v>0</v>
      </c>
      <c r="AP70" s="44">
        <v>0</v>
      </c>
      <c r="AQ70" s="73">
        <v>7</v>
      </c>
      <c r="AR70" s="44">
        <v>0</v>
      </c>
      <c r="AS70" s="44">
        <v>0</v>
      </c>
      <c r="AT70" s="44">
        <v>0</v>
      </c>
      <c r="AU70" s="44">
        <v>0</v>
      </c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44"/>
      <c r="DB70" s="44"/>
      <c r="DC70" s="44"/>
      <c r="DD70" s="43"/>
      <c r="DE70" s="44"/>
      <c r="DF70" s="44"/>
      <c r="DG70" s="44"/>
      <c r="DH70" s="44"/>
      <c r="DI70" s="44"/>
      <c r="DJ70" s="44"/>
      <c r="DK70" s="44"/>
      <c r="DL70" s="44">
        <f t="shared" si="58"/>
        <v>389</v>
      </c>
      <c r="DM70" s="44">
        <f t="shared" si="41"/>
        <v>39</v>
      </c>
      <c r="DN70" s="44">
        <f t="shared" si="42"/>
        <v>7</v>
      </c>
      <c r="DO70" s="44"/>
      <c r="DP70" s="44"/>
      <c r="DQ70" s="44"/>
      <c r="DR70" s="44"/>
      <c r="DS70" s="44"/>
      <c r="DT70" s="44"/>
      <c r="DU70" s="44"/>
      <c r="DV70" s="75">
        <f t="shared" si="7"/>
        <v>0</v>
      </c>
      <c r="DW70" s="75">
        <f t="shared" si="8"/>
        <v>0</v>
      </c>
      <c r="DX70" s="75">
        <f t="shared" si="30"/>
        <v>0</v>
      </c>
      <c r="DY70" s="75">
        <f t="shared" si="31"/>
        <v>0</v>
      </c>
      <c r="DZ70" s="75">
        <f t="shared" si="32"/>
        <v>0</v>
      </c>
    </row>
    <row r="71" spans="1:132" s="11" customFormat="1">
      <c r="A71" s="35"/>
      <c r="B71" s="104" t="s">
        <v>451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56"/>
      <c r="AL71" s="44"/>
      <c r="AM71" s="44"/>
      <c r="AN71" s="44"/>
      <c r="AO71" s="44">
        <v>5</v>
      </c>
      <c r="AP71" s="44">
        <v>0</v>
      </c>
      <c r="AQ71" s="73">
        <v>4</v>
      </c>
      <c r="AR71" s="44">
        <f>AQ71</f>
        <v>4</v>
      </c>
      <c r="AS71" s="44">
        <v>10</v>
      </c>
      <c r="AT71" s="44">
        <v>14</v>
      </c>
      <c r="AU71" s="44">
        <v>16</v>
      </c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44"/>
      <c r="DB71" s="44"/>
      <c r="DC71" s="44"/>
      <c r="DD71" s="43"/>
      <c r="DE71" s="44"/>
      <c r="DF71" s="44"/>
      <c r="DG71" s="44"/>
      <c r="DH71" s="44"/>
      <c r="DI71" s="44"/>
      <c r="DJ71" s="44"/>
      <c r="DK71" s="44"/>
      <c r="DL71" s="44"/>
      <c r="DM71" s="44"/>
      <c r="DN71" s="44">
        <f t="shared" si="42"/>
        <v>32</v>
      </c>
      <c r="DO71" s="44">
        <f>SUM(AU71:AX71)</f>
        <v>16</v>
      </c>
      <c r="DP71" s="44">
        <f>+DO71*1.5</f>
        <v>24</v>
      </c>
      <c r="DQ71" s="44">
        <f>+DP71*1.5</f>
        <v>36</v>
      </c>
      <c r="DR71" s="44">
        <f>+DQ71*1.2</f>
        <v>43.199999999999996</v>
      </c>
      <c r="DS71" s="44">
        <f t="shared" ref="DS71:DT71" si="63">+DR71*1.2</f>
        <v>51.839999999999996</v>
      </c>
      <c r="DT71" s="44">
        <f t="shared" si="63"/>
        <v>62.207999999999991</v>
      </c>
      <c r="DU71" s="44"/>
      <c r="DV71" s="75">
        <f t="shared" si="7"/>
        <v>0</v>
      </c>
      <c r="DW71" s="75">
        <f t="shared" si="8"/>
        <v>0</v>
      </c>
      <c r="DX71" s="75">
        <f t="shared" si="30"/>
        <v>0</v>
      </c>
      <c r="DY71" s="75">
        <f t="shared" si="31"/>
        <v>0</v>
      </c>
      <c r="DZ71" s="75">
        <f t="shared" si="32"/>
        <v>0</v>
      </c>
      <c r="EA71" s="44"/>
      <c r="EB71" s="69"/>
    </row>
    <row r="72" spans="1:132" s="11" customFormat="1">
      <c r="A72" s="35"/>
      <c r="B72" s="104" t="s">
        <v>36</v>
      </c>
      <c r="C72" s="44">
        <v>48</v>
      </c>
      <c r="D72" s="44">
        <v>45</v>
      </c>
      <c r="E72" s="44">
        <v>20</v>
      </c>
      <c r="F72" s="44">
        <v>30</v>
      </c>
      <c r="G72" s="44">
        <v>32</v>
      </c>
      <c r="H72" s="44">
        <v>33</v>
      </c>
      <c r="I72" s="44">
        <v>27</v>
      </c>
      <c r="J72" s="44">
        <v>52</v>
      </c>
      <c r="K72" s="44">
        <v>31</v>
      </c>
      <c r="L72" s="44">
        <v>25</v>
      </c>
      <c r="M72" s="44">
        <v>20</v>
      </c>
      <c r="N72" s="44">
        <v>31</v>
      </c>
      <c r="O72" s="44">
        <v>30</v>
      </c>
      <c r="P72" s="44">
        <v>23</v>
      </c>
      <c r="Q72" s="44">
        <v>31</v>
      </c>
      <c r="R72" s="44">
        <v>32</v>
      </c>
      <c r="S72" s="44">
        <v>28</v>
      </c>
      <c r="T72" s="44">
        <v>13</v>
      </c>
      <c r="U72" s="44">
        <v>14</v>
      </c>
      <c r="V72" s="44">
        <v>17</v>
      </c>
      <c r="W72" s="44">
        <f>39-X72</f>
        <v>18</v>
      </c>
      <c r="X72" s="44">
        <v>21</v>
      </c>
      <c r="Y72" s="44">
        <v>20</v>
      </c>
      <c r="Z72" s="44">
        <v>22</v>
      </c>
      <c r="AA72" s="44">
        <f>38-AB72</f>
        <v>19</v>
      </c>
      <c r="AB72" s="44">
        <v>19</v>
      </c>
      <c r="AC72" s="44">
        <v>19</v>
      </c>
      <c r="AD72" s="44">
        <v>19</v>
      </c>
      <c r="AE72" s="44">
        <v>18</v>
      </c>
      <c r="AF72" s="44">
        <v>19</v>
      </c>
      <c r="AG72" s="44">
        <v>18</v>
      </c>
      <c r="AH72" s="44">
        <v>18</v>
      </c>
      <c r="AI72" s="44">
        <v>16</v>
      </c>
      <c r="AJ72" s="44">
        <v>16</v>
      </c>
      <c r="AK72" s="56">
        <v>17</v>
      </c>
      <c r="AL72" s="44">
        <v>17</v>
      </c>
      <c r="AM72" s="44"/>
      <c r="AN72" s="44"/>
      <c r="AO72" s="44"/>
      <c r="AP72" s="44"/>
      <c r="AQ72" s="56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44"/>
      <c r="DB72" s="44"/>
      <c r="DC72" s="44"/>
      <c r="DD72" s="43"/>
      <c r="DE72" s="44">
        <v>144</v>
      </c>
      <c r="DF72" s="44">
        <v>107</v>
      </c>
      <c r="DG72" s="44">
        <v>116</v>
      </c>
      <c r="DH72" s="44">
        <f>SUM(S72:V72)</f>
        <v>72</v>
      </c>
      <c r="DI72" s="44">
        <f>SUM(W72:Z72)</f>
        <v>81</v>
      </c>
      <c r="DJ72" s="44">
        <f>SUM(AA72:AD72)</f>
        <v>76</v>
      </c>
      <c r="DK72" s="44">
        <f>DJ72</f>
        <v>76</v>
      </c>
      <c r="DL72" s="44">
        <f>SUM(AI72:AL72)</f>
        <v>66</v>
      </c>
      <c r="DM72" s="44"/>
      <c r="DN72" s="44"/>
      <c r="DO72" s="44"/>
      <c r="DP72" s="44"/>
      <c r="DQ72" s="44"/>
      <c r="DR72" s="44"/>
      <c r="DS72" s="44"/>
      <c r="DT72" s="44"/>
      <c r="DU72" s="44"/>
      <c r="DV72" s="75">
        <f t="shared" si="7"/>
        <v>0</v>
      </c>
      <c r="DW72" s="75">
        <f t="shared" si="8"/>
        <v>0</v>
      </c>
      <c r="DX72" s="75">
        <f t="shared" si="30"/>
        <v>0</v>
      </c>
      <c r="DY72" s="75">
        <f t="shared" si="31"/>
        <v>0</v>
      </c>
      <c r="DZ72" s="75">
        <f t="shared" si="32"/>
        <v>0</v>
      </c>
      <c r="EA72" s="69"/>
      <c r="EB72" s="69"/>
    </row>
    <row r="73" spans="1:132" s="11" customFormat="1">
      <c r="A73" s="35"/>
      <c r="B73" s="104" t="s">
        <v>37</v>
      </c>
      <c r="C73" s="44">
        <v>32</v>
      </c>
      <c r="D73" s="44">
        <v>33</v>
      </c>
      <c r="E73" s="44">
        <v>29</v>
      </c>
      <c r="F73" s="44">
        <v>33</v>
      </c>
      <c r="G73" s="44">
        <v>31</v>
      </c>
      <c r="H73" s="44">
        <v>30</v>
      </c>
      <c r="I73" s="44">
        <v>30</v>
      </c>
      <c r="J73" s="44">
        <v>29</v>
      </c>
      <c r="K73" s="44">
        <v>31</v>
      </c>
      <c r="L73" s="44">
        <v>29</v>
      </c>
      <c r="M73" s="44">
        <v>31</v>
      </c>
      <c r="N73" s="44">
        <v>29</v>
      </c>
      <c r="O73" s="44">
        <v>25</v>
      </c>
      <c r="P73" s="44">
        <v>26</v>
      </c>
      <c r="Q73" s="44">
        <v>25</v>
      </c>
      <c r="R73" s="44">
        <v>25</v>
      </c>
      <c r="S73" s="44">
        <v>23</v>
      </c>
      <c r="T73" s="44">
        <v>23</v>
      </c>
      <c r="U73" s="44">
        <v>23</v>
      </c>
      <c r="V73" s="44">
        <v>22</v>
      </c>
      <c r="W73" s="44">
        <f>44-X73</f>
        <v>22</v>
      </c>
      <c r="X73" s="44">
        <v>22</v>
      </c>
      <c r="Y73" s="44">
        <v>21</v>
      </c>
      <c r="Z73" s="44">
        <v>23</v>
      </c>
      <c r="AA73" s="44">
        <f>46-AB73</f>
        <v>23</v>
      </c>
      <c r="AB73" s="44">
        <v>23</v>
      </c>
      <c r="AC73" s="44">
        <v>18</v>
      </c>
      <c r="AD73" s="44">
        <v>22</v>
      </c>
      <c r="AE73" s="44">
        <v>17</v>
      </c>
      <c r="AF73" s="44">
        <v>21</v>
      </c>
      <c r="AG73" s="44">
        <v>18</v>
      </c>
      <c r="AH73" s="44">
        <v>15</v>
      </c>
      <c r="AI73" s="44">
        <v>12</v>
      </c>
      <c r="AJ73" s="44">
        <v>16</v>
      </c>
      <c r="AK73" s="56">
        <v>16</v>
      </c>
      <c r="AL73" s="44">
        <v>19</v>
      </c>
      <c r="AM73" s="44"/>
      <c r="AN73" s="44"/>
      <c r="AO73" s="44"/>
      <c r="AP73" s="44"/>
      <c r="AQ73" s="56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44"/>
      <c r="DB73" s="44"/>
      <c r="DC73" s="44"/>
      <c r="DD73" s="43"/>
      <c r="DE73" s="44">
        <v>120</v>
      </c>
      <c r="DF73" s="44">
        <v>120</v>
      </c>
      <c r="DG73" s="44">
        <v>101</v>
      </c>
      <c r="DH73" s="44">
        <f>SUM(S73:V73)</f>
        <v>91</v>
      </c>
      <c r="DI73" s="44">
        <f>SUM(W73:Z73)</f>
        <v>88</v>
      </c>
      <c r="DJ73" s="44">
        <f>SUM(AA73:AD73)</f>
        <v>86</v>
      </c>
      <c r="DK73" s="44">
        <f>DJ73</f>
        <v>86</v>
      </c>
      <c r="DL73" s="44">
        <f>SUM(AI73:AL73)</f>
        <v>63</v>
      </c>
      <c r="DM73" s="44"/>
      <c r="DN73" s="44"/>
      <c r="DO73" s="44"/>
      <c r="DP73" s="44"/>
      <c r="DQ73" s="44"/>
      <c r="DR73" s="44"/>
      <c r="DS73" s="44"/>
      <c r="DT73" s="44"/>
      <c r="DU73" s="44"/>
      <c r="DV73" s="75">
        <f t="shared" si="7"/>
        <v>0</v>
      </c>
      <c r="DW73" s="75">
        <f t="shared" si="8"/>
        <v>0</v>
      </c>
      <c r="DX73" s="75">
        <f t="shared" si="30"/>
        <v>0</v>
      </c>
      <c r="DY73" s="75">
        <f t="shared" si="31"/>
        <v>0</v>
      </c>
      <c r="DZ73" s="75">
        <f t="shared" si="32"/>
        <v>0</v>
      </c>
      <c r="EA73" s="69"/>
      <c r="EB73" s="69"/>
    </row>
    <row r="74" spans="1:132" s="11" customFormat="1">
      <c r="A74" s="35"/>
      <c r="B74" s="104" t="s">
        <v>190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>
        <v>0</v>
      </c>
      <c r="AB74" s="44">
        <v>8</v>
      </c>
      <c r="AC74" s="44">
        <v>19</v>
      </c>
      <c r="AD74" s="44">
        <v>16</v>
      </c>
      <c r="AE74" s="44">
        <v>14</v>
      </c>
      <c r="AF74" s="44">
        <v>6</v>
      </c>
      <c r="AG74" s="44">
        <v>3</v>
      </c>
      <c r="AH74" s="44">
        <v>5</v>
      </c>
      <c r="AI74" s="44">
        <v>4</v>
      </c>
      <c r="AJ74" s="44">
        <v>5</v>
      </c>
      <c r="AK74" s="56">
        <v>2</v>
      </c>
      <c r="AL74" s="44">
        <v>4</v>
      </c>
      <c r="AM74" s="44"/>
      <c r="AN74" s="44"/>
      <c r="AO74" s="44"/>
      <c r="AP74" s="44"/>
      <c r="AQ74" s="56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44"/>
      <c r="DB74" s="44"/>
      <c r="DC74" s="44"/>
      <c r="DD74" s="43"/>
      <c r="DE74" s="44"/>
      <c r="DF74" s="44"/>
      <c r="DG74" s="44"/>
      <c r="DH74" s="44"/>
      <c r="DI74" s="44"/>
      <c r="DJ74" s="44">
        <f>SUM(AA74:AG74)</f>
        <v>66</v>
      </c>
      <c r="DK74" s="44">
        <f>DJ74</f>
        <v>66</v>
      </c>
      <c r="DL74" s="44">
        <f>SUM(AI74:AL74)</f>
        <v>15</v>
      </c>
      <c r="DM74" s="44"/>
      <c r="DN74" s="44"/>
      <c r="DO74" s="44"/>
      <c r="DP74" s="44"/>
      <c r="DQ74" s="44"/>
      <c r="DR74" s="44"/>
      <c r="DS74" s="44"/>
      <c r="DT74" s="44"/>
      <c r="DU74" s="44"/>
      <c r="DV74" s="75">
        <f t="shared" si="7"/>
        <v>0</v>
      </c>
      <c r="DW74" s="75">
        <f t="shared" si="8"/>
        <v>0</v>
      </c>
      <c r="DX74" s="75">
        <f t="shared" si="30"/>
        <v>0</v>
      </c>
      <c r="DY74" s="75">
        <f t="shared" si="31"/>
        <v>0</v>
      </c>
      <c r="DZ74" s="75">
        <f t="shared" si="32"/>
        <v>0</v>
      </c>
      <c r="EA74" s="69"/>
      <c r="EB74" s="69"/>
    </row>
    <row r="75" spans="1:132" s="11" customFormat="1">
      <c r="A75" s="35"/>
      <c r="B75" s="104" t="s">
        <v>41</v>
      </c>
      <c r="C75" s="44">
        <v>136</v>
      </c>
      <c r="D75" s="44">
        <v>144</v>
      </c>
      <c r="E75" s="44">
        <v>157</v>
      </c>
      <c r="F75" s="44">
        <v>181</v>
      </c>
      <c r="G75" s="44">
        <v>140</v>
      </c>
      <c r="H75" s="44">
        <v>117</v>
      </c>
      <c r="I75" s="44">
        <v>85</v>
      </c>
      <c r="J75" s="44">
        <v>138</v>
      </c>
      <c r="K75" s="44">
        <v>61</v>
      </c>
      <c r="L75" s="44">
        <v>39</v>
      </c>
      <c r="M75" s="44">
        <v>38</v>
      </c>
      <c r="N75" s="44">
        <v>40</v>
      </c>
      <c r="O75" s="44">
        <v>31</v>
      </c>
      <c r="P75" s="44">
        <v>38</v>
      </c>
      <c r="Q75" s="44">
        <v>30</v>
      </c>
      <c r="R75" s="44">
        <v>35</v>
      </c>
      <c r="S75" s="44">
        <v>28</v>
      </c>
      <c r="T75" s="44">
        <v>32</v>
      </c>
      <c r="U75" s="44">
        <v>26</v>
      </c>
      <c r="V75" s="44">
        <v>28</v>
      </c>
      <c r="W75" s="44">
        <f>45-X75</f>
        <v>21</v>
      </c>
      <c r="X75" s="44">
        <v>24</v>
      </c>
      <c r="Y75" s="44"/>
      <c r="Z75" s="44">
        <v>23</v>
      </c>
      <c r="AA75" s="44">
        <f>39-AB75</f>
        <v>19</v>
      </c>
      <c r="AB75" s="44">
        <v>20</v>
      </c>
      <c r="AC75" s="44"/>
      <c r="AD75" s="44">
        <v>24</v>
      </c>
      <c r="AE75" s="44">
        <v>18</v>
      </c>
      <c r="AF75" s="44"/>
      <c r="AG75" s="57" t="s">
        <v>342</v>
      </c>
      <c r="AH75" s="44"/>
      <c r="AI75" s="44"/>
      <c r="AJ75" s="44"/>
      <c r="AK75" s="56"/>
      <c r="AL75" s="44"/>
      <c r="AM75" s="44"/>
      <c r="AN75" s="44"/>
      <c r="AO75" s="44"/>
      <c r="AP75" s="44"/>
      <c r="AQ75" s="73">
        <v>23</v>
      </c>
      <c r="AR75" s="44">
        <f>AQ75</f>
        <v>23</v>
      </c>
      <c r="AS75" s="44">
        <v>0</v>
      </c>
      <c r="AT75" s="44">
        <v>0</v>
      </c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44"/>
      <c r="DB75" s="44"/>
      <c r="DC75" s="44"/>
      <c r="DD75" s="43"/>
      <c r="DE75" s="44">
        <v>480</v>
      </c>
      <c r="DF75" s="44">
        <v>178</v>
      </c>
      <c r="DG75" s="44">
        <v>134</v>
      </c>
      <c r="DH75" s="44">
        <f>SUM(S75:V75)</f>
        <v>114</v>
      </c>
      <c r="DI75" s="44">
        <f>SUM(W75:Z75)</f>
        <v>68</v>
      </c>
      <c r="DJ75" s="44">
        <f>SUM(AA75:AD75)</f>
        <v>63</v>
      </c>
      <c r="DK75" s="44">
        <f>DJ75</f>
        <v>63</v>
      </c>
      <c r="DL75" s="44">
        <f>SUM(AI75:AL75)</f>
        <v>0</v>
      </c>
      <c r="DM75" s="44"/>
      <c r="DN75" s="44">
        <f>SUM(AQ75:AT75)</f>
        <v>46</v>
      </c>
      <c r="DO75" s="44"/>
      <c r="DP75" s="43">
        <f t="shared" ref="DP75:DT75" si="64">DO75*0.5</f>
        <v>0</v>
      </c>
      <c r="DQ75" s="43">
        <f t="shared" si="64"/>
        <v>0</v>
      </c>
      <c r="DR75" s="43">
        <f t="shared" si="64"/>
        <v>0</v>
      </c>
      <c r="DS75" s="43">
        <f t="shared" si="64"/>
        <v>0</v>
      </c>
      <c r="DT75" s="43">
        <f t="shared" si="64"/>
        <v>0</v>
      </c>
      <c r="DU75" s="43"/>
      <c r="DV75" s="75">
        <f t="shared" si="7"/>
        <v>0</v>
      </c>
      <c r="DW75" s="75">
        <f t="shared" si="8"/>
        <v>0</v>
      </c>
      <c r="DX75" s="75">
        <f t="shared" si="30"/>
        <v>0</v>
      </c>
      <c r="DY75" s="75">
        <f t="shared" si="31"/>
        <v>0</v>
      </c>
      <c r="DZ75" s="75">
        <f t="shared" si="32"/>
        <v>0</v>
      </c>
      <c r="EA75" s="69"/>
      <c r="EB75" s="69"/>
    </row>
    <row r="76" spans="1:132" s="11" customFormat="1">
      <c r="A76" s="35"/>
      <c r="B76" s="104" t="s">
        <v>326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56"/>
      <c r="AL76" s="44"/>
      <c r="AM76" s="44"/>
      <c r="AN76" s="44"/>
      <c r="AO76" s="44"/>
      <c r="AP76" s="44"/>
      <c r="AQ76" s="56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44"/>
      <c r="DB76" s="44"/>
      <c r="DC76" s="44"/>
      <c r="DD76" s="43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75">
        <f t="shared" si="7"/>
        <v>0</v>
      </c>
      <c r="DW76" s="75">
        <f t="shared" si="8"/>
        <v>0</v>
      </c>
      <c r="DX76" s="75">
        <f t="shared" si="30"/>
        <v>0</v>
      </c>
      <c r="DY76" s="75">
        <f t="shared" si="31"/>
        <v>0</v>
      </c>
      <c r="DZ76" s="75">
        <f t="shared" si="32"/>
        <v>0</v>
      </c>
      <c r="EA76" s="69"/>
      <c r="EB76" s="69"/>
    </row>
    <row r="77" spans="1:132" s="11" customFormat="1">
      <c r="A77" s="35"/>
      <c r="B77" s="104" t="s">
        <v>474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56"/>
      <c r="AL77" s="44"/>
      <c r="AM77" s="44"/>
      <c r="AN77" s="44"/>
      <c r="AO77" s="44"/>
      <c r="AP77" s="44"/>
      <c r="AQ77" s="56"/>
      <c r="AR77" s="44"/>
      <c r="AS77" s="44">
        <v>0</v>
      </c>
      <c r="AT77" s="44">
        <v>0</v>
      </c>
      <c r="AU77" s="44">
        <v>5</v>
      </c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44"/>
      <c r="DB77" s="44"/>
      <c r="DC77" s="44"/>
      <c r="DD77" s="43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>
        <f>SUM(AU77:AX77)</f>
        <v>5</v>
      </c>
      <c r="DP77" s="44">
        <f>+DO77*2</f>
        <v>10</v>
      </c>
      <c r="DQ77" s="44">
        <f>+DP77*1.5</f>
        <v>15</v>
      </c>
      <c r="DR77" s="44">
        <f>+DQ77*1.2</f>
        <v>18</v>
      </c>
      <c r="DS77" s="44">
        <f>+DR77*1.2</f>
        <v>21.599999999999998</v>
      </c>
      <c r="DT77" s="44">
        <f>+DS77*1.2</f>
        <v>25.919999999999998</v>
      </c>
      <c r="DU77" s="44"/>
      <c r="DV77" s="75">
        <f t="shared" si="7"/>
        <v>0</v>
      </c>
      <c r="DW77" s="75">
        <f t="shared" si="8"/>
        <v>0</v>
      </c>
      <c r="DX77" s="44"/>
      <c r="DY77" s="44"/>
      <c r="DZ77" s="44"/>
      <c r="EA77" s="44"/>
      <c r="EB77" s="69"/>
    </row>
    <row r="78" spans="1:132" s="11" customFormat="1">
      <c r="A78" s="35"/>
      <c r="B78" s="104">
        <v>6140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56"/>
      <c r="AL78" s="44"/>
      <c r="AM78" s="44"/>
      <c r="AN78" s="44"/>
      <c r="AO78" s="44"/>
      <c r="AP78" s="44"/>
      <c r="AQ78" s="56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44"/>
      <c r="DB78" s="44"/>
      <c r="DC78" s="44"/>
      <c r="DD78" s="43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75">
        <f t="shared" si="7"/>
        <v>0</v>
      </c>
      <c r="DW78" s="75">
        <f t="shared" si="8"/>
        <v>0</v>
      </c>
    </row>
    <row r="79" spans="1:132" s="11" customFormat="1">
      <c r="A79" s="35"/>
      <c r="B79" s="104" t="s">
        <v>240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56"/>
      <c r="AL79" s="44"/>
      <c r="AM79" s="44"/>
      <c r="AN79" s="44"/>
      <c r="AO79" s="44"/>
      <c r="AP79" s="44"/>
      <c r="AQ79" s="56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44"/>
      <c r="DB79" s="44"/>
      <c r="DC79" s="44"/>
      <c r="DD79" s="43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75">
        <f t="shared" ref="DV79:DV80" si="65">SUM(BW79:BZ79)</f>
        <v>0</v>
      </c>
      <c r="DW79" s="75">
        <f t="shared" ref="DW79:DW80" si="66">SUM(CA79:CD79)</f>
        <v>0</v>
      </c>
    </row>
    <row r="80" spans="1:132" s="11" customFormat="1">
      <c r="A80" s="35"/>
      <c r="B80" s="104" t="s">
        <v>48</v>
      </c>
      <c r="C80" s="44"/>
      <c r="D80" s="44"/>
      <c r="E80" s="44"/>
      <c r="F80" s="44"/>
      <c r="G80" s="44">
        <v>116</v>
      </c>
      <c r="H80" s="44">
        <v>123</v>
      </c>
      <c r="I80" s="44">
        <v>124</v>
      </c>
      <c r="J80" s="44">
        <v>135</v>
      </c>
      <c r="K80" s="44">
        <v>140</v>
      </c>
      <c r="L80" s="44">
        <v>137</v>
      </c>
      <c r="M80" s="44">
        <v>116</v>
      </c>
      <c r="N80" s="44">
        <v>138</v>
      </c>
      <c r="O80" s="44">
        <v>132</v>
      </c>
      <c r="P80" s="44">
        <v>141</v>
      </c>
      <c r="Q80" s="44">
        <v>139</v>
      </c>
      <c r="R80" s="44">
        <v>148</v>
      </c>
      <c r="S80" s="44">
        <v>156</v>
      </c>
      <c r="T80" s="44">
        <v>166</v>
      </c>
      <c r="U80" s="44">
        <v>154</v>
      </c>
      <c r="V80" s="44">
        <v>171</v>
      </c>
      <c r="W80" s="44">
        <f>88+83</f>
        <v>171</v>
      </c>
      <c r="X80" s="44">
        <f>93+90</f>
        <v>183</v>
      </c>
      <c r="Y80" s="44">
        <f>95+85</f>
        <v>180</v>
      </c>
      <c r="Z80" s="44">
        <f>98+102</f>
        <v>200</v>
      </c>
      <c r="AA80" s="44">
        <f>98+102</f>
        <v>200</v>
      </c>
      <c r="AB80" s="44">
        <f>111+102</f>
        <v>213</v>
      </c>
      <c r="AC80" s="44">
        <v>204</v>
      </c>
      <c r="AD80" s="44">
        <f>8170-SUM(AD14:AD69)</f>
        <v>746</v>
      </c>
      <c r="AE80" s="44">
        <f>7677-SUM(AE14:AE69)</f>
        <v>626</v>
      </c>
      <c r="AF80" s="44">
        <f>148+98</f>
        <v>246</v>
      </c>
      <c r="AG80" s="44">
        <f>129+98</f>
        <v>227</v>
      </c>
      <c r="AH80" s="44">
        <f>101+124</f>
        <v>225</v>
      </c>
      <c r="AI80" s="44">
        <f>105+117</f>
        <v>222</v>
      </c>
      <c r="AJ80" s="44">
        <f>112+127</f>
        <v>239</v>
      </c>
      <c r="AK80" s="44">
        <f>104+120</f>
        <v>224</v>
      </c>
      <c r="AL80" s="44">
        <f>72+142</f>
        <v>214</v>
      </c>
      <c r="AM80" s="44">
        <f>64+132</f>
        <v>196</v>
      </c>
      <c r="AN80" s="44">
        <f>59+134</f>
        <v>193</v>
      </c>
      <c r="AO80" s="44">
        <f>42+123</f>
        <v>165</v>
      </c>
      <c r="AP80" s="44">
        <f>146+54</f>
        <v>200</v>
      </c>
      <c r="AQ80" s="73">
        <f>53+141</f>
        <v>194</v>
      </c>
      <c r="AR80" s="44">
        <f>AQ80</f>
        <v>194</v>
      </c>
      <c r="AS80" s="44">
        <f>56+88</f>
        <v>144</v>
      </c>
      <c r="AT80" s="44">
        <v>55</v>
      </c>
      <c r="AU80" s="44">
        <v>29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44"/>
      <c r="DB80" s="44"/>
      <c r="DC80" s="44"/>
      <c r="DD80" s="43"/>
      <c r="DE80" s="44">
        <v>498</v>
      </c>
      <c r="DF80" s="44">
        <v>531</v>
      </c>
      <c r="DG80" s="44">
        <v>560</v>
      </c>
      <c r="DH80" s="44">
        <f>SUM(S80:V80)</f>
        <v>647</v>
      </c>
      <c r="DI80" s="44">
        <f>SUM(W80:Z80)</f>
        <v>734</v>
      </c>
      <c r="DJ80" s="44">
        <f>SUM(AA80:AD80)</f>
        <v>1363</v>
      </c>
      <c r="DK80" s="44">
        <f>DJ80</f>
        <v>1363</v>
      </c>
      <c r="DL80" s="44">
        <f>SUM(AI80:AL80)</f>
        <v>899</v>
      </c>
      <c r="DM80" s="44">
        <f>SUM(AM80:AP80)</f>
        <v>754</v>
      </c>
      <c r="DN80" s="44">
        <f>SUM(AQ80:AT80)</f>
        <v>587</v>
      </c>
      <c r="DO80" s="44">
        <f>SUM(AU80:AX80)</f>
        <v>29</v>
      </c>
      <c r="DP80" s="44">
        <v>0</v>
      </c>
      <c r="DQ80" s="44">
        <f t="shared" ref="DQ80:DT80" si="67">DP80</f>
        <v>0</v>
      </c>
      <c r="DR80" s="44">
        <f t="shared" si="67"/>
        <v>0</v>
      </c>
      <c r="DS80" s="44">
        <f t="shared" si="67"/>
        <v>0</v>
      </c>
      <c r="DT80" s="44">
        <f t="shared" si="67"/>
        <v>0</v>
      </c>
      <c r="DU80" s="44"/>
      <c r="DV80" s="75">
        <f t="shared" si="65"/>
        <v>0</v>
      </c>
      <c r="DW80" s="75">
        <f t="shared" si="66"/>
        <v>0</v>
      </c>
      <c r="DX80" s="44"/>
      <c r="DY80" s="44"/>
      <c r="DZ80" s="44"/>
      <c r="EA80" s="44"/>
      <c r="EB80" s="44"/>
    </row>
    <row r="81" spans="1:199" s="10" customFormat="1">
      <c r="A81" s="101"/>
      <c r="B81" s="105" t="s">
        <v>559</v>
      </c>
      <c r="C81" s="74">
        <v>3933</v>
      </c>
      <c r="D81" s="74">
        <v>4035</v>
      </c>
      <c r="E81" s="74">
        <v>3888</v>
      </c>
      <c r="F81" s="74">
        <v>4366.5</v>
      </c>
      <c r="G81" s="74">
        <v>4346.3</v>
      </c>
      <c r="H81" s="74">
        <v>4312</v>
      </c>
      <c r="I81" s="74">
        <v>4282</v>
      </c>
      <c r="J81" s="74">
        <v>4901</v>
      </c>
      <c r="K81" s="74">
        <v>4744</v>
      </c>
      <c r="L81" s="74">
        <v>4447</v>
      </c>
      <c r="M81" s="74">
        <v>4817</v>
      </c>
      <c r="N81" s="74">
        <v>4841.3999999999996</v>
      </c>
      <c r="O81" s="74">
        <v>5074</v>
      </c>
      <c r="P81" s="74">
        <v>5288</v>
      </c>
      <c r="Q81" s="74">
        <v>5265</v>
      </c>
      <c r="R81" s="74">
        <v>5799</v>
      </c>
      <c r="S81" s="74">
        <v>5743</v>
      </c>
      <c r="T81" s="74">
        <v>6132.25</v>
      </c>
      <c r="U81" s="74">
        <v>5789</v>
      </c>
      <c r="V81" s="74">
        <f>SUM(V14:V80)</f>
        <v>6022</v>
      </c>
      <c r="W81" s="74">
        <f>SUM(W14:W80)</f>
        <v>5903</v>
      </c>
      <c r="X81" s="74">
        <f>SUM(X14:X80)</f>
        <v>6317</v>
      </c>
      <c r="Y81" s="74">
        <f>SUM(Y14:Y80)</f>
        <v>6240</v>
      </c>
      <c r="Z81" s="74">
        <f>SUM(Z14:Z80)</f>
        <v>6902</v>
      </c>
      <c r="AA81" s="74">
        <f>SUM(AA14:AA80)</f>
        <v>6612</v>
      </c>
      <c r="AB81" s="74">
        <f>SUM(AB14:AB80)</f>
        <v>6859</v>
      </c>
      <c r="AC81" s="74">
        <f>SUM(AC14:AC80)</f>
        <v>6779</v>
      </c>
      <c r="AD81" s="74">
        <f>SUM(AD14:AD80)</f>
        <v>8251</v>
      </c>
      <c r="AE81" s="74">
        <f>SUM(AE14:AE80)</f>
        <v>7744</v>
      </c>
      <c r="AF81" s="74">
        <f>SUM(AF14:AF80)</f>
        <v>7438</v>
      </c>
      <c r="AG81" s="74">
        <f>SUM(AG14:AG80)</f>
        <v>7274</v>
      </c>
      <c r="AH81" s="74">
        <f>SUM(AH14:AH80)</f>
        <v>7679</v>
      </c>
      <c r="AI81" s="74">
        <f>SUM(AI14:AI80)</f>
        <v>7186</v>
      </c>
      <c r="AJ81" s="74">
        <f>SUM(AJ14:AJ80)</f>
        <v>7407</v>
      </c>
      <c r="AK81" s="74">
        <f>SUM(AK14:AK80)</f>
        <v>7638</v>
      </c>
      <c r="AL81" s="74">
        <f>SUM(AL14:AL80)</f>
        <v>8279</v>
      </c>
      <c r="AM81" s="74">
        <f>SUM(AM14:AM80)</f>
        <v>7875</v>
      </c>
      <c r="AN81" s="74">
        <f>SUM(AN14:AN80)</f>
        <v>7514</v>
      </c>
      <c r="AO81" s="74">
        <f>SUM(AO14:AO80)</f>
        <v>7258</v>
      </c>
      <c r="AP81" s="74">
        <f>SUM(AP14:AP80)</f>
        <v>7876</v>
      </c>
      <c r="AQ81" s="94">
        <f>SUM(AQ14:AQ80)</f>
        <v>7540</v>
      </c>
      <c r="AR81" s="74">
        <f>SUM(AR14:AR80)</f>
        <v>7082.16</v>
      </c>
      <c r="AS81" s="74">
        <f>SUM(AS14:AS80)</f>
        <v>7458</v>
      </c>
      <c r="AT81" s="74">
        <f>SUM(AT14:AT80)</f>
        <v>7817</v>
      </c>
      <c r="AU81" s="74">
        <f>SUM(AU14:AU80)</f>
        <v>6626</v>
      </c>
      <c r="AV81" s="74">
        <f>SUM(AV14:AV80)</f>
        <v>0</v>
      </c>
      <c r="AW81" s="74">
        <f>SUM(AW14:AW80)</f>
        <v>0</v>
      </c>
      <c r="AX81" s="74">
        <f>SUM(AX14:AX80)</f>
        <v>0</v>
      </c>
      <c r="AY81" s="74">
        <f>SUM(AY14:AY80)</f>
        <v>4825</v>
      </c>
      <c r="AZ81" s="74">
        <f>SUM(AZ14:AZ80)</f>
        <v>4461</v>
      </c>
      <c r="BA81" s="74">
        <f>SUM(BA14:BA80)</f>
        <v>0</v>
      </c>
      <c r="BB81" s="74">
        <f>SUM(BB14:BB80)</f>
        <v>0</v>
      </c>
      <c r="BC81" s="74">
        <f>SUM(BC14:BC80)</f>
        <v>5488</v>
      </c>
      <c r="BD81" s="74">
        <f>SUM(BD14:BD80)</f>
        <v>5526</v>
      </c>
      <c r="BE81" s="74">
        <f>SUM(BE14:BE80)</f>
        <v>0</v>
      </c>
      <c r="BF81" s="74">
        <f>SUM(BF14:BF80)</f>
        <v>0</v>
      </c>
      <c r="BG81" s="74">
        <f>SUM(BG14:BG80)</f>
        <v>0</v>
      </c>
      <c r="BH81" s="74">
        <f>SUM(BH14:BH80)</f>
        <v>0</v>
      </c>
      <c r="BI81" s="74">
        <f>SUM(BI14:BI80)</f>
        <v>0</v>
      </c>
      <c r="BJ81" s="74">
        <f>SUM(BJ14:BJ80)</f>
        <v>0</v>
      </c>
      <c r="BK81" s="74">
        <f>SUM(BK14:BK80)</f>
        <v>0</v>
      </c>
      <c r="BL81" s="74">
        <f>SUM(BL14:BL80)</f>
        <v>0</v>
      </c>
      <c r="BM81" s="74">
        <f>SUM(BM14:BM80)</f>
        <v>0</v>
      </c>
      <c r="BN81" s="74">
        <f>SUM(BN3:BN80)</f>
        <v>0</v>
      </c>
      <c r="BO81" s="74">
        <f>SUM(BO3:BO80)</f>
        <v>0</v>
      </c>
      <c r="BP81" s="74">
        <f>SUM(BP3:BP80)</f>
        <v>0</v>
      </c>
      <c r="BQ81" s="74">
        <f>SUM(BQ3:BQ80)</f>
        <v>0</v>
      </c>
      <c r="BR81" s="74">
        <f>SUM(BR3:BR80)</f>
        <v>5487</v>
      </c>
      <c r="BS81" s="74">
        <f>SUM(BS3:BS80)</f>
        <v>4985</v>
      </c>
      <c r="BT81" s="74">
        <f>SUM(BT3:BT80)</f>
        <v>5030</v>
      </c>
      <c r="BU81" s="74">
        <f>SUM(BU3:BU80)</f>
        <v>5266</v>
      </c>
      <c r="BV81" s="74">
        <f>SUM(BV3:BV80)</f>
        <v>5768</v>
      </c>
      <c r="BW81" s="95">
        <f>SUM(BW3:BW80)</f>
        <v>5465</v>
      </c>
      <c r="BX81" s="95">
        <f>SUM(BX3:BX80)</f>
        <v>5718</v>
      </c>
      <c r="BY81" s="95">
        <f>SUM(BY3:BY80)</f>
        <v>6128</v>
      </c>
      <c r="BZ81" s="95">
        <f>SUM(BZ3:BZ80)</f>
        <v>6667</v>
      </c>
      <c r="CA81" s="95">
        <f>SUM(CA3:CA80)</f>
        <v>6354</v>
      </c>
      <c r="CB81" s="95">
        <f>SUM(CB3:CB80)</f>
        <v>6275</v>
      </c>
      <c r="CC81" s="95">
        <f>SUM(CC3:CC80)</f>
        <v>6578</v>
      </c>
      <c r="CD81" s="95">
        <f>SUM(CD3:CD80)</f>
        <v>7410</v>
      </c>
      <c r="CE81" s="95">
        <f>SUM(CE3:CE80)</f>
        <v>7320</v>
      </c>
      <c r="CF81" s="95">
        <f>SUM(CF3:CF80)</f>
        <v>8220</v>
      </c>
      <c r="CG81" s="95">
        <f>SUM(CG3:CG80)</f>
        <v>9866</v>
      </c>
      <c r="CH81" s="95">
        <f>SUM(CH3:CH80)</f>
        <v>12011</v>
      </c>
      <c r="CI81" s="95">
        <f>SUM(CI3:CI80)</f>
        <v>11390</v>
      </c>
      <c r="CJ81" s="95">
        <f>SUM(CJ3:CJ80)</f>
        <v>10771</v>
      </c>
      <c r="CK81" s="95">
        <f>SUM(CK3:CK80)</f>
        <v>10982</v>
      </c>
      <c r="CL81" s="95">
        <f>SUM(CL3:CL80)</f>
        <v>11207</v>
      </c>
      <c r="CM81" s="95">
        <f>SUM(CM3:CM80)</f>
        <v>10879</v>
      </c>
      <c r="CN81" s="95">
        <f>SUM(CN3:CN80)</f>
        <v>11417</v>
      </c>
      <c r="CO81" s="95">
        <f>SUM(CO3:CO80)</f>
        <v>11492</v>
      </c>
      <c r="CP81" s="95">
        <f>SUM(CP3:CP80)</f>
        <v>12024</v>
      </c>
      <c r="CQ81" s="95">
        <f>SUM(CQ3:CQ80)</f>
        <v>13137</v>
      </c>
      <c r="CR81" s="95">
        <f>SUM(CR3:CR80)</f>
        <v>12938</v>
      </c>
      <c r="CS81" s="95"/>
      <c r="CT81" s="95"/>
      <c r="CU81" s="95"/>
      <c r="CV81" s="95"/>
      <c r="CW81" s="95"/>
      <c r="CX81" s="95"/>
      <c r="CY81" s="95"/>
      <c r="CZ81" s="95"/>
      <c r="DA81" s="74"/>
      <c r="DB81" s="74"/>
      <c r="DC81" s="74"/>
      <c r="DD81" s="51"/>
      <c r="DE81" s="96">
        <v>17841.3</v>
      </c>
      <c r="DF81" s="96">
        <v>18849.400000000001</v>
      </c>
      <c r="DG81" s="96">
        <v>21426</v>
      </c>
      <c r="DH81" s="96">
        <f>SUM(DH14:DH80)</f>
        <v>22944.25</v>
      </c>
      <c r="DI81" s="96">
        <f>SUM(DI14:DI80)</f>
        <v>25362</v>
      </c>
      <c r="DJ81" s="96">
        <f>SUM(DJ14:DJ80)</f>
        <v>28311</v>
      </c>
      <c r="DK81" s="96">
        <f>SUM(DK14:DK80)</f>
        <v>29874</v>
      </c>
      <c r="DL81" s="96">
        <f>SUM(DL14:DL80)</f>
        <v>30510</v>
      </c>
      <c r="DM81" s="96">
        <f>SUM(DM14:DM80)</f>
        <v>30518</v>
      </c>
      <c r="DN81" s="96">
        <f>SUM(DN14:DN80)</f>
        <v>29897.159999999996</v>
      </c>
      <c r="DO81" s="96">
        <f>SUM(DO14:DO80)</f>
        <v>7026</v>
      </c>
      <c r="DP81" s="96">
        <f>SUM(DP14:DP80)</f>
        <v>6264.9</v>
      </c>
      <c r="DQ81" s="96">
        <f>SUM(DQ14:DQ80)</f>
        <v>6121.1438000000007</v>
      </c>
      <c r="DR81" s="96">
        <f>SUM(DR14:DR80)</f>
        <v>5506.4488259999998</v>
      </c>
      <c r="DS81" s="96">
        <f>SUM(DS14:DS80)</f>
        <v>5074.6351404600009</v>
      </c>
      <c r="DT81" s="96">
        <f>SUM(DT14:DT80)</f>
        <v>4365.5005070085008</v>
      </c>
      <c r="DU81" s="96">
        <f>SUM(DU14:DU80)</f>
        <v>0</v>
      </c>
      <c r="DV81" s="96">
        <f>SUM(DV3:DV80)</f>
        <v>23978</v>
      </c>
      <c r="DW81" s="96">
        <f>SUM(DW3:DW80)</f>
        <v>26617</v>
      </c>
      <c r="DX81" s="96">
        <f>SUM(DX3:DX80)</f>
        <v>37417</v>
      </c>
      <c r="DY81" s="96">
        <f>SUM(DY3:DY80)</f>
        <v>44346</v>
      </c>
      <c r="DZ81" s="96">
        <f>SUM(DZ3:DZ80)</f>
        <v>45812</v>
      </c>
      <c r="EA81" s="96">
        <f>SUM(EA3:EA80)</f>
        <v>33558.849999999991</v>
      </c>
      <c r="EB81" s="96">
        <f>SUM(EB3:EB80)</f>
        <v>31773.016700000004</v>
      </c>
      <c r="EC81" s="96">
        <f>SUM(EC3:EC80)</f>
        <v>25831.418053000001</v>
      </c>
      <c r="ED81" s="96">
        <f>SUM(ED3:ED80)</f>
        <v>24556.601619109995</v>
      </c>
      <c r="EE81" s="96">
        <f>SUM(EE3:EE80)</f>
        <v>24261.884203568501</v>
      </c>
      <c r="EF81" s="96">
        <f>SUM(EF3:EF80)</f>
        <v>23301.10039271996</v>
      </c>
      <c r="EG81" s="96">
        <f>SUM(EG3:EG80)</f>
        <v>22445.300108567324</v>
      </c>
      <c r="EH81" s="96">
        <f>SUM(EH3:EH80)</f>
        <v>21660.546932870464</v>
      </c>
      <c r="EI81" s="96">
        <f>SUM(EI3:EI80)</f>
        <v>18585.343541466311</v>
      </c>
      <c r="EJ81" s="96">
        <f>SUM(EJ3:EJ80)</f>
        <v>16075.705646000903</v>
      </c>
      <c r="EK81" s="96">
        <f>SUM(EK3:EK80)</f>
        <v>15278.181418457518</v>
      </c>
      <c r="EL81" s="96">
        <f>SUM(EL3:EL80)</f>
        <v>14852.394080928119</v>
      </c>
    </row>
    <row r="82" spans="1:199">
      <c r="B82" s="35" t="s">
        <v>560</v>
      </c>
      <c r="C82" s="38"/>
      <c r="D82" s="38"/>
      <c r="E82" s="38"/>
      <c r="F82" s="38"/>
      <c r="G82" s="38"/>
      <c r="H82" s="38"/>
      <c r="I82" s="38"/>
      <c r="J82" s="38"/>
      <c r="K82" s="38">
        <v>-1184</v>
      </c>
      <c r="L82" s="38">
        <v>-1073</v>
      </c>
      <c r="M82" s="38">
        <v>-1177</v>
      </c>
      <c r="N82" s="38">
        <v>-1029</v>
      </c>
      <c r="O82" s="38">
        <v>-1158</v>
      </c>
      <c r="P82" s="38">
        <v>-1251</v>
      </c>
      <c r="Q82" s="38">
        <v>-1286</v>
      </c>
      <c r="R82" s="38">
        <v>-1498</v>
      </c>
      <c r="S82" s="38">
        <v>-1410</v>
      </c>
      <c r="T82" s="38">
        <v>-1313</v>
      </c>
      <c r="U82" s="38">
        <v>-1245</v>
      </c>
      <c r="V82" s="38">
        <v>-1388</v>
      </c>
      <c r="W82" s="38">
        <f>1251+54</f>
        <v>1305</v>
      </c>
      <c r="X82" s="38">
        <f>1391+58</f>
        <v>1449</v>
      </c>
      <c r="Y82" s="38">
        <f>1339+53</f>
        <v>1392</v>
      </c>
      <c r="Z82" s="38">
        <f>1578+61</f>
        <v>1639</v>
      </c>
      <c r="AA82" s="38">
        <f>1486+61</f>
        <v>1547</v>
      </c>
      <c r="AB82" s="38">
        <f>1668+61</f>
        <v>1729</v>
      </c>
      <c r="AC82" s="38">
        <f>1444+59</f>
        <v>1503</v>
      </c>
      <c r="AD82" s="38">
        <f>1821+67</f>
        <v>1888</v>
      </c>
      <c r="AE82" s="38">
        <f>1502+66</f>
        <v>1568</v>
      </c>
      <c r="AF82" s="38">
        <f>1455+75</f>
        <v>1530</v>
      </c>
      <c r="AG82" s="38">
        <f>1529+79</f>
        <v>1608</v>
      </c>
      <c r="AH82" s="38">
        <f>2112+71</f>
        <v>2183</v>
      </c>
      <c r="AI82" s="38">
        <f>1383+64</f>
        <v>1447</v>
      </c>
      <c r="AJ82" s="38">
        <f>1464+70</f>
        <v>1534</v>
      </c>
      <c r="AK82" s="38">
        <f>1263+73</f>
        <v>1336</v>
      </c>
      <c r="AL82" s="38">
        <f>1665+91</f>
        <v>1756</v>
      </c>
      <c r="AM82" s="38">
        <f>1654+78</f>
        <v>1732</v>
      </c>
      <c r="AN82" s="38">
        <f>1452+88</f>
        <v>1540</v>
      </c>
      <c r="AO82" s="38">
        <f>1524+82</f>
        <v>1606</v>
      </c>
      <c r="AP82" s="38">
        <v>1759</v>
      </c>
      <c r="AQ82" s="38">
        <f>1339+80</f>
        <v>1419</v>
      </c>
      <c r="AR82" s="38">
        <f>AR81-AR83</f>
        <v>1203.9672</v>
      </c>
      <c r="AS82" s="38">
        <f>1593+93</f>
        <v>1686</v>
      </c>
      <c r="AT82" s="38">
        <f>1612+85</f>
        <v>1697</v>
      </c>
      <c r="AU82" s="38">
        <f>1375+76</f>
        <v>1451</v>
      </c>
      <c r="AV82" s="38">
        <f t="shared" ref="AV82:BB82" si="68">+AV81-AV83</f>
        <v>0</v>
      </c>
      <c r="AW82" s="38">
        <f t="shared" si="68"/>
        <v>0</v>
      </c>
      <c r="AX82" s="38">
        <f t="shared" si="68"/>
        <v>0</v>
      </c>
      <c r="AY82" s="38"/>
      <c r="AZ82" s="38"/>
      <c r="BA82" s="38">
        <f t="shared" si="68"/>
        <v>0</v>
      </c>
      <c r="BB82" s="38">
        <f t="shared" si="68"/>
        <v>0</v>
      </c>
      <c r="BC82" s="38"/>
      <c r="BD82" s="38">
        <f>1307+77</f>
        <v>1384</v>
      </c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82"/>
      <c r="BX82" s="82"/>
      <c r="BY82" s="82"/>
      <c r="BZ82" s="82">
        <f>1378+92</f>
        <v>1470</v>
      </c>
      <c r="CA82" s="82">
        <f>1420+87</f>
        <v>1507</v>
      </c>
      <c r="CB82" s="82">
        <f>984+104</f>
        <v>1088</v>
      </c>
      <c r="CC82" s="82">
        <f>1370+99</f>
        <v>1469</v>
      </c>
      <c r="CD82" s="82">
        <f>1525+109-9-16-1</f>
        <v>1608</v>
      </c>
      <c r="CE82" s="82">
        <f>1864-99-7-17</f>
        <v>1741</v>
      </c>
      <c r="CF82" s="82">
        <f>2191+103-6-16</f>
        <v>2272</v>
      </c>
      <c r="CG82" s="82">
        <f>3757+120-208-14-1049-2</f>
        <v>2604</v>
      </c>
      <c r="CH82" s="82">
        <f>4625+124-1157-501-16</f>
        <v>3075</v>
      </c>
      <c r="CI82" s="82">
        <f>3511+124-51-8-1181</f>
        <v>2395</v>
      </c>
      <c r="CJ82" s="82">
        <f>2998+129-30-8-1139</f>
        <v>1950</v>
      </c>
      <c r="CK82" s="82"/>
      <c r="CL82" s="82"/>
      <c r="CM82" s="82"/>
      <c r="CN82" s="82">
        <f>1960+131</f>
        <v>2091</v>
      </c>
      <c r="CO82" s="82"/>
      <c r="CP82" s="82"/>
      <c r="CQ82" s="82"/>
      <c r="CR82" s="82">
        <f>2183+132</f>
        <v>2315</v>
      </c>
      <c r="CS82" s="82"/>
      <c r="CT82" s="82"/>
      <c r="CU82" s="82"/>
      <c r="CV82" s="82"/>
      <c r="CW82" s="82"/>
      <c r="CX82" s="82"/>
      <c r="CY82" s="82"/>
      <c r="CZ82" s="82"/>
      <c r="DA82" s="38"/>
      <c r="DB82" s="38"/>
      <c r="DC82" s="38"/>
      <c r="DF82" s="38">
        <v>-4463</v>
      </c>
      <c r="DG82" s="38">
        <v>-5193</v>
      </c>
      <c r="DH82" s="38">
        <v>-5356</v>
      </c>
      <c r="DI82" s="44">
        <f>SUM(W82:Z82)</f>
        <v>5785</v>
      </c>
      <c r="DJ82" s="38">
        <f>DJ81-DJ83</f>
        <v>6143.4869999999974</v>
      </c>
      <c r="DK82" s="38">
        <f t="shared" ref="DK82:DR82" si="69">DK81-DK83</f>
        <v>6452.7839999999997</v>
      </c>
      <c r="DL82" s="38">
        <f>5775+298</f>
        <v>6073</v>
      </c>
      <c r="DM82" s="38">
        <f>DM81-DM83</f>
        <v>6632</v>
      </c>
      <c r="DN82" s="44">
        <f>SUM(AQ82:AT82)</f>
        <v>6005.9672</v>
      </c>
      <c r="DO82" s="38">
        <f t="shared" si="69"/>
        <v>1597.1107765908646</v>
      </c>
      <c r="DP82" s="38">
        <f t="shared" si="69"/>
        <v>1455.4263081787794</v>
      </c>
      <c r="DQ82" s="38">
        <f t="shared" si="69"/>
        <v>1452.6353958767941</v>
      </c>
      <c r="DR82" s="38">
        <f t="shared" si="69"/>
        <v>1334.2916883750149</v>
      </c>
      <c r="DS82" s="38">
        <f t="shared" ref="DS82:EB82" si="70">DS81-DS83</f>
        <v>1255.0302021111302</v>
      </c>
      <c r="DT82" s="38">
        <f t="shared" si="70"/>
        <v>1101.4785182197838</v>
      </c>
      <c r="DU82" s="38">
        <f t="shared" si="70"/>
        <v>0</v>
      </c>
      <c r="DV82" s="38">
        <f t="shared" si="70"/>
        <v>4795.5999999999985</v>
      </c>
      <c r="DW82" s="38">
        <f t="shared" si="70"/>
        <v>5323.3999999999978</v>
      </c>
      <c r="DX82" s="38">
        <f t="shared" si="70"/>
        <v>7483.3999999999978</v>
      </c>
      <c r="DY82" s="38">
        <f t="shared" si="70"/>
        <v>8869.1999999999971</v>
      </c>
      <c r="DZ82" s="38">
        <f t="shared" si="70"/>
        <v>9162.4000000000015</v>
      </c>
      <c r="EA82" s="38">
        <f t="shared" si="70"/>
        <v>6711.7699999999968</v>
      </c>
      <c r="EB82" s="38">
        <f t="shared" si="70"/>
        <v>6354.6033399999978</v>
      </c>
      <c r="EC82" s="38">
        <f t="shared" ref="EC82:EL82" si="71">EC81-EC83</f>
        <v>5166.2836105999995</v>
      </c>
      <c r="ED82" s="38">
        <f t="shared" si="71"/>
        <v>4911.3203238219976</v>
      </c>
      <c r="EE82" s="38">
        <f t="shared" si="71"/>
        <v>4852.3768407136995</v>
      </c>
      <c r="EF82" s="38">
        <f t="shared" si="71"/>
        <v>4660.2200785439927</v>
      </c>
      <c r="EG82" s="38">
        <f t="shared" si="71"/>
        <v>4489.0600217134634</v>
      </c>
      <c r="EH82" s="38">
        <f t="shared" si="71"/>
        <v>4332.1093865740913</v>
      </c>
      <c r="EI82" s="38">
        <f t="shared" si="71"/>
        <v>3717.0687082932618</v>
      </c>
      <c r="EJ82" s="38">
        <f t="shared" si="71"/>
        <v>3215.1411292001794</v>
      </c>
      <c r="EK82" s="38">
        <f t="shared" si="71"/>
        <v>3055.6362836915032</v>
      </c>
      <c r="EL82" s="38">
        <f t="shared" si="71"/>
        <v>2970.4788161856231</v>
      </c>
    </row>
    <row r="83" spans="1:199" s="11" customFormat="1">
      <c r="A83" s="35"/>
      <c r="B83" s="35" t="s">
        <v>561</v>
      </c>
      <c r="C83" s="46"/>
      <c r="D83" s="46"/>
      <c r="E83" s="46"/>
      <c r="F83" s="46"/>
      <c r="G83" s="46"/>
      <c r="H83" s="46"/>
      <c r="I83" s="46"/>
      <c r="J83" s="46"/>
      <c r="K83" s="46">
        <v>3551</v>
      </c>
      <c r="L83" s="46">
        <v>3363</v>
      </c>
      <c r="M83" s="46">
        <v>3626</v>
      </c>
      <c r="N83" s="46">
        <v>3846</v>
      </c>
      <c r="O83" s="46">
        <v>3916</v>
      </c>
      <c r="P83" s="46">
        <v>4037</v>
      </c>
      <c r="Q83" s="46">
        <v>3979</v>
      </c>
      <c r="R83" s="46">
        <v>4301</v>
      </c>
      <c r="S83" s="46">
        <v>4333</v>
      </c>
      <c r="T83" s="46">
        <v>4819.25</v>
      </c>
      <c r="U83" s="46">
        <v>4544</v>
      </c>
      <c r="V83" s="46">
        <v>4898</v>
      </c>
      <c r="W83" s="46">
        <f t="shared" ref="W83:AD83" si="72">W81-W82</f>
        <v>4598</v>
      </c>
      <c r="X83" s="46">
        <f t="shared" si="72"/>
        <v>4868</v>
      </c>
      <c r="Y83" s="46">
        <f t="shared" si="72"/>
        <v>4848</v>
      </c>
      <c r="Z83" s="46">
        <f t="shared" si="72"/>
        <v>5263</v>
      </c>
      <c r="AA83" s="46">
        <f t="shared" si="72"/>
        <v>5065</v>
      </c>
      <c r="AB83" s="46">
        <f t="shared" si="72"/>
        <v>5130</v>
      </c>
      <c r="AC83" s="46">
        <f t="shared" si="72"/>
        <v>5276</v>
      </c>
      <c r="AD83" s="46">
        <f t="shared" si="72"/>
        <v>6363</v>
      </c>
      <c r="AE83" s="46">
        <f>AE81-AE82</f>
        <v>6176</v>
      </c>
      <c r="AF83" s="46">
        <f>AF81-AF82</f>
        <v>5908</v>
      </c>
      <c r="AG83" s="46">
        <f>AG81-AG82</f>
        <v>5666</v>
      </c>
      <c r="AH83" s="46">
        <f>AH81-AH82</f>
        <v>5496</v>
      </c>
      <c r="AI83" s="46">
        <f>+AI81-AI82</f>
        <v>5739</v>
      </c>
      <c r="AJ83" s="46">
        <f>+AJ81-AJ82</f>
        <v>5873</v>
      </c>
      <c r="AK83" s="46">
        <f>+AK81-AK82</f>
        <v>6302</v>
      </c>
      <c r="AL83" s="46">
        <f>AL81-AL82</f>
        <v>6523</v>
      </c>
      <c r="AM83" s="46">
        <f>AM81-AM82</f>
        <v>6143</v>
      </c>
      <c r="AN83" s="46">
        <f>+AN81-AN82</f>
        <v>5974</v>
      </c>
      <c r="AO83" s="46">
        <f>+AO81-AO82</f>
        <v>5652</v>
      </c>
      <c r="AP83" s="46">
        <f>+AP81-AP82</f>
        <v>6117</v>
      </c>
      <c r="AQ83" s="46">
        <f>AQ81-AQ82</f>
        <v>6121</v>
      </c>
      <c r="AR83" s="46">
        <f>AR81*0.83</f>
        <v>5878.1927999999998</v>
      </c>
      <c r="AS83" s="46">
        <f>+AS81-AS82</f>
        <v>5772</v>
      </c>
      <c r="AT83" s="46">
        <f>+AT81-AT82</f>
        <v>6120</v>
      </c>
      <c r="AU83" s="46">
        <f>+AU81-AU82</f>
        <v>5175</v>
      </c>
      <c r="AV83" s="46">
        <f>+AV81*0.79</f>
        <v>0</v>
      </c>
      <c r="AW83" s="46">
        <f>+AW81*0.79</f>
        <v>0</v>
      </c>
      <c r="AX83" s="46">
        <f>+AX81*0.79</f>
        <v>0</v>
      </c>
      <c r="AY83" s="46"/>
      <c r="AZ83" s="46"/>
      <c r="BA83" s="46"/>
      <c r="BB83" s="46"/>
      <c r="BC83" s="46"/>
      <c r="BD83" s="46">
        <f>+BD81-BD82</f>
        <v>4142</v>
      </c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83"/>
      <c r="BX83" s="83"/>
      <c r="BY83" s="83"/>
      <c r="BZ83" s="83">
        <f t="shared" ref="BZ83:CD83" si="73">BZ81-BZ82</f>
        <v>5197</v>
      </c>
      <c r="CA83" s="83">
        <f t="shared" si="73"/>
        <v>4847</v>
      </c>
      <c r="CB83" s="83">
        <f t="shared" si="73"/>
        <v>5187</v>
      </c>
      <c r="CC83" s="83">
        <f>CC81-CC82</f>
        <v>5109</v>
      </c>
      <c r="CD83" s="83">
        <f t="shared" si="73"/>
        <v>5802</v>
      </c>
      <c r="CE83" s="83">
        <f>CE81-CE82</f>
        <v>5579</v>
      </c>
      <c r="CF83" s="83">
        <f>CF81-CF82</f>
        <v>5948</v>
      </c>
      <c r="CG83" s="83">
        <f>+CG81-CG82</f>
        <v>7262</v>
      </c>
      <c r="CH83" s="83">
        <f>CH81-CH82</f>
        <v>8936</v>
      </c>
      <c r="CI83" s="83">
        <f>CI81-CI82</f>
        <v>8995</v>
      </c>
      <c r="CJ83" s="83">
        <f>CJ81-CJ82</f>
        <v>8821</v>
      </c>
      <c r="CK83" s="83"/>
      <c r="CL83" s="83"/>
      <c r="CM83" s="83"/>
      <c r="CN83" s="83">
        <f>+CN81-CN82</f>
        <v>9326</v>
      </c>
      <c r="CO83" s="83"/>
      <c r="CP83" s="83"/>
      <c r="CQ83" s="83"/>
      <c r="CR83" s="83">
        <f>+CR81-CR82</f>
        <v>10623</v>
      </c>
      <c r="CS83" s="83"/>
      <c r="CT83" s="83"/>
      <c r="CU83" s="83"/>
      <c r="CV83" s="83"/>
      <c r="CW83" s="83"/>
      <c r="CX83" s="83"/>
      <c r="CY83" s="83"/>
      <c r="CZ83" s="83"/>
      <c r="DA83" s="46"/>
      <c r="DB83" s="46"/>
      <c r="DC83" s="46"/>
      <c r="DD83" s="43"/>
      <c r="DE83" s="43"/>
      <c r="DF83" s="46">
        <v>14386</v>
      </c>
      <c r="DG83" s="46">
        <v>16233</v>
      </c>
      <c r="DH83" s="46">
        <v>18594.25</v>
      </c>
      <c r="DI83" s="46">
        <f>DI81-DI82</f>
        <v>19577</v>
      </c>
      <c r="DJ83" s="46">
        <f>DJ81*DJ97</f>
        <v>22167.513000000003</v>
      </c>
      <c r="DK83" s="46">
        <f t="shared" ref="DK83:DR83" si="74">DK81*DK97</f>
        <v>23421.216</v>
      </c>
      <c r="DL83" s="46">
        <f>DL81-DL82</f>
        <v>24437</v>
      </c>
      <c r="DM83" s="46">
        <f>SUM(AM83:AP83)</f>
        <v>23886</v>
      </c>
      <c r="DN83" s="44">
        <f>SUM(AQ83:AT83)</f>
        <v>23891.192800000001</v>
      </c>
      <c r="DO83" s="46">
        <f>DO81*DO97</f>
        <v>5428.8892234091354</v>
      </c>
      <c r="DP83" s="46">
        <f t="shared" si="74"/>
        <v>4809.4736918212202</v>
      </c>
      <c r="DQ83" s="46">
        <f t="shared" si="74"/>
        <v>4668.5084041232067</v>
      </c>
      <c r="DR83" s="46">
        <f t="shared" si="74"/>
        <v>4172.1571376249849</v>
      </c>
      <c r="DS83" s="46">
        <f t="shared" ref="DS83:EB83" si="75">DS81*DS97</f>
        <v>3819.6049383488707</v>
      </c>
      <c r="DT83" s="46">
        <f t="shared" si="75"/>
        <v>3264.021988788717</v>
      </c>
      <c r="DU83" s="46">
        <f t="shared" si="75"/>
        <v>0</v>
      </c>
      <c r="DV83" s="46">
        <f t="shared" si="75"/>
        <v>19182.400000000001</v>
      </c>
      <c r="DW83" s="46">
        <f t="shared" si="75"/>
        <v>21293.600000000002</v>
      </c>
      <c r="DX83" s="46">
        <f t="shared" si="75"/>
        <v>29933.600000000002</v>
      </c>
      <c r="DY83" s="46">
        <f t="shared" si="75"/>
        <v>35476.800000000003</v>
      </c>
      <c r="DZ83" s="46">
        <f t="shared" si="75"/>
        <v>36649.599999999999</v>
      </c>
      <c r="EA83" s="46">
        <f t="shared" si="75"/>
        <v>26847.079999999994</v>
      </c>
      <c r="EB83" s="46">
        <f t="shared" si="75"/>
        <v>25418.413360000006</v>
      </c>
      <c r="EC83" s="46">
        <f t="shared" ref="EC83:EL83" si="76">EC81*EC97</f>
        <v>20665.134442400002</v>
      </c>
      <c r="ED83" s="46">
        <f t="shared" si="76"/>
        <v>19645.281295287998</v>
      </c>
      <c r="EE83" s="46">
        <f t="shared" si="76"/>
        <v>19409.507362854802</v>
      </c>
      <c r="EF83" s="46">
        <f t="shared" si="76"/>
        <v>18640.880314175967</v>
      </c>
      <c r="EG83" s="46">
        <f t="shared" si="76"/>
        <v>17956.240086853861</v>
      </c>
      <c r="EH83" s="46">
        <f t="shared" si="76"/>
        <v>17328.437546296373</v>
      </c>
      <c r="EI83" s="46">
        <f t="shared" si="76"/>
        <v>14868.274833173049</v>
      </c>
      <c r="EJ83" s="46">
        <f t="shared" si="76"/>
        <v>12860.564516800723</v>
      </c>
      <c r="EK83" s="46">
        <f t="shared" si="76"/>
        <v>12222.545134766015</v>
      </c>
      <c r="EL83" s="46">
        <f t="shared" si="76"/>
        <v>11881.915264742496</v>
      </c>
    </row>
    <row r="84" spans="1:199" s="11" customFormat="1">
      <c r="A84" s="35"/>
      <c r="B84" s="35" t="s">
        <v>13</v>
      </c>
      <c r="C84" s="46"/>
      <c r="D84" s="46"/>
      <c r="E84" s="46"/>
      <c r="F84" s="46"/>
      <c r="G84" s="46"/>
      <c r="H84" s="46"/>
      <c r="I84" s="46"/>
      <c r="J84" s="46"/>
      <c r="K84" s="46">
        <v>-708</v>
      </c>
      <c r="L84" s="46">
        <v>-700</v>
      </c>
      <c r="M84" s="46">
        <v>-725</v>
      </c>
      <c r="N84" s="46">
        <v>-879</v>
      </c>
      <c r="O84" s="46">
        <v>-857</v>
      </c>
      <c r="P84" s="46">
        <v>-888</v>
      </c>
      <c r="Q84" s="46">
        <v>-823</v>
      </c>
      <c r="R84" s="46">
        <v>-899</v>
      </c>
      <c r="S84" s="46">
        <v>-865</v>
      </c>
      <c r="T84" s="46">
        <v>-860</v>
      </c>
      <c r="U84" s="46">
        <v>-781</v>
      </c>
      <c r="V84" s="46">
        <v>-873</v>
      </c>
      <c r="W84" s="46">
        <v>861</v>
      </c>
      <c r="X84" s="46">
        <v>955</v>
      </c>
      <c r="Y84" s="46">
        <v>962</v>
      </c>
      <c r="Z84" s="46">
        <v>1124</v>
      </c>
      <c r="AA84" s="46">
        <v>1170</v>
      </c>
      <c r="AB84" s="46">
        <v>1225</v>
      </c>
      <c r="AC84" s="46">
        <v>1335</v>
      </c>
      <c r="AD84" s="46">
        <v>1432</v>
      </c>
      <c r="AE84" s="46">
        <v>1236</v>
      </c>
      <c r="AF84" s="46">
        <v>1297</v>
      </c>
      <c r="AG84" s="46">
        <v>1291</v>
      </c>
      <c r="AH84" s="46">
        <v>1355</v>
      </c>
      <c r="AI84" s="46">
        <v>980</v>
      </c>
      <c r="AJ84" s="46">
        <v>1059</v>
      </c>
      <c r="AK84" s="46">
        <v>1056</v>
      </c>
      <c r="AL84" s="46">
        <v>1314</v>
      </c>
      <c r="AM84" s="46">
        <v>991</v>
      </c>
      <c r="AN84" s="46">
        <v>1320</v>
      </c>
      <c r="AO84" s="46">
        <v>1077</v>
      </c>
      <c r="AP84" s="46">
        <v>1930</v>
      </c>
      <c r="AQ84" s="46">
        <v>1162</v>
      </c>
      <c r="AR84" s="46">
        <f>AQ84</f>
        <v>1162</v>
      </c>
      <c r="AS84" s="46">
        <v>1296</v>
      </c>
      <c r="AT84" s="46">
        <v>1867</v>
      </c>
      <c r="AU84" s="46">
        <v>1530</v>
      </c>
      <c r="AV84" s="46"/>
      <c r="AW84" s="46"/>
      <c r="AX84" s="46"/>
      <c r="AY84" s="46"/>
      <c r="AZ84" s="46"/>
      <c r="BA84" s="46"/>
      <c r="BB84" s="46"/>
      <c r="BC84" s="46"/>
      <c r="BD84" s="46">
        <v>1328</v>
      </c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83"/>
      <c r="BX84" s="83"/>
      <c r="BY84" s="83"/>
      <c r="BZ84" s="83">
        <v>2091</v>
      </c>
      <c r="CA84" s="83">
        <v>1388</v>
      </c>
      <c r="CB84" s="83">
        <v>1389</v>
      </c>
      <c r="CC84" s="83">
        <v>1495</v>
      </c>
      <c r="CD84" s="83">
        <v>1707</v>
      </c>
      <c r="CE84" s="83">
        <v>1638</v>
      </c>
      <c r="CF84" s="83">
        <v>1801</v>
      </c>
      <c r="CG84" s="83">
        <v>2152</v>
      </c>
      <c r="CH84" s="83">
        <v>2396</v>
      </c>
      <c r="CI84" s="83">
        <v>2186</v>
      </c>
      <c r="CJ84" s="83">
        <v>2431</v>
      </c>
      <c r="CK84" s="83"/>
      <c r="CL84" s="83"/>
      <c r="CM84" s="83"/>
      <c r="CN84" s="83">
        <v>2667</v>
      </c>
      <c r="CO84" s="83"/>
      <c r="CP84" s="83"/>
      <c r="CQ84" s="83"/>
      <c r="CR84" s="83">
        <v>2872</v>
      </c>
      <c r="CS84" s="83"/>
      <c r="CT84" s="83"/>
      <c r="CU84" s="83"/>
      <c r="CV84" s="83"/>
      <c r="CW84" s="83"/>
      <c r="CX84" s="83"/>
      <c r="CY84" s="83"/>
      <c r="CZ84" s="83"/>
      <c r="DA84" s="46"/>
      <c r="DB84" s="46"/>
      <c r="DC84" s="46"/>
      <c r="DD84" s="43"/>
      <c r="DE84" s="43"/>
      <c r="DF84" s="46">
        <v>-3012</v>
      </c>
      <c r="DG84" s="46">
        <v>-3467</v>
      </c>
      <c r="DH84" s="46">
        <v>-3379</v>
      </c>
      <c r="DI84" s="44">
        <f>SUM(W84:Z84)</f>
        <v>3902</v>
      </c>
      <c r="DJ84" s="46">
        <f>DI84</f>
        <v>3902</v>
      </c>
      <c r="DK84" s="46">
        <f>DJ84</f>
        <v>3902</v>
      </c>
      <c r="DL84" s="44">
        <f>SUM(AI84:AL84)</f>
        <v>4409</v>
      </c>
      <c r="DM84" s="46">
        <f>SUM(AM84:AP84)</f>
        <v>5318</v>
      </c>
      <c r="DN84" s="44">
        <f>SUM(AQ84:AT84)</f>
        <v>5487</v>
      </c>
      <c r="DO84" s="46"/>
      <c r="DP84" s="46"/>
      <c r="DQ84" s="46"/>
      <c r="DR84" s="46"/>
      <c r="DS84" s="46"/>
      <c r="DT84" s="46"/>
      <c r="DU84" s="46"/>
      <c r="DV84" s="46"/>
      <c r="DW84" s="46"/>
    </row>
    <row r="85" spans="1:199" s="11" customFormat="1">
      <c r="A85" s="35"/>
      <c r="B85" s="35" t="s">
        <v>12</v>
      </c>
      <c r="C85" s="46"/>
      <c r="D85" s="46"/>
      <c r="E85" s="46"/>
      <c r="F85" s="46"/>
      <c r="G85" s="46"/>
      <c r="H85" s="46"/>
      <c r="I85" s="46"/>
      <c r="J85" s="46"/>
      <c r="K85" s="46">
        <v>-1677</v>
      </c>
      <c r="L85" s="46">
        <v>-1821</v>
      </c>
      <c r="M85" s="46">
        <v>-1898</v>
      </c>
      <c r="N85" s="46">
        <v>-2159</v>
      </c>
      <c r="O85" s="46">
        <v>-2045</v>
      </c>
      <c r="P85" s="46">
        <v>-2206</v>
      </c>
      <c r="Q85" s="46">
        <v>-2011</v>
      </c>
      <c r="R85" s="46">
        <v>-2183</v>
      </c>
      <c r="S85" s="46">
        <v>-2057</v>
      </c>
      <c r="T85" s="46">
        <v>-2283</v>
      </c>
      <c r="U85" s="46">
        <v>-2107</v>
      </c>
      <c r="V85" s="46">
        <v>-2459</v>
      </c>
      <c r="W85" s="46">
        <v>2115</v>
      </c>
      <c r="X85" s="46">
        <v>2290</v>
      </c>
      <c r="Y85" s="46">
        <v>2180</v>
      </c>
      <c r="Z85" s="46">
        <v>2511</v>
      </c>
      <c r="AA85" s="46">
        <v>2217</v>
      </c>
      <c r="AB85" s="46">
        <v>2605</v>
      </c>
      <c r="AC85" s="46">
        <v>2487</v>
      </c>
      <c r="AD85" s="46">
        <v>3055</v>
      </c>
      <c r="AE85" s="46">
        <v>2737</v>
      </c>
      <c r="AF85" s="46">
        <v>2834</v>
      </c>
      <c r="AG85" s="46">
        <v>2486</v>
      </c>
      <c r="AH85" s="46">
        <v>2856</v>
      </c>
      <c r="AI85" s="46">
        <v>2376</v>
      </c>
      <c r="AJ85" s="46">
        <v>2828</v>
      </c>
      <c r="AK85" s="46">
        <v>2663</v>
      </c>
      <c r="AL85" s="46">
        <v>3465</v>
      </c>
      <c r="AM85" s="46">
        <v>2462</v>
      </c>
      <c r="AN85" s="46">
        <v>2450</v>
      </c>
      <c r="AO85" s="46">
        <v>3011</v>
      </c>
      <c r="AP85" s="46">
        <v>2522</v>
      </c>
      <c r="AQ85" s="46">
        <v>2508</v>
      </c>
      <c r="AR85" s="46">
        <f>AQ85</f>
        <v>2508</v>
      </c>
      <c r="AS85" s="46">
        <v>2644</v>
      </c>
      <c r="AT85" s="46">
        <v>3141</v>
      </c>
      <c r="AU85" s="46">
        <v>2461</v>
      </c>
      <c r="AV85" s="46">
        <f>+AR85-100</f>
        <v>2408</v>
      </c>
      <c r="AW85" s="46">
        <f>+AS85-100</f>
        <v>2544</v>
      </c>
      <c r="AX85" s="46">
        <f>+AT85-100</f>
        <v>3041</v>
      </c>
      <c r="AY85" s="46"/>
      <c r="AZ85" s="46"/>
      <c r="BA85" s="46"/>
      <c r="BB85" s="46"/>
      <c r="BC85" s="46"/>
      <c r="BD85" s="46">
        <v>3058</v>
      </c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83"/>
      <c r="BX85" s="83"/>
      <c r="BY85" s="83"/>
      <c r="BZ85" s="83">
        <v>3026</v>
      </c>
      <c r="CA85" s="83">
        <v>2719</v>
      </c>
      <c r="CB85" s="83">
        <v>2635</v>
      </c>
      <c r="CC85" s="83">
        <v>2730</v>
      </c>
      <c r="CD85" s="83">
        <v>2838</v>
      </c>
      <c r="CE85" s="83">
        <v>2399</v>
      </c>
      <c r="CF85" s="83">
        <v>2471</v>
      </c>
      <c r="CG85" s="83">
        <v>2866</v>
      </c>
      <c r="CH85" s="83">
        <v>3368</v>
      </c>
      <c r="CI85" s="83">
        <v>2946</v>
      </c>
      <c r="CJ85" s="83">
        <v>3137</v>
      </c>
      <c r="CK85" s="83"/>
      <c r="CL85" s="83"/>
      <c r="CM85" s="83"/>
      <c r="CN85" s="83">
        <v>4986</v>
      </c>
      <c r="CO85" s="83"/>
      <c r="CP85" s="83"/>
      <c r="CQ85" s="83"/>
      <c r="CR85" s="83">
        <v>3735</v>
      </c>
      <c r="CS85" s="83"/>
      <c r="CT85" s="83"/>
      <c r="CU85" s="83"/>
      <c r="CV85" s="83"/>
      <c r="CW85" s="83"/>
      <c r="CX85" s="83"/>
      <c r="CY85" s="83"/>
      <c r="CZ85" s="83"/>
      <c r="DA85" s="46"/>
      <c r="DB85" s="46"/>
      <c r="DC85" s="46"/>
      <c r="DD85" s="43"/>
      <c r="DE85" s="43"/>
      <c r="DF85" s="46">
        <v>-7555</v>
      </c>
      <c r="DG85" s="46">
        <v>-8445</v>
      </c>
      <c r="DH85" s="46">
        <v>-8906</v>
      </c>
      <c r="DI85" s="44">
        <f>SUM(W85:Z85)</f>
        <v>9096</v>
      </c>
      <c r="DJ85" s="46">
        <f>DI85*1.01</f>
        <v>9186.9600000000009</v>
      </c>
      <c r="DK85" s="46">
        <f>DJ85*1.01</f>
        <v>9278.8296000000009</v>
      </c>
      <c r="DL85" s="44">
        <f>SUM(AI85:AL85)</f>
        <v>11332</v>
      </c>
      <c r="DM85" s="46">
        <f>SUM(AM85:AP85)</f>
        <v>10445</v>
      </c>
      <c r="DN85" s="44">
        <f>SUM(AQ85:AT85)</f>
        <v>10801</v>
      </c>
      <c r="DO85" s="46">
        <f>+DO81*DO99</f>
        <v>2178.06</v>
      </c>
      <c r="DP85" s="46">
        <f t="shared" ref="DP85:DV85" si="77">+DP81*DP99</f>
        <v>1942.1189999999999</v>
      </c>
      <c r="DQ85" s="46">
        <f t="shared" si="77"/>
        <v>1897.5545780000002</v>
      </c>
      <c r="DR85" s="46">
        <f t="shared" si="77"/>
        <v>1762.0636243199999</v>
      </c>
      <c r="DS85" s="46">
        <f t="shared" si="77"/>
        <v>1623.8832449472004</v>
      </c>
      <c r="DT85" s="46">
        <f t="shared" si="77"/>
        <v>1440.6151673128054</v>
      </c>
      <c r="DU85" s="46">
        <f t="shared" si="77"/>
        <v>0</v>
      </c>
      <c r="DV85" s="46">
        <f t="shared" si="77"/>
        <v>8392.2999999999993</v>
      </c>
      <c r="DW85" s="46">
        <f t="shared" ref="DW85:EL85" si="78">+DW81*DW99</f>
        <v>9582.119999999999</v>
      </c>
      <c r="DX85" s="46">
        <f t="shared" si="78"/>
        <v>13470.119999999999</v>
      </c>
      <c r="DY85" s="46">
        <f t="shared" si="78"/>
        <v>15964.56</v>
      </c>
      <c r="DZ85" s="46">
        <f t="shared" si="78"/>
        <v>16492.32</v>
      </c>
      <c r="EA85" s="46">
        <f t="shared" si="78"/>
        <v>12081.185999999996</v>
      </c>
      <c r="EB85" s="46">
        <f t="shared" si="78"/>
        <v>11438.286012</v>
      </c>
      <c r="EC85" s="46">
        <f t="shared" si="78"/>
        <v>9299.3104990800002</v>
      </c>
      <c r="ED85" s="46">
        <f t="shared" si="78"/>
        <v>8840.3765828795986</v>
      </c>
      <c r="EE85" s="46">
        <f t="shared" si="78"/>
        <v>8734.2783132846598</v>
      </c>
      <c r="EF85" s="46">
        <f t="shared" si="78"/>
        <v>8388.3961413791858</v>
      </c>
      <c r="EG85" s="46">
        <f t="shared" si="78"/>
        <v>8080.308039084236</v>
      </c>
      <c r="EH85" s="46">
        <f t="shared" si="78"/>
        <v>7797.7968958333668</v>
      </c>
      <c r="EI85" s="46">
        <f t="shared" si="78"/>
        <v>6690.7236749278718</v>
      </c>
      <c r="EJ85" s="46">
        <f t="shared" si="78"/>
        <v>5787.254032560325</v>
      </c>
      <c r="EK85" s="46">
        <f t="shared" si="78"/>
        <v>5500.1453106447061</v>
      </c>
      <c r="EL85" s="46">
        <f t="shared" si="78"/>
        <v>5346.8618691341226</v>
      </c>
    </row>
    <row r="86" spans="1:199" s="11" customFormat="1">
      <c r="A86" s="35"/>
      <c r="B86" s="35" t="s">
        <v>14</v>
      </c>
      <c r="C86" s="46"/>
      <c r="D86" s="46"/>
      <c r="E86" s="46"/>
      <c r="F86" s="46"/>
      <c r="G86" s="46"/>
      <c r="H86" s="46"/>
      <c r="I86" s="46"/>
      <c r="J86" s="46"/>
      <c r="K86" s="46">
        <v>18</v>
      </c>
      <c r="L86" s="46">
        <v>40</v>
      </c>
      <c r="M86" s="46">
        <v>70</v>
      </c>
      <c r="N86" s="46">
        <v>60</v>
      </c>
      <c r="O86" s="46">
        <v>38</v>
      </c>
      <c r="P86" s="46">
        <v>109</v>
      </c>
      <c r="Q86" s="46">
        <v>27</v>
      </c>
      <c r="R86" s="46">
        <v>52</v>
      </c>
      <c r="S86" s="46">
        <v>42</v>
      </c>
      <c r="T86" s="46">
        <v>42</v>
      </c>
      <c r="U86" s="46">
        <v>39</v>
      </c>
      <c r="V86" s="46">
        <v>70</v>
      </c>
      <c r="W86" s="46">
        <v>77</v>
      </c>
      <c r="X86" s="46">
        <v>200</v>
      </c>
      <c r="Y86" s="46">
        <v>124</v>
      </c>
      <c r="Z86" s="46">
        <v>123</v>
      </c>
      <c r="AA86" s="46">
        <v>138</v>
      </c>
      <c r="AB86" s="46">
        <v>259</v>
      </c>
      <c r="AC86" s="46">
        <v>197</v>
      </c>
      <c r="AD86" s="46">
        <v>134</v>
      </c>
      <c r="AE86" s="46">
        <v>121</v>
      </c>
      <c r="AF86" s="46">
        <v>178</v>
      </c>
      <c r="AG86" s="46">
        <v>132</v>
      </c>
      <c r="AH86" s="46">
        <v>93</v>
      </c>
      <c r="AI86" s="46">
        <v>265</v>
      </c>
      <c r="AJ86" s="46">
        <v>314</v>
      </c>
      <c r="AK86" s="46">
        <v>59</v>
      </c>
      <c r="AL86" s="46">
        <v>-85</v>
      </c>
      <c r="AM86" s="46">
        <v>252</v>
      </c>
      <c r="AN86" s="46">
        <v>166</v>
      </c>
      <c r="AO86" s="46">
        <v>202</v>
      </c>
      <c r="AP86" s="46">
        <v>92</v>
      </c>
      <c r="AQ86" s="46">
        <v>198</v>
      </c>
      <c r="AR86" s="46">
        <f>AQ86</f>
        <v>198</v>
      </c>
      <c r="AS86" s="46"/>
      <c r="AT86" s="46">
        <v>216</v>
      </c>
      <c r="AU86" s="46">
        <v>253</v>
      </c>
      <c r="AV86" s="46"/>
      <c r="AW86" s="46"/>
      <c r="AX86" s="46"/>
      <c r="AY86" s="46"/>
      <c r="AZ86" s="46"/>
      <c r="BA86" s="46"/>
      <c r="BB86" s="46"/>
      <c r="BC86" s="46"/>
      <c r="BD86" s="46">
        <v>425</v>
      </c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83"/>
      <c r="BX86" s="83"/>
      <c r="BY86" s="83"/>
      <c r="BZ86" s="83">
        <v>500</v>
      </c>
      <c r="CA86" s="83">
        <v>480</v>
      </c>
      <c r="CB86" s="83">
        <v>121</v>
      </c>
      <c r="CC86" s="83">
        <v>287</v>
      </c>
      <c r="CD86" s="83">
        <v>642</v>
      </c>
      <c r="CE86" s="83">
        <v>1180</v>
      </c>
      <c r="CF86" s="83">
        <v>129</v>
      </c>
      <c r="CG86" s="83">
        <v>37</v>
      </c>
      <c r="CH86" s="83"/>
      <c r="CI86" s="83">
        <v>98</v>
      </c>
      <c r="CJ86" s="83">
        <v>112</v>
      </c>
      <c r="CK86" s="83"/>
      <c r="CL86" s="83"/>
      <c r="CM86" s="83"/>
      <c r="CN86" s="83">
        <v>784</v>
      </c>
      <c r="CO86" s="83"/>
      <c r="CP86" s="83"/>
      <c r="CQ86" s="83"/>
      <c r="CR86" s="83">
        <v>60</v>
      </c>
      <c r="CS86" s="83"/>
      <c r="CT86" s="83"/>
      <c r="CU86" s="83"/>
      <c r="CV86" s="83"/>
      <c r="CW86" s="83"/>
      <c r="CX86" s="83"/>
      <c r="CY86" s="83"/>
      <c r="CZ86" s="83"/>
      <c r="DA86" s="46"/>
      <c r="DB86" s="46"/>
      <c r="DC86" s="46"/>
      <c r="DD86" s="43"/>
      <c r="DE86" s="43"/>
      <c r="DF86" s="46">
        <v>188</v>
      </c>
      <c r="DG86" s="46">
        <v>226</v>
      </c>
      <c r="DH86" s="46">
        <v>193</v>
      </c>
      <c r="DI86" s="44">
        <f>SUM(W86:Z86)</f>
        <v>524</v>
      </c>
      <c r="DJ86" s="46">
        <f>DI86</f>
        <v>524</v>
      </c>
      <c r="DK86" s="46">
        <f>DJ86</f>
        <v>524</v>
      </c>
      <c r="DL86" s="44">
        <f>SUM(AI86:AL86)</f>
        <v>553</v>
      </c>
      <c r="DM86" s="46">
        <f>SUM(AM86:AP86)</f>
        <v>712</v>
      </c>
      <c r="DN86" s="44">
        <f>SUM(AQ86:AT86)</f>
        <v>612</v>
      </c>
      <c r="DO86" s="46"/>
      <c r="DP86" s="46"/>
      <c r="DQ86" s="46"/>
      <c r="DR86" s="46"/>
      <c r="DS86" s="46"/>
      <c r="DT86" s="46"/>
      <c r="DU86" s="46"/>
      <c r="DV86" s="46"/>
      <c r="DW86" s="46"/>
    </row>
    <row r="87" spans="1:199" s="11" customFormat="1">
      <c r="A87" s="35"/>
      <c r="B87" s="35" t="s">
        <v>15</v>
      </c>
      <c r="C87" s="46"/>
      <c r="D87" s="46"/>
      <c r="E87" s="46"/>
      <c r="F87" s="46"/>
      <c r="G87" s="46"/>
      <c r="H87" s="46"/>
      <c r="I87" s="46"/>
      <c r="J87" s="46"/>
      <c r="K87" s="46">
        <v>1184</v>
      </c>
      <c r="L87" s="46">
        <v>882</v>
      </c>
      <c r="M87" s="46">
        <v>1073</v>
      </c>
      <c r="N87" s="46">
        <v>868</v>
      </c>
      <c r="O87" s="46">
        <v>1052</v>
      </c>
      <c r="P87" s="46">
        <v>1052</v>
      </c>
      <c r="Q87" s="46">
        <v>1172</v>
      </c>
      <c r="R87" s="46">
        <v>1271</v>
      </c>
      <c r="S87" s="46">
        <v>1453</v>
      </c>
      <c r="T87" s="46">
        <v>1718.25</v>
      </c>
      <c r="U87" s="46">
        <v>1695</v>
      </c>
      <c r="V87" s="46">
        <v>1636</v>
      </c>
      <c r="W87" s="46">
        <f t="shared" ref="W87:AD87" si="79">W83-W84-W85+W86</f>
        <v>1699</v>
      </c>
      <c r="X87" s="46">
        <f t="shared" si="79"/>
        <v>1823</v>
      </c>
      <c r="Y87" s="46">
        <f t="shared" si="79"/>
        <v>1830</v>
      </c>
      <c r="Z87" s="46">
        <f t="shared" si="79"/>
        <v>1751</v>
      </c>
      <c r="AA87" s="46">
        <f t="shared" si="79"/>
        <v>1816</v>
      </c>
      <c r="AB87" s="46">
        <f t="shared" si="79"/>
        <v>1559</v>
      </c>
      <c r="AC87" s="46">
        <f t="shared" si="79"/>
        <v>1651</v>
      </c>
      <c r="AD87" s="46">
        <f t="shared" si="79"/>
        <v>2010</v>
      </c>
      <c r="AE87" s="46">
        <f t="shared" ref="AE87:AL87" si="80">AE83-AE84-AE85+AE86</f>
        <v>2324</v>
      </c>
      <c r="AF87" s="46">
        <f t="shared" si="80"/>
        <v>1955</v>
      </c>
      <c r="AG87" s="46">
        <f t="shared" si="80"/>
        <v>2021</v>
      </c>
      <c r="AH87" s="46">
        <f t="shared" si="80"/>
        <v>1378</v>
      </c>
      <c r="AI87" s="46">
        <f t="shared" si="80"/>
        <v>2648</v>
      </c>
      <c r="AJ87" s="46">
        <f t="shared" si="80"/>
        <v>2300</v>
      </c>
      <c r="AK87" s="46">
        <f t="shared" si="80"/>
        <v>2642</v>
      </c>
      <c r="AL87" s="46">
        <f t="shared" si="80"/>
        <v>1659</v>
      </c>
      <c r="AM87" s="46">
        <f t="shared" ref="AM87:AT87" si="81">AM83-AM84-AM85+AM86</f>
        <v>2942</v>
      </c>
      <c r="AN87" s="46">
        <f t="shared" si="81"/>
        <v>2370</v>
      </c>
      <c r="AO87" s="46">
        <f t="shared" si="81"/>
        <v>1766</v>
      </c>
      <c r="AP87" s="46">
        <f t="shared" si="81"/>
        <v>1757</v>
      </c>
      <c r="AQ87" s="46">
        <f t="shared" si="81"/>
        <v>2649</v>
      </c>
      <c r="AR87" s="46">
        <f t="shared" si="81"/>
        <v>2406.1927999999998</v>
      </c>
      <c r="AS87" s="46">
        <f t="shared" si="81"/>
        <v>1832</v>
      </c>
      <c r="AT87" s="46">
        <f t="shared" si="81"/>
        <v>1328</v>
      </c>
      <c r="AU87" s="46">
        <f>AU83-AU84-AU85+AU86</f>
        <v>1437</v>
      </c>
      <c r="AV87" s="46">
        <f>AV83-AV84-AV85+AV86</f>
        <v>-2408</v>
      </c>
      <c r="AW87" s="46">
        <f>AW83-AW84-AW85+AW86</f>
        <v>-2544</v>
      </c>
      <c r="AX87" s="46">
        <f>AX83-AX84-AX85+AX86</f>
        <v>-3041</v>
      </c>
      <c r="AY87" s="46"/>
      <c r="AZ87" s="46"/>
      <c r="BA87" s="46"/>
      <c r="BB87" s="46"/>
      <c r="BC87" s="46"/>
      <c r="BD87" s="46">
        <f>BD83-BD84-BD85+BD86</f>
        <v>181</v>
      </c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83"/>
      <c r="BX87" s="83"/>
      <c r="BY87" s="83"/>
      <c r="BZ87" s="83">
        <f t="shared" ref="BZ87:CJ87" si="82">BZ83-BZ84-BZ85+BZ86</f>
        <v>580</v>
      </c>
      <c r="CA87" s="83">
        <f t="shared" si="82"/>
        <v>1220</v>
      </c>
      <c r="CB87" s="83">
        <f t="shared" ref="CB87" si="83">CB83-CB84-CB85+CB86</f>
        <v>1284</v>
      </c>
      <c r="CC87" s="83">
        <f t="shared" si="82"/>
        <v>1171</v>
      </c>
      <c r="CD87" s="83">
        <f t="shared" si="82"/>
        <v>1899</v>
      </c>
      <c r="CE87" s="83">
        <f t="shared" si="82"/>
        <v>2722</v>
      </c>
      <c r="CF87" s="83">
        <f t="shared" si="82"/>
        <v>1805</v>
      </c>
      <c r="CG87" s="83">
        <f t="shared" si="82"/>
        <v>2281</v>
      </c>
      <c r="CH87" s="83">
        <f t="shared" si="82"/>
        <v>3172</v>
      </c>
      <c r="CI87" s="83">
        <f t="shared" si="82"/>
        <v>3961</v>
      </c>
      <c r="CJ87" s="83">
        <f t="shared" si="82"/>
        <v>3365</v>
      </c>
      <c r="CK87" s="83"/>
      <c r="CL87" s="83"/>
      <c r="CM87" s="83"/>
      <c r="CN87" s="83">
        <f t="shared" ref="CN87" si="84">CN83-CN84-CN85+CN86</f>
        <v>2457</v>
      </c>
      <c r="CO87" s="83"/>
      <c r="CP87" s="83"/>
      <c r="CQ87" s="83"/>
      <c r="CR87" s="83">
        <f t="shared" ref="CR87" si="85">CR83-CR84-CR85+CR86</f>
        <v>4076</v>
      </c>
      <c r="CS87" s="83"/>
      <c r="CT87" s="83"/>
      <c r="CU87" s="83"/>
      <c r="CV87" s="83"/>
      <c r="CW87" s="83"/>
      <c r="CX87" s="83"/>
      <c r="CY87" s="83"/>
      <c r="CZ87" s="83"/>
      <c r="DA87" s="46"/>
      <c r="DB87" s="46"/>
      <c r="DC87" s="46"/>
      <c r="DD87" s="43"/>
      <c r="DE87" s="43"/>
      <c r="DF87" s="46">
        <v>4007</v>
      </c>
      <c r="DG87" s="46">
        <v>4547</v>
      </c>
      <c r="DH87" s="46">
        <v>6502.25</v>
      </c>
      <c r="DI87" s="46">
        <f>DI83-DI84-DI85+DI86</f>
        <v>7103</v>
      </c>
      <c r="DJ87" s="46">
        <f>DJ83-DJ84-DJ85+DJ86</f>
        <v>9602.5530000000017</v>
      </c>
      <c r="DK87" s="46">
        <f t="shared" ref="DK87:DY87" si="86">DK83-DK84-DK85+DK86</f>
        <v>10764.386399999999</v>
      </c>
      <c r="DL87" s="46">
        <f>DL83-DL84-DL85+DL86</f>
        <v>9249</v>
      </c>
      <c r="DM87" s="46">
        <f>DM83-DM84-DM85+DM86</f>
        <v>8835</v>
      </c>
      <c r="DN87" s="46">
        <f t="shared" si="86"/>
        <v>8215.1928000000007</v>
      </c>
      <c r="DO87" s="46">
        <f t="shared" si="86"/>
        <v>3250.8292234091355</v>
      </c>
      <c r="DP87" s="46">
        <f t="shared" si="86"/>
        <v>2867.3546918212205</v>
      </c>
      <c r="DQ87" s="46">
        <f t="shared" si="86"/>
        <v>2770.9538261232065</v>
      </c>
      <c r="DR87" s="46">
        <f t="shared" si="86"/>
        <v>2410.0935133049852</v>
      </c>
      <c r="DS87" s="46">
        <f t="shared" si="86"/>
        <v>2195.7216934016706</v>
      </c>
      <c r="DT87" s="46">
        <f t="shared" si="86"/>
        <v>1823.4068214759116</v>
      </c>
      <c r="DU87" s="46">
        <f t="shared" si="86"/>
        <v>0</v>
      </c>
      <c r="DV87" s="46">
        <f t="shared" si="86"/>
        <v>10790.100000000002</v>
      </c>
      <c r="DW87" s="46">
        <f>DW83-DW84-DW85+DW86</f>
        <v>11711.480000000003</v>
      </c>
      <c r="DX87" s="46">
        <f t="shared" si="86"/>
        <v>16463.480000000003</v>
      </c>
      <c r="DY87" s="46">
        <f t="shared" si="86"/>
        <v>19512.240000000005</v>
      </c>
      <c r="DZ87" s="46">
        <f>DZ83-DZ84-DZ85+DZ86</f>
        <v>20157.28</v>
      </c>
      <c r="EA87" s="46">
        <f>EA83-EA84-EA85+EA86</f>
        <v>14765.893999999998</v>
      </c>
      <c r="EB87" s="46">
        <f>EB83-EB84-EB85+EB86</f>
        <v>13980.127348000005</v>
      </c>
      <c r="EC87" s="46">
        <f t="shared" ref="EC87:EL87" si="87">EC83-EC84-EC85+EC86</f>
        <v>11365.823943320001</v>
      </c>
      <c r="ED87" s="46">
        <f t="shared" si="87"/>
        <v>10804.904712408399</v>
      </c>
      <c r="EE87" s="46">
        <f t="shared" si="87"/>
        <v>10675.229049570142</v>
      </c>
      <c r="EF87" s="46">
        <f t="shared" si="87"/>
        <v>10252.484172796781</v>
      </c>
      <c r="EG87" s="46">
        <f t="shared" si="87"/>
        <v>9875.9320477696238</v>
      </c>
      <c r="EH87" s="46">
        <f t="shared" si="87"/>
        <v>9530.6406504630068</v>
      </c>
      <c r="EI87" s="46">
        <f t="shared" si="87"/>
        <v>8177.5511582451772</v>
      </c>
      <c r="EJ87" s="46">
        <f t="shared" si="87"/>
        <v>7073.3104842403982</v>
      </c>
      <c r="EK87" s="46">
        <f t="shared" si="87"/>
        <v>6722.3998241213085</v>
      </c>
      <c r="EL87" s="46">
        <f t="shared" si="87"/>
        <v>6535.0533956083736</v>
      </c>
    </row>
    <row r="88" spans="1:199" s="11" customFormat="1">
      <c r="A88" s="35"/>
      <c r="B88" s="35" t="s">
        <v>22</v>
      </c>
      <c r="C88" s="46"/>
      <c r="D88" s="46"/>
      <c r="E88" s="46"/>
      <c r="F88" s="46"/>
      <c r="G88" s="46"/>
      <c r="H88" s="46"/>
      <c r="I88" s="46"/>
      <c r="J88" s="46"/>
      <c r="K88" s="46">
        <v>11</v>
      </c>
      <c r="L88" s="46">
        <v>31</v>
      </c>
      <c r="M88" s="46">
        <v>4</v>
      </c>
      <c r="N88" s="46">
        <v>10</v>
      </c>
      <c r="O88" s="46">
        <v>30</v>
      </c>
      <c r="P88" s="46">
        <v>-13</v>
      </c>
      <c r="Q88" s="46">
        <v>13</v>
      </c>
      <c r="R88" s="46">
        <v>48</v>
      </c>
      <c r="S88" s="46">
        <v>33</v>
      </c>
      <c r="T88" s="46">
        <v>31</v>
      </c>
      <c r="U88" s="46">
        <v>48</v>
      </c>
      <c r="V88" s="46">
        <v>53</v>
      </c>
      <c r="W88" s="46">
        <f>200-132</f>
        <v>68</v>
      </c>
      <c r="X88" s="46">
        <f>199-121</f>
        <v>78</v>
      </c>
      <c r="Y88" s="46">
        <f>221-140</f>
        <v>81</v>
      </c>
      <c r="Z88" s="46">
        <f>267-167</f>
        <v>100</v>
      </c>
      <c r="AA88" s="46">
        <f>247-150</f>
        <v>97</v>
      </c>
      <c r="AB88" s="46">
        <f>239-221</f>
        <v>18</v>
      </c>
      <c r="AC88" s="46">
        <f>217-351</f>
        <v>-134</v>
      </c>
      <c r="AD88" s="46">
        <f>256-348</f>
        <v>-92</v>
      </c>
      <c r="AE88" s="46">
        <v>-114</v>
      </c>
      <c r="AF88" s="46">
        <f>144-338</f>
        <v>-194</v>
      </c>
      <c r="AG88" s="46">
        <f>235-314</f>
        <v>-79</v>
      </c>
      <c r="AH88" s="46">
        <f>217-293</f>
        <v>-76</v>
      </c>
      <c r="AI88" s="46">
        <f>113-273</f>
        <v>-160</v>
      </c>
      <c r="AJ88" s="46">
        <f>94-337</f>
        <v>-243</v>
      </c>
      <c r="AK88" s="46">
        <f>125-297</f>
        <v>-172</v>
      </c>
      <c r="AL88" s="46">
        <f>130-291</f>
        <v>-161</v>
      </c>
      <c r="AM88" s="46">
        <f>133-257</f>
        <v>-124</v>
      </c>
      <c r="AN88" s="46">
        <f>126-243</f>
        <v>-117</v>
      </c>
      <c r="AO88" s="46">
        <f>123-271</f>
        <v>-148</v>
      </c>
      <c r="AP88" s="46">
        <f>140-268</f>
        <v>-128</v>
      </c>
      <c r="AQ88" s="46">
        <f>137-250</f>
        <v>-113</v>
      </c>
      <c r="AR88" s="46">
        <f>137-250</f>
        <v>-113</v>
      </c>
      <c r="AS88" s="46">
        <f>153-246</f>
        <v>-93</v>
      </c>
      <c r="AT88" s="46">
        <f>126-241</f>
        <v>-115</v>
      </c>
      <c r="AU88" s="46">
        <f>132-239</f>
        <v>-107</v>
      </c>
      <c r="AV88" s="46"/>
      <c r="AW88" s="46"/>
      <c r="AX88" s="46"/>
      <c r="AY88" s="46"/>
      <c r="AZ88" s="46"/>
      <c r="BA88" s="46"/>
      <c r="BB88" s="46"/>
      <c r="BC88" s="46"/>
      <c r="BD88" s="46">
        <f>10-253</f>
        <v>-243</v>
      </c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83"/>
      <c r="BX88" s="83"/>
      <c r="BY88" s="83"/>
      <c r="BZ88" s="83">
        <f>312+25</f>
        <v>337</v>
      </c>
      <c r="CA88" s="83">
        <f>281+4</f>
        <v>285</v>
      </c>
      <c r="CB88" s="83">
        <f>307+16</f>
        <v>323</v>
      </c>
      <c r="CC88" s="83">
        <f>324+1-7</f>
        <v>318</v>
      </c>
      <c r="CD88" s="83">
        <f>314+6-54-55</f>
        <v>211</v>
      </c>
      <c r="CE88" s="83">
        <f>-20+303+4-49-47</f>
        <v>191</v>
      </c>
      <c r="CF88" s="83">
        <f>319+44-50-47</f>
        <v>266</v>
      </c>
      <c r="CG88" s="83">
        <f>335+7-15-101</f>
        <v>226</v>
      </c>
      <c r="CH88" s="83">
        <f>-146+233</f>
        <v>87</v>
      </c>
      <c r="CI88" s="83">
        <v>252</v>
      </c>
      <c r="CJ88" s="83">
        <f>223-1</f>
        <v>222</v>
      </c>
      <c r="CK88" s="83"/>
      <c r="CL88" s="83"/>
      <c r="CM88" s="83"/>
      <c r="CN88" s="83">
        <f>367+1</f>
        <v>368</v>
      </c>
      <c r="CO88" s="83"/>
      <c r="CP88" s="83"/>
      <c r="CQ88" s="83"/>
      <c r="CR88" s="83">
        <f>285+6</f>
        <v>291</v>
      </c>
      <c r="CS88" s="83"/>
      <c r="CT88" s="83"/>
      <c r="CU88" s="83"/>
      <c r="CV88" s="83"/>
      <c r="CW88" s="83"/>
      <c r="CX88" s="83"/>
      <c r="CY88" s="83"/>
      <c r="CZ88" s="83"/>
      <c r="DA88" s="46"/>
      <c r="DB88" s="46"/>
      <c r="DC88" s="46"/>
      <c r="DD88" s="43"/>
      <c r="DE88" s="43"/>
      <c r="DF88" s="46">
        <v>56</v>
      </c>
      <c r="DG88" s="46">
        <v>78</v>
      </c>
      <c r="DH88" s="46">
        <v>165</v>
      </c>
      <c r="DI88" s="44">
        <f>SUM(W88:Z88)</f>
        <v>327</v>
      </c>
      <c r="DJ88" s="43"/>
      <c r="DK88" s="46">
        <f>DJ103*0.07</f>
        <v>0</v>
      </c>
      <c r="DL88" s="44">
        <f>SUM(AI88:AL88)</f>
        <v>-736</v>
      </c>
      <c r="DM88" s="46">
        <f>SUM(AM88:AP88)</f>
        <v>-517</v>
      </c>
      <c r="DN88" s="44">
        <f>SUM(AQ88:AT88)</f>
        <v>-434</v>
      </c>
      <c r="DO88" s="46">
        <f t="shared" ref="DO88:EB88" si="88">DN103*$EO$101</f>
        <v>0</v>
      </c>
      <c r="DP88" s="46">
        <f t="shared" si="88"/>
        <v>-50</v>
      </c>
      <c r="DQ88" s="46">
        <f t="shared" si="88"/>
        <v>55.650800943295785</v>
      </c>
      <c r="DR88" s="46">
        <f t="shared" si="88"/>
        <v>161.64847445828963</v>
      </c>
      <c r="DS88" s="46">
        <f t="shared" si="88"/>
        <v>258.0887989994124</v>
      </c>
      <c r="DT88" s="46">
        <f t="shared" si="88"/>
        <v>350.10669246445303</v>
      </c>
      <c r="DU88" s="46">
        <f t="shared" si="88"/>
        <v>431.61344923721663</v>
      </c>
      <c r="DV88" s="46">
        <f t="shared" si="88"/>
        <v>447.79895358361227</v>
      </c>
      <c r="DW88" s="46">
        <f t="shared" si="88"/>
        <v>869.22016434299792</v>
      </c>
      <c r="DX88" s="46">
        <f t="shared" si="88"/>
        <v>1340.9964205058604</v>
      </c>
      <c r="DY88" s="46">
        <f t="shared" si="88"/>
        <v>2008.6642862748304</v>
      </c>
      <c r="DZ88" s="46">
        <f t="shared" si="88"/>
        <v>2815.6981970101369</v>
      </c>
      <c r="EA88" s="46">
        <f t="shared" si="88"/>
        <v>3677.1848793980171</v>
      </c>
      <c r="EB88" s="46">
        <f t="shared" si="88"/>
        <v>4368.8003373754427</v>
      </c>
    </row>
    <row r="89" spans="1:199" s="11" customFormat="1">
      <c r="A89" s="35"/>
      <c r="B89" s="35" t="s">
        <v>23</v>
      </c>
      <c r="C89" s="46"/>
      <c r="D89" s="46"/>
      <c r="E89" s="46"/>
      <c r="F89" s="46"/>
      <c r="G89" s="46"/>
      <c r="H89" s="46"/>
      <c r="I89" s="46"/>
      <c r="J89" s="46"/>
      <c r="K89" s="46">
        <v>1195</v>
      </c>
      <c r="L89" s="46">
        <v>914</v>
      </c>
      <c r="M89" s="46">
        <v>1077</v>
      </c>
      <c r="N89" s="46">
        <v>879</v>
      </c>
      <c r="O89" s="46">
        <v>1082</v>
      </c>
      <c r="P89" s="46">
        <v>1039</v>
      </c>
      <c r="Q89" s="46">
        <v>1185</v>
      </c>
      <c r="R89" s="46">
        <v>1319</v>
      </c>
      <c r="S89" s="46">
        <v>1486</v>
      </c>
      <c r="T89" s="46">
        <v>1749.25</v>
      </c>
      <c r="U89" s="46">
        <v>1743</v>
      </c>
      <c r="V89" s="46">
        <v>1689</v>
      </c>
      <c r="W89" s="46">
        <f t="shared" ref="W89:AB89" si="89">W87+W88</f>
        <v>1767</v>
      </c>
      <c r="X89" s="46">
        <f t="shared" si="89"/>
        <v>1901</v>
      </c>
      <c r="Y89" s="46">
        <f t="shared" si="89"/>
        <v>1911</v>
      </c>
      <c r="Z89" s="46">
        <f t="shared" si="89"/>
        <v>1851</v>
      </c>
      <c r="AA89" s="46">
        <f t="shared" si="89"/>
        <v>1913</v>
      </c>
      <c r="AB89" s="46">
        <f t="shared" si="89"/>
        <v>1577</v>
      </c>
      <c r="AC89" s="46">
        <f t="shared" ref="AC89:AH89" si="90">AC87+AC88</f>
        <v>1517</v>
      </c>
      <c r="AD89" s="46">
        <f t="shared" si="90"/>
        <v>1918</v>
      </c>
      <c r="AE89" s="46">
        <f t="shared" si="90"/>
        <v>2210</v>
      </c>
      <c r="AF89" s="46">
        <f t="shared" si="90"/>
        <v>1761</v>
      </c>
      <c r="AG89" s="46">
        <f t="shared" si="90"/>
        <v>1942</v>
      </c>
      <c r="AH89" s="46">
        <f t="shared" si="90"/>
        <v>1302</v>
      </c>
      <c r="AI89" s="46">
        <f t="shared" ref="AI89:AQ89" si="91">AI87+AI88</f>
        <v>2488</v>
      </c>
      <c r="AJ89" s="46">
        <f t="shared" si="91"/>
        <v>2057</v>
      </c>
      <c r="AK89" s="46">
        <f t="shared" si="91"/>
        <v>2470</v>
      </c>
      <c r="AL89" s="46">
        <f t="shared" si="91"/>
        <v>1498</v>
      </c>
      <c r="AM89" s="46">
        <f t="shared" si="91"/>
        <v>2818</v>
      </c>
      <c r="AN89" s="46">
        <f t="shared" si="91"/>
        <v>2253</v>
      </c>
      <c r="AO89" s="46">
        <f t="shared" si="91"/>
        <v>1618</v>
      </c>
      <c r="AP89" s="46">
        <f t="shared" si="91"/>
        <v>1629</v>
      </c>
      <c r="AQ89" s="46">
        <f t="shared" si="91"/>
        <v>2536</v>
      </c>
      <c r="AR89" s="46">
        <f t="shared" ref="AR89:AX89" si="92">AR87+AR88</f>
        <v>2293.1927999999998</v>
      </c>
      <c r="AS89" s="46">
        <f t="shared" si="92"/>
        <v>1739</v>
      </c>
      <c r="AT89" s="46">
        <f t="shared" si="92"/>
        <v>1213</v>
      </c>
      <c r="AU89" s="46">
        <f t="shared" si="92"/>
        <v>1330</v>
      </c>
      <c r="AV89" s="46">
        <f t="shared" si="92"/>
        <v>-2408</v>
      </c>
      <c r="AW89" s="46">
        <f t="shared" si="92"/>
        <v>-2544</v>
      </c>
      <c r="AX89" s="46">
        <f t="shared" si="92"/>
        <v>-3041</v>
      </c>
      <c r="AY89" s="46"/>
      <c r="AZ89" s="46"/>
      <c r="BA89" s="46"/>
      <c r="BB89" s="46"/>
      <c r="BC89" s="46"/>
      <c r="BD89" s="46">
        <f>+BD88+BD87</f>
        <v>-62</v>
      </c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83"/>
      <c r="BX89" s="83"/>
      <c r="BY89" s="83"/>
      <c r="BZ89" s="83">
        <f t="shared" ref="BZ89:CB89" si="93">BZ87-BZ88</f>
        <v>243</v>
      </c>
      <c r="CA89" s="83">
        <f t="shared" si="93"/>
        <v>935</v>
      </c>
      <c r="CB89" s="83">
        <f t="shared" si="93"/>
        <v>961</v>
      </c>
      <c r="CC89" s="83">
        <f t="shared" ref="CC89:CJ89" si="94">CC87-CC88</f>
        <v>853</v>
      </c>
      <c r="CD89" s="83">
        <f t="shared" si="94"/>
        <v>1688</v>
      </c>
      <c r="CE89" s="83">
        <f t="shared" si="94"/>
        <v>2531</v>
      </c>
      <c r="CF89" s="83">
        <f t="shared" si="94"/>
        <v>1539</v>
      </c>
      <c r="CG89" s="83">
        <f t="shared" si="94"/>
        <v>2055</v>
      </c>
      <c r="CH89" s="83">
        <f t="shared" si="94"/>
        <v>3085</v>
      </c>
      <c r="CI89" s="83">
        <f t="shared" si="94"/>
        <v>3709</v>
      </c>
      <c r="CJ89" s="83">
        <f t="shared" si="94"/>
        <v>3143</v>
      </c>
      <c r="CK89" s="83"/>
      <c r="CL89" s="83"/>
      <c r="CM89" s="83"/>
      <c r="CN89" s="83">
        <f t="shared" ref="CN89" si="95">CN87-CN88</f>
        <v>2089</v>
      </c>
      <c r="CO89" s="83"/>
      <c r="CP89" s="83"/>
      <c r="CQ89" s="83"/>
      <c r="CR89" s="83">
        <f t="shared" ref="CR89" si="96">CR87-CR88</f>
        <v>3785</v>
      </c>
      <c r="CS89" s="83"/>
      <c r="CT89" s="83"/>
      <c r="CU89" s="83"/>
      <c r="CV89" s="83"/>
      <c r="CW89" s="83"/>
      <c r="CX89" s="83"/>
      <c r="CY89" s="83"/>
      <c r="CZ89" s="83"/>
      <c r="DA89" s="46"/>
      <c r="DB89" s="46"/>
      <c r="DC89" s="46"/>
      <c r="DD89" s="43"/>
      <c r="DE89" s="43"/>
      <c r="DF89" s="46">
        <v>4065</v>
      </c>
      <c r="DG89" s="46">
        <v>4625</v>
      </c>
      <c r="DH89" s="46">
        <v>6667.25</v>
      </c>
      <c r="DI89" s="46">
        <f>DI87+DI88</f>
        <v>7430</v>
      </c>
      <c r="DJ89" s="46">
        <f t="shared" ref="DJ89:EA89" si="97">DJ87+DJ88</f>
        <v>9602.5530000000017</v>
      </c>
      <c r="DK89" s="46">
        <f t="shared" si="97"/>
        <v>10764.386399999999</v>
      </c>
      <c r="DL89" s="46">
        <f>DL87+DL88</f>
        <v>8513</v>
      </c>
      <c r="DM89" s="46">
        <f>DM87+DM88</f>
        <v>8318</v>
      </c>
      <c r="DN89" s="46">
        <f t="shared" si="97"/>
        <v>7781.1928000000007</v>
      </c>
      <c r="DO89" s="46">
        <f t="shared" si="97"/>
        <v>3250.8292234091355</v>
      </c>
      <c r="DP89" s="46">
        <f t="shared" si="97"/>
        <v>2817.3546918212205</v>
      </c>
      <c r="DQ89" s="46">
        <f t="shared" si="97"/>
        <v>2826.6046270665024</v>
      </c>
      <c r="DR89" s="46">
        <f t="shared" si="97"/>
        <v>2571.7419877632747</v>
      </c>
      <c r="DS89" s="46">
        <f t="shared" si="97"/>
        <v>2453.8104924010831</v>
      </c>
      <c r="DT89" s="46">
        <f t="shared" si="97"/>
        <v>2173.5135139403646</v>
      </c>
      <c r="DU89" s="46">
        <f t="shared" si="97"/>
        <v>431.61344923721663</v>
      </c>
      <c r="DV89" s="46">
        <f t="shared" si="97"/>
        <v>11237.898953583615</v>
      </c>
      <c r="DW89" s="46">
        <f t="shared" si="97"/>
        <v>12580.700164343001</v>
      </c>
      <c r="DX89" s="46">
        <f t="shared" si="97"/>
        <v>17804.476420505864</v>
      </c>
      <c r="DY89" s="46">
        <f t="shared" si="97"/>
        <v>21520.904286274836</v>
      </c>
      <c r="DZ89" s="46">
        <f t="shared" si="97"/>
        <v>22972.978197010136</v>
      </c>
      <c r="EA89" s="46">
        <f t="shared" si="97"/>
        <v>18443.078879398017</v>
      </c>
      <c r="EB89" s="46">
        <f>EB87+EB88</f>
        <v>18348.927685375449</v>
      </c>
      <c r="EC89" s="46">
        <f t="shared" ref="EC89:EL89" si="98">EC87+EC88</f>
        <v>11365.823943320001</v>
      </c>
      <c r="ED89" s="46">
        <f t="shared" si="98"/>
        <v>10804.904712408399</v>
      </c>
      <c r="EE89" s="46">
        <f t="shared" si="98"/>
        <v>10675.229049570142</v>
      </c>
      <c r="EF89" s="46">
        <f t="shared" si="98"/>
        <v>10252.484172796781</v>
      </c>
      <c r="EG89" s="46">
        <f t="shared" si="98"/>
        <v>9875.9320477696238</v>
      </c>
      <c r="EH89" s="46">
        <f t="shared" si="98"/>
        <v>9530.6406504630068</v>
      </c>
      <c r="EI89" s="46">
        <f t="shared" si="98"/>
        <v>8177.5511582451772</v>
      </c>
      <c r="EJ89" s="46">
        <f t="shared" si="98"/>
        <v>7073.3104842403982</v>
      </c>
      <c r="EK89" s="46">
        <f t="shared" si="98"/>
        <v>6722.3998241213085</v>
      </c>
      <c r="EL89" s="46">
        <f t="shared" si="98"/>
        <v>6535.0533956083736</v>
      </c>
    </row>
    <row r="90" spans="1:199" s="11" customFormat="1">
      <c r="A90" s="35"/>
      <c r="B90" s="35" t="s">
        <v>16</v>
      </c>
      <c r="C90" s="46"/>
      <c r="D90" s="46"/>
      <c r="E90" s="46"/>
      <c r="F90" s="46"/>
      <c r="G90" s="46"/>
      <c r="H90" s="46"/>
      <c r="I90" s="46"/>
      <c r="J90" s="46"/>
      <c r="K90" s="46">
        <v>-247</v>
      </c>
      <c r="L90" s="46">
        <v>-253</v>
      </c>
      <c r="M90" s="46">
        <v>-311</v>
      </c>
      <c r="N90" s="46">
        <v>-218</v>
      </c>
      <c r="O90" s="46">
        <v>-285</v>
      </c>
      <c r="P90" s="46">
        <v>-230</v>
      </c>
      <c r="Q90" s="46">
        <v>-341</v>
      </c>
      <c r="R90" s="46">
        <v>-366</v>
      </c>
      <c r="S90" s="46">
        <v>-443</v>
      </c>
      <c r="T90" s="46">
        <v>-525</v>
      </c>
      <c r="U90" s="46">
        <v>-513</v>
      </c>
      <c r="V90" s="46">
        <v>-462</v>
      </c>
      <c r="W90" s="46">
        <v>620</v>
      </c>
      <c r="X90" s="46">
        <v>607</v>
      </c>
      <c r="Y90" s="46">
        <v>595</v>
      </c>
      <c r="Z90" s="46">
        <v>658</v>
      </c>
      <c r="AA90" s="46">
        <v>703</v>
      </c>
      <c r="AB90" s="46">
        <v>554</v>
      </c>
      <c r="AC90" s="46">
        <v>537</v>
      </c>
      <c r="AD90" s="46">
        <v>562</v>
      </c>
      <c r="AE90" s="46">
        <v>638</v>
      </c>
      <c r="AF90" s="46">
        <v>651</v>
      </c>
      <c r="AG90" s="46">
        <v>705</v>
      </c>
      <c r="AH90" s="46">
        <v>557</v>
      </c>
      <c r="AI90" s="46">
        <v>859</v>
      </c>
      <c r="AJ90" s="46">
        <v>891</v>
      </c>
      <c r="AK90" s="46">
        <v>911</v>
      </c>
      <c r="AL90" s="46">
        <v>602</v>
      </c>
      <c r="AM90" s="46">
        <v>740</v>
      </c>
      <c r="AN90" s="46">
        <v>801</v>
      </c>
      <c r="AO90" s="46">
        <v>704</v>
      </c>
      <c r="AP90" s="46">
        <v>651</v>
      </c>
      <c r="AQ90" s="46">
        <v>373</v>
      </c>
      <c r="AR90" s="46">
        <f>AR89*0.2</f>
        <v>458.63855999999998</v>
      </c>
      <c r="AS90" s="46">
        <v>684</v>
      </c>
      <c r="AT90" s="46">
        <v>559</v>
      </c>
      <c r="AU90" s="46">
        <v>411</v>
      </c>
      <c r="AV90" s="46">
        <f>+AV89*0.2</f>
        <v>-481.6</v>
      </c>
      <c r="AW90" s="46">
        <f>+AW89*0.2</f>
        <v>-508.8</v>
      </c>
      <c r="AX90" s="46">
        <f>+AX89*0.2</f>
        <v>-608.20000000000005</v>
      </c>
      <c r="AY90" s="46"/>
      <c r="AZ90" s="46"/>
      <c r="BA90" s="46"/>
      <c r="BB90" s="46"/>
      <c r="BC90" s="46"/>
      <c r="BD90" s="46">
        <v>69</v>
      </c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83"/>
      <c r="BX90" s="83"/>
      <c r="BY90" s="83"/>
      <c r="BZ90" s="83">
        <v>-37</v>
      </c>
      <c r="CA90" s="83">
        <v>185</v>
      </c>
      <c r="CB90" s="83">
        <v>202</v>
      </c>
      <c r="CC90" s="83">
        <v>202</v>
      </c>
      <c r="CD90" s="83">
        <v>297</v>
      </c>
      <c r="CE90" s="83">
        <v>190</v>
      </c>
      <c r="CF90" s="83">
        <v>364</v>
      </c>
      <c r="CG90" s="83">
        <v>443</v>
      </c>
      <c r="CH90" s="83">
        <v>497</v>
      </c>
      <c r="CI90" s="83">
        <v>772</v>
      </c>
      <c r="CJ90" s="83">
        <v>481</v>
      </c>
      <c r="CK90" s="83"/>
      <c r="CL90" s="83"/>
      <c r="CM90" s="83"/>
      <c r="CN90" s="83">
        <v>268</v>
      </c>
      <c r="CO90" s="83"/>
      <c r="CP90" s="83"/>
      <c r="CQ90" s="83"/>
      <c r="CR90" s="83">
        <v>741</v>
      </c>
      <c r="CS90" s="83"/>
      <c r="CT90" s="83"/>
      <c r="CU90" s="83"/>
      <c r="CV90" s="83"/>
      <c r="CW90" s="83"/>
      <c r="CX90" s="83"/>
      <c r="CY90" s="83"/>
      <c r="CZ90" s="83"/>
      <c r="DA90" s="46"/>
      <c r="DB90" s="46"/>
      <c r="DC90" s="46"/>
      <c r="DD90" s="43"/>
      <c r="DE90" s="43"/>
      <c r="DF90" s="46">
        <v>-1029</v>
      </c>
      <c r="DG90" s="46">
        <v>-1222</v>
      </c>
      <c r="DH90" s="46">
        <v>-1943</v>
      </c>
      <c r="DI90" s="44">
        <f>SUM(W90:Z90)</f>
        <v>2480</v>
      </c>
      <c r="DJ90" s="46">
        <f>DJ89*0.25</f>
        <v>2400.6382500000004</v>
      </c>
      <c r="DK90" s="46">
        <f t="shared" ref="DK90:EA90" si="99">DK89*0.25</f>
        <v>2691.0965999999999</v>
      </c>
      <c r="DL90" s="44">
        <f>SUM(AI90:AL90)</f>
        <v>3263</v>
      </c>
      <c r="DM90" s="46">
        <f>SUM(AM90:AP90)</f>
        <v>2896</v>
      </c>
      <c r="DN90" s="44">
        <f>SUM(AQ90:AT90)</f>
        <v>2074.6385599999999</v>
      </c>
      <c r="DO90" s="46">
        <f t="shared" si="99"/>
        <v>812.70730585228387</v>
      </c>
      <c r="DP90" s="46">
        <f t="shared" si="99"/>
        <v>704.33867295530513</v>
      </c>
      <c r="DQ90" s="46">
        <f t="shared" si="99"/>
        <v>706.6511567666256</v>
      </c>
      <c r="DR90" s="46">
        <f t="shared" si="99"/>
        <v>642.93549694081867</v>
      </c>
      <c r="DS90" s="46">
        <f t="shared" si="99"/>
        <v>613.45262310027078</v>
      </c>
      <c r="DT90" s="46">
        <f t="shared" si="99"/>
        <v>543.37837848509116</v>
      </c>
      <c r="DU90" s="46">
        <f t="shared" si="99"/>
        <v>107.90336230930416</v>
      </c>
      <c r="DV90" s="46">
        <f t="shared" si="99"/>
        <v>2809.4747383959038</v>
      </c>
      <c r="DW90" s="46">
        <f t="shared" si="99"/>
        <v>3145.1750410857503</v>
      </c>
      <c r="DX90" s="46">
        <f t="shared" si="99"/>
        <v>4451.1191051264659</v>
      </c>
      <c r="DY90" s="46">
        <f t="shared" si="99"/>
        <v>5380.2260715687089</v>
      </c>
      <c r="DZ90" s="46">
        <f t="shared" si="99"/>
        <v>5743.2445492525339</v>
      </c>
      <c r="EA90" s="46">
        <f t="shared" si="99"/>
        <v>4610.7697198495043</v>
      </c>
      <c r="EB90" s="46">
        <f>EB89*0.25</f>
        <v>4587.2319213438623</v>
      </c>
    </row>
    <row r="91" spans="1:199" s="11" customFormat="1">
      <c r="A91" s="35"/>
      <c r="B91" s="35" t="s">
        <v>24</v>
      </c>
      <c r="C91" s="46"/>
      <c r="D91" s="46"/>
      <c r="E91" s="46"/>
      <c r="F91" s="46"/>
      <c r="G91" s="46"/>
      <c r="H91" s="46"/>
      <c r="I91" s="46"/>
      <c r="J91" s="46"/>
      <c r="K91" s="46">
        <v>-5</v>
      </c>
      <c r="L91" s="46">
        <v>-2</v>
      </c>
      <c r="M91" s="46">
        <v>-7</v>
      </c>
      <c r="N91" s="46">
        <v>-8</v>
      </c>
      <c r="O91" s="46">
        <v>-2</v>
      </c>
      <c r="P91" s="46">
        <v>-5</v>
      </c>
      <c r="Q91" s="46">
        <v>-6</v>
      </c>
      <c r="R91" s="46">
        <v>-6</v>
      </c>
      <c r="S91" s="46">
        <v>-3</v>
      </c>
      <c r="T91" s="46">
        <v>-5</v>
      </c>
      <c r="U91" s="46">
        <v>-7</v>
      </c>
      <c r="V91" s="46">
        <v>-3</v>
      </c>
      <c r="W91" s="46">
        <v>-1</v>
      </c>
      <c r="X91" s="46">
        <v>3</v>
      </c>
      <c r="Y91" s="46">
        <v>5</v>
      </c>
      <c r="Z91" s="46">
        <v>13</v>
      </c>
      <c r="AA91" s="46">
        <v>4</v>
      </c>
      <c r="AB91" s="46">
        <v>0</v>
      </c>
      <c r="AC91" s="46">
        <v>8</v>
      </c>
      <c r="AD91" s="46">
        <v>9</v>
      </c>
      <c r="AE91" s="46">
        <v>2</v>
      </c>
      <c r="AF91" s="46">
        <v>8</v>
      </c>
      <c r="AG91" s="46">
        <v>8</v>
      </c>
      <c r="AH91" s="46">
        <v>11</v>
      </c>
      <c r="AI91" s="46">
        <v>2</v>
      </c>
      <c r="AJ91" s="46">
        <v>10</v>
      </c>
      <c r="AK91" s="46">
        <v>6</v>
      </c>
      <c r="AL91" s="46">
        <v>9</v>
      </c>
      <c r="AM91" s="46">
        <v>2</v>
      </c>
      <c r="AN91" s="46">
        <v>0</v>
      </c>
      <c r="AO91" s="46">
        <v>0</v>
      </c>
      <c r="AP91" s="46">
        <v>11</v>
      </c>
      <c r="AQ91" s="46">
        <v>8</v>
      </c>
      <c r="AR91" s="46"/>
      <c r="AS91" s="46">
        <v>358</v>
      </c>
      <c r="AT91" s="46">
        <v>490</v>
      </c>
      <c r="AU91" s="46">
        <f>-117</f>
        <v>-117</v>
      </c>
      <c r="AV91" s="46"/>
      <c r="AW91" s="46"/>
      <c r="AX91" s="46"/>
      <c r="AY91" s="46"/>
      <c r="AZ91" s="46"/>
      <c r="BA91" s="46"/>
      <c r="BB91" s="46"/>
      <c r="BC91" s="46"/>
      <c r="BD91" s="46">
        <v>1</v>
      </c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83"/>
      <c r="BX91" s="83"/>
      <c r="BY91" s="83"/>
      <c r="BZ91" s="83">
        <v>0</v>
      </c>
      <c r="CA91" s="83">
        <v>0</v>
      </c>
      <c r="CB91" s="83">
        <v>0</v>
      </c>
      <c r="CC91" s="83">
        <v>0</v>
      </c>
      <c r="CD91" s="83">
        <v>0</v>
      </c>
      <c r="CE91" s="83">
        <v>0</v>
      </c>
      <c r="CF91" s="83">
        <v>0</v>
      </c>
      <c r="CG91" s="83">
        <v>0</v>
      </c>
      <c r="CH91" s="83">
        <v>0</v>
      </c>
      <c r="CI91" s="83">
        <v>0</v>
      </c>
      <c r="CJ91" s="83">
        <v>0</v>
      </c>
      <c r="CK91" s="83"/>
      <c r="CL91" s="83"/>
      <c r="CM91" s="83"/>
      <c r="CN91" s="83">
        <v>0</v>
      </c>
      <c r="CO91" s="83"/>
      <c r="CP91" s="83"/>
      <c r="CQ91" s="83"/>
      <c r="CR91" s="83">
        <v>0</v>
      </c>
      <c r="CS91" s="83"/>
      <c r="CT91" s="83"/>
      <c r="CU91" s="83"/>
      <c r="CV91" s="83"/>
      <c r="CW91" s="83"/>
      <c r="CX91" s="83"/>
      <c r="CY91" s="83"/>
      <c r="CZ91" s="83"/>
      <c r="DA91" s="46"/>
      <c r="DB91" s="46"/>
      <c r="DC91" s="46"/>
      <c r="DD91" s="43"/>
      <c r="DE91" s="43"/>
      <c r="DF91" s="46">
        <v>0</v>
      </c>
      <c r="DG91" s="46">
        <v>3670</v>
      </c>
      <c r="DH91" s="46">
        <v>4706.25</v>
      </c>
      <c r="DI91" s="43"/>
      <c r="DJ91" s="43"/>
      <c r="DK91" s="43"/>
      <c r="DL91" s="44">
        <f>SUM(AI91:AL91)</f>
        <v>27</v>
      </c>
      <c r="DM91" s="46">
        <f>SUM(AM91:AP91)</f>
        <v>13</v>
      </c>
      <c r="DN91" s="44">
        <f>SUM(AQ91:AT91)</f>
        <v>856</v>
      </c>
      <c r="DO91" s="43"/>
      <c r="DP91" s="43"/>
      <c r="DQ91" s="43"/>
      <c r="DR91" s="43"/>
      <c r="DS91" s="43"/>
      <c r="DT91" s="43"/>
      <c r="DU91" s="43"/>
      <c r="DV91" s="43"/>
      <c r="DW91" s="43"/>
    </row>
    <row r="92" spans="1:199" s="11" customFormat="1">
      <c r="A92" s="35"/>
      <c r="B92" s="35" t="s">
        <v>441</v>
      </c>
      <c r="C92" s="46"/>
      <c r="D92" s="46"/>
      <c r="E92" s="46"/>
      <c r="F92" s="46"/>
      <c r="G92" s="46"/>
      <c r="H92" s="46"/>
      <c r="I92" s="46"/>
      <c r="J92" s="46"/>
      <c r="K92" s="46">
        <v>943</v>
      </c>
      <c r="L92" s="46">
        <v>659</v>
      </c>
      <c r="M92" s="46">
        <v>759</v>
      </c>
      <c r="N92" s="46">
        <v>653</v>
      </c>
      <c r="O92" s="46">
        <v>795</v>
      </c>
      <c r="P92" s="46">
        <v>804</v>
      </c>
      <c r="Q92" s="46">
        <v>838</v>
      </c>
      <c r="R92" s="46">
        <v>947</v>
      </c>
      <c r="S92" s="46">
        <v>1040</v>
      </c>
      <c r="T92" s="46">
        <v>1219.25</v>
      </c>
      <c r="U92" s="46">
        <v>1223</v>
      </c>
      <c r="V92" s="46">
        <v>1224</v>
      </c>
      <c r="W92" s="46">
        <f t="shared" ref="W92:AE92" si="100">W89-W90-W91</f>
        <v>1148</v>
      </c>
      <c r="X92" s="46">
        <f t="shared" si="100"/>
        <v>1291</v>
      </c>
      <c r="Y92" s="46">
        <f t="shared" si="100"/>
        <v>1311</v>
      </c>
      <c r="Z92" s="46">
        <f t="shared" si="100"/>
        <v>1180</v>
      </c>
      <c r="AA92" s="46">
        <f t="shared" si="100"/>
        <v>1206</v>
      </c>
      <c r="AB92" s="46">
        <f t="shared" si="100"/>
        <v>1023</v>
      </c>
      <c r="AC92" s="46">
        <f t="shared" si="100"/>
        <v>972</v>
      </c>
      <c r="AD92" s="46">
        <f t="shared" si="100"/>
        <v>1347</v>
      </c>
      <c r="AE92" s="46">
        <f t="shared" si="100"/>
        <v>1570</v>
      </c>
      <c r="AF92" s="46">
        <f t="shared" ref="AF92:AL92" si="101">AF89-AF90-AF91</f>
        <v>1102</v>
      </c>
      <c r="AG92" s="46">
        <f t="shared" si="101"/>
        <v>1229</v>
      </c>
      <c r="AH92" s="46">
        <f>AH89-AH90-AH91</f>
        <v>734</v>
      </c>
      <c r="AI92" s="46">
        <f t="shared" si="101"/>
        <v>1627</v>
      </c>
      <c r="AJ92" s="46">
        <f t="shared" si="101"/>
        <v>1156</v>
      </c>
      <c r="AK92" s="46">
        <f t="shared" si="101"/>
        <v>1553</v>
      </c>
      <c r="AL92" s="46">
        <f t="shared" si="101"/>
        <v>887</v>
      </c>
      <c r="AM92" s="46">
        <f t="shared" ref="AM92:AT92" si="102">AM89-AM90-AM91</f>
        <v>2076</v>
      </c>
      <c r="AN92" s="46">
        <f t="shared" si="102"/>
        <v>1452</v>
      </c>
      <c r="AO92" s="46">
        <f t="shared" si="102"/>
        <v>914</v>
      </c>
      <c r="AP92" s="46">
        <f t="shared" si="102"/>
        <v>967</v>
      </c>
      <c r="AQ92" s="46">
        <f t="shared" si="102"/>
        <v>2155</v>
      </c>
      <c r="AR92" s="46">
        <f t="shared" si="102"/>
        <v>1834.5542399999999</v>
      </c>
      <c r="AS92" s="46">
        <f>AS89-AS90-AS91</f>
        <v>697</v>
      </c>
      <c r="AT92" s="46">
        <f t="shared" si="102"/>
        <v>164</v>
      </c>
      <c r="AU92" s="46">
        <f>AU89-AU90-AU91</f>
        <v>1036</v>
      </c>
      <c r="AV92" s="46">
        <f>AV89-AV90-AV91</f>
        <v>-1926.4</v>
      </c>
      <c r="AW92" s="46">
        <f>AW89-AW90-AW91</f>
        <v>-2035.2</v>
      </c>
      <c r="AX92" s="46">
        <f>AX89-AX90-AX91</f>
        <v>-2432.8000000000002</v>
      </c>
      <c r="AY92" s="46"/>
      <c r="AZ92" s="46"/>
      <c r="BA92" s="46"/>
      <c r="BB92" s="46"/>
      <c r="BC92" s="46"/>
      <c r="BD92" s="46">
        <f>BD89-BD90-BD91</f>
        <v>-132</v>
      </c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83"/>
      <c r="BX92" s="83"/>
      <c r="BY92" s="83"/>
      <c r="BZ92" s="83">
        <f t="shared" ref="BZ92:CR92" si="103">BZ89-BZ90-BZ91</f>
        <v>280</v>
      </c>
      <c r="CA92" s="83">
        <f t="shared" si="103"/>
        <v>750</v>
      </c>
      <c r="CB92" s="83">
        <f t="shared" ref="CB92" si="104">CB89-CB90-CB91</f>
        <v>759</v>
      </c>
      <c r="CC92" s="83">
        <f t="shared" si="103"/>
        <v>651</v>
      </c>
      <c r="CD92" s="83">
        <f t="shared" si="103"/>
        <v>1391</v>
      </c>
      <c r="CE92" s="83">
        <f t="shared" si="103"/>
        <v>2341</v>
      </c>
      <c r="CF92" s="83">
        <f t="shared" si="103"/>
        <v>1175</v>
      </c>
      <c r="CG92" s="83">
        <f t="shared" si="103"/>
        <v>1612</v>
      </c>
      <c r="CH92" s="83">
        <f t="shared" si="103"/>
        <v>2588</v>
      </c>
      <c r="CI92" s="83">
        <f t="shared" si="103"/>
        <v>2937</v>
      </c>
      <c r="CJ92" s="83">
        <f t="shared" si="103"/>
        <v>2662</v>
      </c>
      <c r="CK92" s="83">
        <f t="shared" si="103"/>
        <v>0</v>
      </c>
      <c r="CL92" s="83">
        <f t="shared" si="103"/>
        <v>0</v>
      </c>
      <c r="CM92" s="83">
        <f t="shared" si="103"/>
        <v>0</v>
      </c>
      <c r="CN92" s="83">
        <f t="shared" si="103"/>
        <v>1821</v>
      </c>
      <c r="CO92" s="83">
        <f t="shared" si="103"/>
        <v>0</v>
      </c>
      <c r="CP92" s="83">
        <f t="shared" si="103"/>
        <v>0</v>
      </c>
      <c r="CQ92" s="83">
        <f t="shared" si="103"/>
        <v>0</v>
      </c>
      <c r="CR92" s="83">
        <f t="shared" si="103"/>
        <v>3044</v>
      </c>
      <c r="CS92" s="83"/>
      <c r="CT92" s="83"/>
      <c r="CU92" s="83"/>
      <c r="CV92" s="83"/>
      <c r="CW92" s="83"/>
      <c r="CX92" s="83"/>
      <c r="CY92" s="83"/>
      <c r="CZ92" s="83"/>
      <c r="DA92" s="46"/>
      <c r="DB92" s="46"/>
      <c r="DC92" s="46"/>
      <c r="DD92" s="43"/>
      <c r="DE92" s="43"/>
      <c r="DF92" s="47"/>
      <c r="DG92" s="47"/>
      <c r="DH92" s="47"/>
      <c r="DI92" s="46">
        <f t="shared" ref="DI92:DN92" si="105">DI89-DI90</f>
        <v>4950</v>
      </c>
      <c r="DJ92" s="46">
        <f t="shared" si="105"/>
        <v>7201.9147500000017</v>
      </c>
      <c r="DK92" s="46">
        <f t="shared" si="105"/>
        <v>8073.2897999999996</v>
      </c>
      <c r="DL92" s="46">
        <f>DL89-DL90-DL91</f>
        <v>5223</v>
      </c>
      <c r="DM92" s="46">
        <f>DM89-DM90</f>
        <v>5422</v>
      </c>
      <c r="DN92" s="46">
        <f t="shared" si="105"/>
        <v>5706.5542400000013</v>
      </c>
      <c r="DO92" s="46">
        <f t="shared" ref="DO92:DT92" si="106">DO89-DO90</f>
        <v>2438.1219175568517</v>
      </c>
      <c r="DP92" s="46">
        <f t="shared" si="106"/>
        <v>2113.0160188659156</v>
      </c>
      <c r="DQ92" s="46">
        <f t="shared" si="106"/>
        <v>2119.9534702998767</v>
      </c>
      <c r="DR92" s="46">
        <f t="shared" si="106"/>
        <v>1928.806490822456</v>
      </c>
      <c r="DS92" s="46">
        <f t="shared" si="106"/>
        <v>1840.3578693008124</v>
      </c>
      <c r="DT92" s="46">
        <f t="shared" si="106"/>
        <v>1630.1351354552735</v>
      </c>
      <c r="DU92" s="46">
        <f>DU89-DU90</f>
        <v>323.71008692791247</v>
      </c>
      <c r="DV92" s="46">
        <f t="shared" ref="DV92:EA92" si="107">DV89-DV90</f>
        <v>8428.4242151877115</v>
      </c>
      <c r="DW92" s="46">
        <f t="shared" si="107"/>
        <v>9435.5251232572518</v>
      </c>
      <c r="DX92" s="46">
        <f t="shared" si="107"/>
        <v>13353.357315379399</v>
      </c>
      <c r="DY92" s="46">
        <f t="shared" si="107"/>
        <v>16140.678214706128</v>
      </c>
      <c r="DZ92" s="46">
        <f t="shared" si="107"/>
        <v>17229.733647757603</v>
      </c>
      <c r="EA92" s="46">
        <f t="shared" si="107"/>
        <v>13832.309159548513</v>
      </c>
      <c r="EB92" s="46">
        <f>EB89-EB90</f>
        <v>13761.695764031587</v>
      </c>
      <c r="EC92" s="46">
        <f t="shared" ref="EC92:EL92" si="108">EC89-EC90</f>
        <v>11365.823943320001</v>
      </c>
      <c r="ED92" s="46">
        <f t="shared" si="108"/>
        <v>10804.904712408399</v>
      </c>
      <c r="EE92" s="46">
        <f t="shared" si="108"/>
        <v>10675.229049570142</v>
      </c>
      <c r="EF92" s="46">
        <f t="shared" si="108"/>
        <v>10252.484172796781</v>
      </c>
      <c r="EG92" s="46">
        <f t="shared" si="108"/>
        <v>9875.9320477696238</v>
      </c>
      <c r="EH92" s="46">
        <f t="shared" si="108"/>
        <v>9530.6406504630068</v>
      </c>
      <c r="EI92" s="46">
        <f t="shared" si="108"/>
        <v>8177.5511582451772</v>
      </c>
      <c r="EJ92" s="46">
        <f t="shared" si="108"/>
        <v>7073.3104842403982</v>
      </c>
      <c r="EK92" s="46">
        <f t="shared" si="108"/>
        <v>6722.3998241213085</v>
      </c>
      <c r="EL92" s="46">
        <f t="shared" si="108"/>
        <v>6535.0533956083736</v>
      </c>
      <c r="EM92" s="33">
        <f t="shared" ref="EM92:FR92" si="109">EL92*(1+$EO$97)</f>
        <v>6208.3007258279549</v>
      </c>
      <c r="EN92" s="33">
        <f t="shared" si="109"/>
        <v>5897.885689536557</v>
      </c>
      <c r="EO92" s="33">
        <f t="shared" si="109"/>
        <v>5602.991405059729</v>
      </c>
      <c r="EP92" s="33">
        <f t="shared" si="109"/>
        <v>5322.8418348067426</v>
      </c>
      <c r="EQ92" s="33">
        <f t="shared" si="109"/>
        <v>5056.6997430664051</v>
      </c>
      <c r="ER92" s="33">
        <f t="shared" si="109"/>
        <v>4803.864755913085</v>
      </c>
      <c r="ES92" s="33">
        <f t="shared" si="109"/>
        <v>4563.6715181174304</v>
      </c>
      <c r="ET92" s="33">
        <f t="shared" si="109"/>
        <v>4335.4879422115591</v>
      </c>
      <c r="EU92" s="33">
        <f t="shared" si="109"/>
        <v>4118.7135451009808</v>
      </c>
      <c r="EV92" s="33">
        <f t="shared" si="109"/>
        <v>3912.7778678459317</v>
      </c>
      <c r="EW92" s="33">
        <f t="shared" si="109"/>
        <v>3717.138974453635</v>
      </c>
      <c r="EX92" s="33">
        <f t="shared" si="109"/>
        <v>3531.2820257309531</v>
      </c>
      <c r="EY92" s="33">
        <f t="shared" si="109"/>
        <v>3354.7179244444055</v>
      </c>
      <c r="EZ92" s="33">
        <f t="shared" si="109"/>
        <v>3186.9820282221849</v>
      </c>
      <c r="FA92" s="33">
        <f t="shared" si="109"/>
        <v>3027.6329268110753</v>
      </c>
      <c r="FB92" s="33">
        <f t="shared" si="109"/>
        <v>2876.2512804705216</v>
      </c>
      <c r="FC92" s="33">
        <f t="shared" si="109"/>
        <v>2732.4387164469954</v>
      </c>
      <c r="FD92" s="33">
        <f t="shared" si="109"/>
        <v>2595.8167806246456</v>
      </c>
      <c r="FE92" s="33">
        <f t="shared" si="109"/>
        <v>2466.0259415934133</v>
      </c>
      <c r="FF92" s="33">
        <f t="shared" si="109"/>
        <v>2342.7246445137425</v>
      </c>
      <c r="FG92" s="33">
        <f t="shared" si="109"/>
        <v>2225.5884122880552</v>
      </c>
      <c r="FH92" s="33">
        <f t="shared" si="109"/>
        <v>2114.3089916736521</v>
      </c>
      <c r="FI92" s="33">
        <f t="shared" si="109"/>
        <v>2008.5935420899693</v>
      </c>
      <c r="FJ92" s="33">
        <f t="shared" si="109"/>
        <v>1908.1638649854708</v>
      </c>
      <c r="FK92" s="33">
        <f t="shared" si="109"/>
        <v>1812.7556717361972</v>
      </c>
      <c r="FL92" s="33">
        <f t="shared" si="109"/>
        <v>1722.1178881493872</v>
      </c>
      <c r="FM92" s="33">
        <f t="shared" si="109"/>
        <v>1636.0119937419179</v>
      </c>
      <c r="FN92" s="33">
        <f t="shared" si="109"/>
        <v>1554.211394054822</v>
      </c>
      <c r="FO92" s="33">
        <f t="shared" si="109"/>
        <v>1476.5008243520808</v>
      </c>
      <c r="FP92" s="33">
        <f t="shared" si="109"/>
        <v>1402.6757831344767</v>
      </c>
      <c r="FQ92" s="33">
        <f t="shared" si="109"/>
        <v>1332.5419939777528</v>
      </c>
      <c r="FR92" s="33">
        <f t="shared" si="109"/>
        <v>1265.9148942788652</v>
      </c>
      <c r="FS92" s="33">
        <f t="shared" ref="FS92:GQ92" si="110">FR92*(1+$EO$97)</f>
        <v>1202.6191495649218</v>
      </c>
      <c r="FT92" s="33">
        <f t="shared" si="110"/>
        <v>1142.4881920866758</v>
      </c>
      <c r="FU92" s="33">
        <f t="shared" si="110"/>
        <v>1085.363782482342</v>
      </c>
      <c r="FV92" s="33">
        <f t="shared" si="110"/>
        <v>1031.095593358225</v>
      </c>
      <c r="FW92" s="33">
        <f t="shared" si="110"/>
        <v>979.54081369031371</v>
      </c>
      <c r="FX92" s="33">
        <f t="shared" si="110"/>
        <v>930.563773005798</v>
      </c>
      <c r="FY92" s="33">
        <f t="shared" si="110"/>
        <v>884.03558435550804</v>
      </c>
      <c r="FZ92" s="33">
        <f t="shared" si="110"/>
        <v>839.83380513773261</v>
      </c>
      <c r="GA92" s="33">
        <f t="shared" si="110"/>
        <v>797.842114880846</v>
      </c>
      <c r="GB92" s="33">
        <f t="shared" si="110"/>
        <v>757.95000913680371</v>
      </c>
      <c r="GC92" s="33">
        <f t="shared" si="110"/>
        <v>720.05250867996347</v>
      </c>
      <c r="GD92" s="33">
        <f t="shared" si="110"/>
        <v>684.04988324596525</v>
      </c>
      <c r="GE92" s="33">
        <f t="shared" si="110"/>
        <v>649.84738908366694</v>
      </c>
      <c r="GF92" s="33">
        <f t="shared" si="110"/>
        <v>617.35501962948354</v>
      </c>
      <c r="GG92" s="33">
        <f t="shared" si="110"/>
        <v>586.48726864800938</v>
      </c>
      <c r="GH92" s="33">
        <f t="shared" si="110"/>
        <v>557.16290521560893</v>
      </c>
      <c r="GI92" s="33">
        <f t="shared" si="110"/>
        <v>529.30475995482846</v>
      </c>
      <c r="GJ92" s="33">
        <f t="shared" si="110"/>
        <v>502.83952195708702</v>
      </c>
      <c r="GK92" s="33">
        <f t="shared" si="110"/>
        <v>477.69754585923266</v>
      </c>
      <c r="GL92" s="33">
        <f t="shared" si="110"/>
        <v>453.81266856627099</v>
      </c>
      <c r="GM92" s="33">
        <f t="shared" si="110"/>
        <v>431.12203513795743</v>
      </c>
      <c r="GN92" s="33">
        <f t="shared" si="110"/>
        <v>409.56593338105955</v>
      </c>
      <c r="GO92" s="33">
        <f t="shared" si="110"/>
        <v>389.08763671200654</v>
      </c>
      <c r="GP92" s="33">
        <f t="shared" si="110"/>
        <v>369.63325487640617</v>
      </c>
      <c r="GQ92" s="33">
        <f t="shared" si="110"/>
        <v>351.15159213258585</v>
      </c>
    </row>
    <row r="93" spans="1:199">
      <c r="B93" s="101" t="s">
        <v>442</v>
      </c>
      <c r="C93" s="49"/>
      <c r="D93" s="49"/>
      <c r="E93" s="49"/>
      <c r="F93" s="49"/>
      <c r="G93" s="49"/>
      <c r="H93" s="49"/>
      <c r="I93" s="49"/>
      <c r="J93" s="49"/>
      <c r="K93" s="49">
        <v>0.54921374490390218</v>
      </c>
      <c r="L93" s="49">
        <v>0.38492990654205606</v>
      </c>
      <c r="M93" s="49">
        <v>0.44385964912280701</v>
      </c>
      <c r="N93" s="49">
        <v>0.38547815820543091</v>
      </c>
      <c r="O93" s="49">
        <v>0.47041420118343197</v>
      </c>
      <c r="P93" s="49">
        <v>0.47885646217986899</v>
      </c>
      <c r="Q93" s="49">
        <v>0.50149611011370432</v>
      </c>
      <c r="R93" s="49">
        <v>0.57255139056831927</v>
      </c>
      <c r="S93" s="49">
        <v>0.63414634146341464</v>
      </c>
      <c r="T93" s="49">
        <v>0.74892506142506143</v>
      </c>
      <c r="U93" s="49">
        <v>0.75821450712957228</v>
      </c>
      <c r="V93" s="49">
        <v>0.76739811912225708</v>
      </c>
      <c r="W93" s="49">
        <f t="shared" ref="W93:AE93" si="111">W92/W94</f>
        <v>0.72566371681415931</v>
      </c>
      <c r="X93" s="49">
        <f t="shared" si="111"/>
        <v>0.81708860759493673</v>
      </c>
      <c r="Y93" s="49">
        <f t="shared" si="111"/>
        <v>0.83556405353728491</v>
      </c>
      <c r="Z93" s="49">
        <f t="shared" si="111"/>
        <v>0.7637540453074434</v>
      </c>
      <c r="AA93" s="49">
        <f t="shared" si="111"/>
        <v>0.78772044415414766</v>
      </c>
      <c r="AB93" s="49">
        <f t="shared" si="111"/>
        <v>0.67928286852589637</v>
      </c>
      <c r="AC93" s="49">
        <f t="shared" si="111"/>
        <v>0.65278710543989249</v>
      </c>
      <c r="AD93" s="49">
        <f t="shared" si="111"/>
        <v>0.90463398253861649</v>
      </c>
      <c r="AE93" s="49">
        <f t="shared" si="111"/>
        <v>1.0775566231983529</v>
      </c>
      <c r="AF93" s="49">
        <f t="shared" ref="AF93:AM93" si="112">AF92/AF94</f>
        <v>0.75634866163349346</v>
      </c>
      <c r="AG93" s="49">
        <f t="shared" si="112"/>
        <v>0.84467353951890034</v>
      </c>
      <c r="AH93" s="49">
        <f>AH92/AH94</f>
        <v>0.50725639253628196</v>
      </c>
      <c r="AI93" s="49">
        <f t="shared" si="112"/>
        <v>1.1236187845303867</v>
      </c>
      <c r="AJ93" s="49">
        <f t="shared" si="112"/>
        <v>0.7983425414364641</v>
      </c>
      <c r="AK93" s="49">
        <f t="shared" si="112"/>
        <v>1.0688231245698554</v>
      </c>
      <c r="AL93" s="49">
        <f t="shared" si="112"/>
        <v>0.60962199312714782</v>
      </c>
      <c r="AM93" s="49">
        <f t="shared" si="112"/>
        <v>1.4238683127572016</v>
      </c>
      <c r="AN93" s="49">
        <f t="shared" ref="AN93:AX93" si="113">AN92/AN94</f>
        <v>1.0013793103448276</v>
      </c>
      <c r="AO93" s="49">
        <f t="shared" si="113"/>
        <v>0.63208852005532501</v>
      </c>
      <c r="AP93" s="49">
        <f t="shared" si="113"/>
        <v>0.67812061711079941</v>
      </c>
      <c r="AQ93" s="49">
        <f t="shared" si="113"/>
        <v>1.5349002849002849</v>
      </c>
      <c r="AR93" s="49">
        <f t="shared" si="113"/>
        <v>1.306662564102564</v>
      </c>
      <c r="AS93" s="49">
        <f t="shared" si="113"/>
        <v>0.51287711552612214</v>
      </c>
      <c r="AT93" s="49">
        <f t="shared" si="113"/>
        <v>0.12452543659832954</v>
      </c>
      <c r="AU93" s="49">
        <f t="shared" si="113"/>
        <v>0.80622568093385216</v>
      </c>
      <c r="AV93" s="49">
        <f t="shared" si="113"/>
        <v>-1.4991439688715955</v>
      </c>
      <c r="AW93" s="49">
        <f t="shared" si="113"/>
        <v>-1.5838132295719844</v>
      </c>
      <c r="AX93" s="49">
        <f t="shared" si="113"/>
        <v>-1.8932295719844359</v>
      </c>
      <c r="AY93" s="49"/>
      <c r="AZ93" s="49"/>
      <c r="BA93" s="49"/>
      <c r="BB93" s="49"/>
      <c r="BC93" s="49"/>
      <c r="BD93" s="49">
        <f>BD92/BD94</f>
        <v>-0.10443037974683544</v>
      </c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84"/>
      <c r="BX93" s="84"/>
      <c r="BY93" s="84"/>
      <c r="BZ93" s="84">
        <f t="shared" ref="BZ93:CD93" si="114">BZ92/BZ94</f>
        <v>0.21341463414634146</v>
      </c>
      <c r="CA93" s="84">
        <f t="shared" si="114"/>
        <v>0.57121096725057119</v>
      </c>
      <c r="CB93" s="84">
        <f t="shared" si="114"/>
        <v>0.57806549885757808</v>
      </c>
      <c r="CC93" s="84">
        <f t="shared" si="114"/>
        <v>0.49581111957349583</v>
      </c>
      <c r="CD93" s="84">
        <f t="shared" si="114"/>
        <v>1.0545868081880212</v>
      </c>
      <c r="CE93" s="84">
        <f t="shared" ref="CE93:CI93" si="115">CE92/CE94</f>
        <v>1.7748294162244125</v>
      </c>
      <c r="CF93" s="84">
        <f t="shared" si="115"/>
        <v>0.89150227617602429</v>
      </c>
      <c r="CG93" s="84">
        <f t="shared" si="115"/>
        <v>1.0775401069518717</v>
      </c>
      <c r="CH93" s="84">
        <f>CH92/CH94</f>
        <v>1.6729153199741436</v>
      </c>
      <c r="CI93" s="84">
        <f t="shared" si="115"/>
        <v>1.8814862267777066</v>
      </c>
      <c r="CJ93" s="84">
        <f>CJ92/CJ94</f>
        <v>1.7053171044202435</v>
      </c>
      <c r="CK93" s="84" t="e">
        <f>CK92/CK94</f>
        <v>#DIV/0!</v>
      </c>
      <c r="CL93" s="84"/>
      <c r="CM93" s="84"/>
      <c r="CN93" s="84">
        <f>+CN92/CN94</f>
        <v>1.1673076923076924</v>
      </c>
      <c r="CO93" s="84"/>
      <c r="CP93" s="84"/>
      <c r="CQ93" s="84"/>
      <c r="CR93" s="84">
        <f>+CR92/CR94</f>
        <v>1.9512820512820512</v>
      </c>
      <c r="CS93" s="84"/>
      <c r="CT93" s="84"/>
      <c r="CU93" s="84"/>
      <c r="CV93" s="84"/>
      <c r="CW93" s="84"/>
      <c r="CX93" s="84"/>
      <c r="CY93" s="84"/>
      <c r="CZ93" s="84"/>
      <c r="DA93" s="49"/>
      <c r="DB93" s="49"/>
      <c r="DC93" s="49"/>
      <c r="DF93" s="48">
        <v>1.7636044470450556</v>
      </c>
      <c r="DG93" s="48">
        <v>2.0227136879856547</v>
      </c>
      <c r="DH93" s="48">
        <v>2.9086840291403053</v>
      </c>
      <c r="DI93" s="48"/>
      <c r="DK93" s="49">
        <f>DK92/DK94</f>
        <v>5.5524689133425031</v>
      </c>
      <c r="DL93" s="49">
        <f>DL92/DL94</f>
        <v>3.5995864920744314</v>
      </c>
      <c r="DM93" s="49">
        <f>DM92/DM94</f>
        <v>3.7522491349480971</v>
      </c>
      <c r="DN93" s="49">
        <f t="shared" ref="DN93:DW93" si="116">DN92/DN94</f>
        <v>4.1623298614150261</v>
      </c>
      <c r="DO93" s="49">
        <f t="shared" si="116"/>
        <v>1.8973711420675889</v>
      </c>
      <c r="DP93" s="49">
        <f t="shared" si="116"/>
        <v>1.6443704426972106</v>
      </c>
      <c r="DQ93" s="49">
        <f t="shared" si="116"/>
        <v>1.6497692375874526</v>
      </c>
      <c r="DR93" s="49">
        <f t="shared" si="116"/>
        <v>1.5010167243754522</v>
      </c>
      <c r="DS93" s="49">
        <f t="shared" si="116"/>
        <v>1.432185112296352</v>
      </c>
      <c r="DT93" s="49">
        <f t="shared" si="116"/>
        <v>1.2685876540507965</v>
      </c>
      <c r="DU93" s="49">
        <f t="shared" si="116"/>
        <v>0.25191446453534044</v>
      </c>
      <c r="DV93" s="49">
        <f t="shared" si="116"/>
        <v>6.559084992363978</v>
      </c>
      <c r="DW93" s="49">
        <f t="shared" si="116"/>
        <v>7.342821107593192</v>
      </c>
      <c r="DX93" s="49">
        <f>DX92/DX94</f>
        <v>10.391717755159066</v>
      </c>
      <c r="DY93" s="49">
        <f>DY92/DY94</f>
        <v>12.560839077592318</v>
      </c>
      <c r="DZ93" s="49">
        <f>DZ92/DZ94</f>
        <v>13.408353033274398</v>
      </c>
      <c r="EA93" s="49">
        <f>EA92/EA94</f>
        <v>10.764442925718686</v>
      </c>
      <c r="EB93" s="49">
        <f>EB92/EB94</f>
        <v>10.709490866950651</v>
      </c>
    </row>
    <row r="94" spans="1:199">
      <c r="B94" s="106" t="s">
        <v>182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>
        <v>1582</v>
      </c>
      <c r="X94" s="38">
        <v>1580</v>
      </c>
      <c r="Y94" s="38">
        <v>1569</v>
      </c>
      <c r="Z94" s="38">
        <v>1545</v>
      </c>
      <c r="AA94" s="38">
        <v>1531</v>
      </c>
      <c r="AB94" s="38">
        <v>1506</v>
      </c>
      <c r="AC94" s="38">
        <v>1489</v>
      </c>
      <c r="AD94" s="38">
        <f>AC94</f>
        <v>1489</v>
      </c>
      <c r="AE94" s="38">
        <v>1457</v>
      </c>
      <c r="AF94" s="38">
        <v>1457</v>
      </c>
      <c r="AG94" s="38">
        <v>1455</v>
      </c>
      <c r="AH94" s="38">
        <v>1447</v>
      </c>
      <c r="AI94" s="38">
        <v>1448</v>
      </c>
      <c r="AJ94" s="38">
        <v>1448</v>
      </c>
      <c r="AK94" s="38">
        <v>1453</v>
      </c>
      <c r="AL94" s="38">
        <v>1455</v>
      </c>
      <c r="AM94" s="38">
        <v>1458</v>
      </c>
      <c r="AN94" s="38">
        <v>1450</v>
      </c>
      <c r="AO94" s="38">
        <v>1446</v>
      </c>
      <c r="AP94" s="38">
        <v>1426</v>
      </c>
      <c r="AQ94" s="38">
        <v>1404</v>
      </c>
      <c r="AR94" s="38">
        <f>AQ94</f>
        <v>1404</v>
      </c>
      <c r="AS94" s="38">
        <v>1359</v>
      </c>
      <c r="AT94" s="38">
        <v>1317</v>
      </c>
      <c r="AU94" s="38">
        <v>1285</v>
      </c>
      <c r="AV94" s="38">
        <f>+AU94</f>
        <v>1285</v>
      </c>
      <c r="AW94" s="38">
        <f>+AV94</f>
        <v>1285</v>
      </c>
      <c r="AX94" s="38">
        <f>+AW94</f>
        <v>1285</v>
      </c>
      <c r="AY94" s="38"/>
      <c r="AZ94" s="38"/>
      <c r="BA94" s="38"/>
      <c r="BB94" s="38"/>
      <c r="BC94" s="38"/>
      <c r="BD94" s="38">
        <v>1264</v>
      </c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82"/>
      <c r="BX94" s="82"/>
      <c r="BY94" s="82"/>
      <c r="BZ94" s="82">
        <v>1312</v>
      </c>
      <c r="CA94" s="82">
        <v>1313</v>
      </c>
      <c r="CB94" s="82">
        <v>1313</v>
      </c>
      <c r="CC94" s="82">
        <v>1313</v>
      </c>
      <c r="CD94" s="82">
        <v>1319</v>
      </c>
      <c r="CE94" s="82">
        <v>1319</v>
      </c>
      <c r="CF94" s="82">
        <v>1318</v>
      </c>
      <c r="CG94" s="82">
        <v>1496</v>
      </c>
      <c r="CH94" s="82">
        <v>1547</v>
      </c>
      <c r="CI94" s="82">
        <v>1561</v>
      </c>
      <c r="CJ94" s="82">
        <v>1561</v>
      </c>
      <c r="CK94" s="82"/>
      <c r="CL94" s="82"/>
      <c r="CM94" s="82"/>
      <c r="CN94" s="82">
        <v>1560</v>
      </c>
      <c r="CO94" s="82"/>
      <c r="CP94" s="82"/>
      <c r="CQ94" s="82"/>
      <c r="CR94" s="82">
        <v>1560</v>
      </c>
      <c r="CS94" s="82"/>
      <c r="CT94" s="82"/>
      <c r="CU94" s="82"/>
      <c r="CV94" s="82"/>
      <c r="CW94" s="82"/>
      <c r="CX94" s="82"/>
      <c r="CY94" s="82"/>
      <c r="CZ94" s="82"/>
      <c r="DA94" s="38"/>
      <c r="DB94" s="38"/>
      <c r="DC94" s="38"/>
      <c r="DF94" s="50"/>
      <c r="DG94" s="50"/>
      <c r="DK94" s="38">
        <f>AVERAGE(AE94:AH94)</f>
        <v>1454</v>
      </c>
      <c r="DL94" s="38">
        <f>AVERAGE(AI94:AL94)</f>
        <v>1451</v>
      </c>
      <c r="DM94" s="38">
        <f>AVERAGE(AM94:AP94)</f>
        <v>1445</v>
      </c>
      <c r="DN94" s="38">
        <f>AVERAGE(AQ94:AT94)</f>
        <v>1371</v>
      </c>
      <c r="DO94" s="38">
        <f>AVERAGE(AU94:AX94)</f>
        <v>1285</v>
      </c>
      <c r="DP94" s="38">
        <f>DO94</f>
        <v>1285</v>
      </c>
      <c r="DQ94" s="38">
        <f>DP94</f>
        <v>1285</v>
      </c>
      <c r="DR94" s="38">
        <f>DQ94</f>
        <v>1285</v>
      </c>
      <c r="DS94" s="38">
        <f t="shared" ref="DS94:EB94" si="117">+DR94</f>
        <v>1285</v>
      </c>
      <c r="DT94" s="38">
        <f t="shared" si="117"/>
        <v>1285</v>
      </c>
      <c r="DU94" s="38">
        <f t="shared" si="117"/>
        <v>1285</v>
      </c>
      <c r="DV94" s="38">
        <f t="shared" si="117"/>
        <v>1285</v>
      </c>
      <c r="DW94" s="38">
        <f t="shared" si="117"/>
        <v>1285</v>
      </c>
      <c r="DX94" s="38">
        <f t="shared" si="117"/>
        <v>1285</v>
      </c>
      <c r="DY94" s="38">
        <f t="shared" si="117"/>
        <v>1285</v>
      </c>
      <c r="DZ94" s="38">
        <f t="shared" si="117"/>
        <v>1285</v>
      </c>
      <c r="EA94" s="38">
        <f t="shared" si="117"/>
        <v>1285</v>
      </c>
      <c r="EB94" s="38">
        <f t="shared" si="117"/>
        <v>1285</v>
      </c>
    </row>
    <row r="95" spans="1:199" s="91" customFormat="1">
      <c r="A95" s="106"/>
      <c r="B95" s="35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8"/>
      <c r="DE95" s="88"/>
      <c r="DF95" s="89"/>
      <c r="DG95" s="89"/>
      <c r="DH95" s="88"/>
      <c r="DI95" s="88"/>
      <c r="DJ95" s="88"/>
      <c r="DK95" s="87"/>
      <c r="DL95" s="87"/>
      <c r="DM95" s="90">
        <v>6.35</v>
      </c>
      <c r="DN95" s="90">
        <v>6.16</v>
      </c>
      <c r="DO95" s="90">
        <v>4.95</v>
      </c>
      <c r="DP95" s="90">
        <v>4.5599999999999996</v>
      </c>
      <c r="DQ95" s="90">
        <v>4.28</v>
      </c>
      <c r="DR95" s="90">
        <v>3.96</v>
      </c>
      <c r="DS95" s="90">
        <v>3.61</v>
      </c>
      <c r="DT95" s="87"/>
      <c r="DU95" s="87"/>
      <c r="DV95" s="87"/>
      <c r="DW95" s="87"/>
    </row>
    <row r="96" spans="1:199" s="91" customFormat="1">
      <c r="A96" s="106"/>
      <c r="B96" s="10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88"/>
      <c r="DE96" s="88"/>
      <c r="DF96" s="92"/>
      <c r="DG96" s="92"/>
      <c r="DH96" s="89"/>
      <c r="DI96" s="92"/>
      <c r="DJ96" s="93"/>
      <c r="DK96" s="88"/>
      <c r="DL96" s="92"/>
      <c r="DM96" s="92"/>
      <c r="DN96" s="92"/>
      <c r="DO96" s="92"/>
      <c r="DP96" s="88"/>
      <c r="DQ96" s="88"/>
      <c r="DR96" s="88"/>
      <c r="DS96" s="88"/>
      <c r="DT96" s="88"/>
      <c r="DU96" s="88"/>
      <c r="DV96" s="88"/>
      <c r="DW96" s="88"/>
    </row>
    <row r="97" spans="1:145">
      <c r="B97" s="35" t="s">
        <v>555</v>
      </c>
      <c r="C97" s="52"/>
      <c r="D97" s="52"/>
      <c r="E97" s="52"/>
      <c r="F97" s="52"/>
      <c r="G97" s="52"/>
      <c r="H97" s="52"/>
      <c r="I97" s="52"/>
      <c r="J97" s="52"/>
      <c r="K97" s="52">
        <v>0.74994720168954598</v>
      </c>
      <c r="L97" s="52">
        <v>0.75811541929666371</v>
      </c>
      <c r="M97" s="52">
        <v>0.75494482615032277</v>
      </c>
      <c r="N97" s="52">
        <v>0.78892307692307695</v>
      </c>
      <c r="O97" s="52">
        <v>0.77177769018525821</v>
      </c>
      <c r="P97" s="52">
        <v>0.76342662632375191</v>
      </c>
      <c r="Q97" s="52">
        <v>0.75574548907882244</v>
      </c>
      <c r="R97" s="52">
        <f t="shared" ref="R97:AD97" si="118">R83/R81</f>
        <v>0.74167959993102262</v>
      </c>
      <c r="S97" s="52">
        <f t="shared" si="118"/>
        <v>0.75448371931046487</v>
      </c>
      <c r="T97" s="52">
        <f t="shared" si="118"/>
        <v>0.78588609401117049</v>
      </c>
      <c r="U97" s="52">
        <f t="shared" si="118"/>
        <v>0.78493694938676806</v>
      </c>
      <c r="V97" s="52">
        <f t="shared" si="118"/>
        <v>0.81335104616406506</v>
      </c>
      <c r="W97" s="52">
        <f t="shared" si="118"/>
        <v>0.77892596984584106</v>
      </c>
      <c r="X97" s="52">
        <f t="shared" si="118"/>
        <v>0.77061896469843283</v>
      </c>
      <c r="Y97" s="52">
        <f t="shared" si="118"/>
        <v>0.77692307692307694</v>
      </c>
      <c r="Z97" s="52">
        <f t="shared" si="118"/>
        <v>0.76253259924659522</v>
      </c>
      <c r="AA97" s="52">
        <f t="shared" si="118"/>
        <v>0.76603145795523286</v>
      </c>
      <c r="AB97" s="52">
        <f t="shared" si="118"/>
        <v>0.74792243767313016</v>
      </c>
      <c r="AC97" s="52">
        <f t="shared" si="118"/>
        <v>0.77828588287358014</v>
      </c>
      <c r="AD97" s="52">
        <f t="shared" si="118"/>
        <v>0.77117925099987883</v>
      </c>
      <c r="AE97" s="52">
        <f t="shared" ref="AE97:AN97" si="119">AE83/AE81</f>
        <v>0.7975206611570248</v>
      </c>
      <c r="AF97" s="52">
        <f t="shared" si="119"/>
        <v>0.79429954288787308</v>
      </c>
      <c r="AG97" s="52">
        <f t="shared" si="119"/>
        <v>0.77893868572999725</v>
      </c>
      <c r="AH97" s="52">
        <f t="shared" si="119"/>
        <v>0.7157181924729783</v>
      </c>
      <c r="AI97" s="52">
        <f t="shared" si="119"/>
        <v>0.79863623712774845</v>
      </c>
      <c r="AJ97" s="52">
        <f t="shared" si="119"/>
        <v>0.79289860942351831</v>
      </c>
      <c r="AK97" s="52">
        <f t="shared" si="119"/>
        <v>0.82508510081173081</v>
      </c>
      <c r="AL97" s="52">
        <f t="shared" si="119"/>
        <v>0.78789708902041311</v>
      </c>
      <c r="AM97" s="52">
        <f t="shared" si="119"/>
        <v>0.78006349206349201</v>
      </c>
      <c r="AN97" s="52">
        <f t="shared" si="119"/>
        <v>0.7950492414160234</v>
      </c>
      <c r="AO97" s="52">
        <f t="shared" ref="AO97:AX97" si="120">AO83/AO81</f>
        <v>0.7787269220170846</v>
      </c>
      <c r="AP97" s="52">
        <f t="shared" si="120"/>
        <v>0.776663280853225</v>
      </c>
      <c r="AQ97" s="52">
        <f t="shared" si="120"/>
        <v>0.81180371352785141</v>
      </c>
      <c r="AR97" s="52">
        <f t="shared" si="120"/>
        <v>0.83</v>
      </c>
      <c r="AS97" s="52">
        <f t="shared" si="120"/>
        <v>0.77393403057119869</v>
      </c>
      <c r="AT97" s="52">
        <f t="shared" si="120"/>
        <v>0.78290904439043107</v>
      </c>
      <c r="AU97" s="52">
        <f t="shared" si="120"/>
        <v>0.78101418653788113</v>
      </c>
      <c r="AV97" s="52" t="e">
        <f t="shared" si="120"/>
        <v>#DIV/0!</v>
      </c>
      <c r="AW97" s="52" t="e">
        <f t="shared" si="120"/>
        <v>#DIV/0!</v>
      </c>
      <c r="AX97" s="52" t="e">
        <f t="shared" si="120"/>
        <v>#DIV/0!</v>
      </c>
      <c r="AY97" s="52"/>
      <c r="AZ97" s="52"/>
      <c r="BA97" s="52"/>
      <c r="BB97" s="52"/>
      <c r="BC97" s="52"/>
      <c r="BD97" s="52">
        <f>BD83/BD81</f>
        <v>0.74954759319580166</v>
      </c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79"/>
      <c r="BX97" s="79"/>
      <c r="BY97" s="79"/>
      <c r="BZ97" s="79">
        <f t="shared" ref="BZ97:CA97" si="121">+BZ83/BZ81</f>
        <v>0.77951102444877751</v>
      </c>
      <c r="CA97" s="79">
        <f t="shared" si="121"/>
        <v>0.76282656594271325</v>
      </c>
      <c r="CB97" s="79">
        <f t="shared" ref="CB97" si="122">+CB83/CB81</f>
        <v>0.82661354581673308</v>
      </c>
      <c r="CC97" s="79">
        <f t="shared" ref="CC97:CE97" si="123">+CC83/CC81</f>
        <v>0.77667984189723316</v>
      </c>
      <c r="CD97" s="79">
        <f t="shared" ref="CD97" si="124">+CD83/CD81</f>
        <v>0.78299595141700407</v>
      </c>
      <c r="CE97" s="79">
        <f t="shared" si="123"/>
        <v>0.76215846994535519</v>
      </c>
      <c r="CF97" s="79">
        <f>+CF83/CF81</f>
        <v>0.72360097323600969</v>
      </c>
      <c r="CG97" s="79">
        <f t="shared" ref="CG97:CP97" si="125">+CG83/CG81</f>
        <v>0.73606324751672414</v>
      </c>
      <c r="CH97" s="79">
        <f t="shared" si="125"/>
        <v>0.74398468070934975</v>
      </c>
      <c r="CI97" s="79">
        <f t="shared" si="125"/>
        <v>0.78972783143107994</v>
      </c>
      <c r="CJ97" s="79">
        <f t="shared" si="125"/>
        <v>0.81895831399127283</v>
      </c>
      <c r="CK97" s="79">
        <f t="shared" si="125"/>
        <v>0</v>
      </c>
      <c r="CL97" s="79">
        <f t="shared" si="125"/>
        <v>0</v>
      </c>
      <c r="CM97" s="79">
        <f t="shared" si="125"/>
        <v>0</v>
      </c>
      <c r="CN97" s="79">
        <f t="shared" si="125"/>
        <v>0.81685206271349742</v>
      </c>
      <c r="CO97" s="79">
        <f t="shared" si="125"/>
        <v>0</v>
      </c>
      <c r="CP97" s="79">
        <f t="shared" si="125"/>
        <v>0</v>
      </c>
      <c r="CQ97" s="79">
        <f t="shared" ref="CQ97:CR97" si="126">+CQ83/CQ81</f>
        <v>0</v>
      </c>
      <c r="CR97" s="79">
        <f t="shared" si="126"/>
        <v>0.82106971711238208</v>
      </c>
      <c r="CS97" s="79"/>
      <c r="CT97" s="79"/>
      <c r="CU97" s="79"/>
      <c r="CV97" s="79"/>
      <c r="CW97" s="79"/>
      <c r="CX97" s="79"/>
      <c r="CY97" s="79"/>
      <c r="CZ97" s="79"/>
      <c r="DA97" s="52"/>
      <c r="DB97" s="52"/>
      <c r="DC97" s="52"/>
      <c r="DF97" s="52">
        <v>0.76322351318372328</v>
      </c>
      <c r="DG97" s="52">
        <v>0.75763091570988517</v>
      </c>
      <c r="DH97" s="52">
        <v>0.77636976649513056</v>
      </c>
      <c r="DI97" s="52">
        <f>DI83/DI81</f>
        <v>0.77190284677864518</v>
      </c>
      <c r="DJ97" s="52">
        <v>0.78300000000000003</v>
      </c>
      <c r="DK97" s="52">
        <f>+DJ97+0.1%</f>
        <v>0.78400000000000003</v>
      </c>
      <c r="DL97" s="52">
        <f>DL83/DL81</f>
        <v>0.800950508030154</v>
      </c>
      <c r="DM97" s="52">
        <f>DM83/DM81</f>
        <v>0.78268562815387643</v>
      </c>
      <c r="DN97" s="52">
        <f>+DM97-0.5%</f>
        <v>0.77768562815387643</v>
      </c>
      <c r="DO97" s="52">
        <f t="shared" ref="DO97:DU97" si="127">+DN97-0.5%</f>
        <v>0.77268562815387642</v>
      </c>
      <c r="DP97" s="52">
        <f t="shared" si="127"/>
        <v>0.76768562815387642</v>
      </c>
      <c r="DQ97" s="52">
        <f t="shared" si="127"/>
        <v>0.76268562815387642</v>
      </c>
      <c r="DR97" s="52">
        <f t="shared" si="127"/>
        <v>0.75768562815387641</v>
      </c>
      <c r="DS97" s="52">
        <f t="shared" si="127"/>
        <v>0.75268562815387641</v>
      </c>
      <c r="DT97" s="52">
        <f t="shared" si="127"/>
        <v>0.7476856281538764</v>
      </c>
      <c r="DU97" s="52">
        <f t="shared" si="127"/>
        <v>0.7426856281538764</v>
      </c>
      <c r="DV97" s="52">
        <v>0.8</v>
      </c>
      <c r="DW97" s="52">
        <v>0.8</v>
      </c>
      <c r="DX97" s="52">
        <v>0.8</v>
      </c>
      <c r="DY97" s="52">
        <v>0.8</v>
      </c>
      <c r="DZ97" s="52">
        <v>0.8</v>
      </c>
      <c r="EA97" s="52">
        <v>0.8</v>
      </c>
      <c r="EB97" s="52">
        <v>0.8</v>
      </c>
      <c r="EC97" s="52">
        <v>0.8</v>
      </c>
      <c r="ED97" s="52">
        <v>0.8</v>
      </c>
      <c r="EE97" s="52">
        <v>0.8</v>
      </c>
      <c r="EF97" s="52">
        <v>0.8</v>
      </c>
      <c r="EG97" s="52">
        <v>0.8</v>
      </c>
      <c r="EH97" s="52">
        <v>0.8</v>
      </c>
      <c r="EI97" s="52">
        <v>0.8</v>
      </c>
      <c r="EJ97" s="52">
        <v>0.8</v>
      </c>
      <c r="EK97" s="52">
        <v>0.8</v>
      </c>
      <c r="EL97" s="52">
        <v>0.8</v>
      </c>
      <c r="EN97" s="49" t="s">
        <v>262</v>
      </c>
      <c r="EO97" s="36">
        <v>-0.05</v>
      </c>
    </row>
    <row r="98" spans="1:145">
      <c r="B98" s="35" t="s">
        <v>556</v>
      </c>
      <c r="C98" s="52"/>
      <c r="D98" s="52"/>
      <c r="E98" s="52"/>
      <c r="F98" s="52"/>
      <c r="G98" s="52"/>
      <c r="H98" s="52"/>
      <c r="I98" s="52"/>
      <c r="J98" s="52"/>
      <c r="K98" s="52">
        <v>0.1495248152059134</v>
      </c>
      <c r="L98" s="52">
        <v>0.15779981965734896</v>
      </c>
      <c r="M98" s="52">
        <v>0.15094732458879867</v>
      </c>
      <c r="N98" s="52">
        <v>0.18030769230769231</v>
      </c>
      <c r="O98" s="52">
        <v>0.16890027591643675</v>
      </c>
      <c r="P98" s="52">
        <v>0.16792738275340394</v>
      </c>
      <c r="Q98" s="52">
        <v>0.15631528964862298</v>
      </c>
      <c r="R98" s="52">
        <v>0.15502672874633558</v>
      </c>
      <c r="S98" s="52"/>
      <c r="T98" s="52"/>
      <c r="U98" s="52"/>
      <c r="V98" s="52"/>
      <c r="W98" s="52">
        <f t="shared" ref="W98:AD98" si="128">W84/W81</f>
        <v>0.14585803828561747</v>
      </c>
      <c r="X98" s="52">
        <f t="shared" si="128"/>
        <v>0.15117935728985277</v>
      </c>
      <c r="Y98" s="52">
        <f t="shared" si="128"/>
        <v>0.15416666666666667</v>
      </c>
      <c r="Z98" s="52">
        <f t="shared" si="128"/>
        <v>0.16285134743552593</v>
      </c>
      <c r="AA98" s="52">
        <f t="shared" si="128"/>
        <v>0.17695099818511797</v>
      </c>
      <c r="AB98" s="52">
        <f t="shared" si="128"/>
        <v>0.1785974631870535</v>
      </c>
      <c r="AC98" s="52">
        <f t="shared" si="128"/>
        <v>0.19693170084083197</v>
      </c>
      <c r="AD98" s="52">
        <f t="shared" si="128"/>
        <v>0.17355472063992244</v>
      </c>
      <c r="AE98" s="52">
        <f t="shared" ref="AE98:AM98" si="129">AE84/AE81</f>
        <v>0.15960743801652894</v>
      </c>
      <c r="AF98" s="52">
        <f t="shared" si="129"/>
        <v>0.174374831944071</v>
      </c>
      <c r="AG98" s="52">
        <f t="shared" si="129"/>
        <v>0.17748144074786912</v>
      </c>
      <c r="AH98" s="52">
        <f t="shared" si="129"/>
        <v>0.17645526761297045</v>
      </c>
      <c r="AI98" s="52">
        <f t="shared" si="129"/>
        <v>0.13637628722516004</v>
      </c>
      <c r="AJ98" s="52">
        <f t="shared" si="129"/>
        <v>0.14297286350749291</v>
      </c>
      <c r="AK98" s="52">
        <f t="shared" si="129"/>
        <v>0.13825608798114689</v>
      </c>
      <c r="AL98" s="52">
        <f t="shared" si="129"/>
        <v>0.15871482063051093</v>
      </c>
      <c r="AM98" s="52">
        <f t="shared" si="129"/>
        <v>0.12584126984126984</v>
      </c>
      <c r="AN98" s="52">
        <f t="shared" ref="AN98:AS98" si="130">AN84/AN81</f>
        <v>0.17567207878626565</v>
      </c>
      <c r="AO98" s="52">
        <f t="shared" si="130"/>
        <v>0.14838798567098374</v>
      </c>
      <c r="AP98" s="52">
        <f t="shared" si="130"/>
        <v>0.24504824784154394</v>
      </c>
      <c r="AQ98" s="52">
        <f t="shared" si="130"/>
        <v>0.15411140583554378</v>
      </c>
      <c r="AR98" s="52">
        <f t="shared" si="130"/>
        <v>0.16407423723835665</v>
      </c>
      <c r="AS98" s="52">
        <f t="shared" si="130"/>
        <v>0.17377312952534191</v>
      </c>
      <c r="AT98" s="52">
        <f>AT84/AT81</f>
        <v>0.23883842906485864</v>
      </c>
      <c r="AU98" s="52">
        <f>AU84/AU81</f>
        <v>0.2309085421068518</v>
      </c>
      <c r="AV98" s="52" t="e">
        <f>AV84/AV81</f>
        <v>#DIV/0!</v>
      </c>
      <c r="AW98" s="52" t="e">
        <f>AW84/AW81</f>
        <v>#DIV/0!</v>
      </c>
      <c r="AX98" s="52" t="e">
        <f>AX84/AX81</f>
        <v>#DIV/0!</v>
      </c>
      <c r="AY98" s="52"/>
      <c r="AZ98" s="52"/>
      <c r="BA98" s="52"/>
      <c r="BB98" s="52"/>
      <c r="BC98" s="52"/>
      <c r="BD98" s="52">
        <f>BD84/BD81</f>
        <v>0.24031849439015562</v>
      </c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79"/>
      <c r="BX98" s="79"/>
      <c r="BY98" s="79"/>
      <c r="BZ98" s="79">
        <f t="shared" ref="BZ98:CA98" si="131">+BZ84/BZ81</f>
        <v>0.31363431828408578</v>
      </c>
      <c r="CA98" s="79">
        <f t="shared" si="131"/>
        <v>0.2184450739691533</v>
      </c>
      <c r="CB98" s="79">
        <f t="shared" ref="CB98" si="132">+CB84/CB81</f>
        <v>0.22135458167330677</v>
      </c>
      <c r="CC98" s="79">
        <f t="shared" ref="CC98:CE98" si="133">+CC84/CC81</f>
        <v>0.22727272727272727</v>
      </c>
      <c r="CD98" s="79">
        <f t="shared" ref="CD98" si="134">+CD84/CD81</f>
        <v>0.23036437246963562</v>
      </c>
      <c r="CE98" s="79">
        <f t="shared" si="133"/>
        <v>0.22377049180327868</v>
      </c>
      <c r="CF98" s="79">
        <f>+CF84/CF81</f>
        <v>0.21909975669099757</v>
      </c>
      <c r="CG98" s="79">
        <f t="shared" ref="CG98:CJ98" si="135">+CG84/CG81</f>
        <v>0.21812284613825259</v>
      </c>
      <c r="CH98" s="79">
        <f t="shared" si="135"/>
        <v>0.19948380651069852</v>
      </c>
      <c r="CI98" s="79">
        <f t="shared" si="135"/>
        <v>0.19192273924495171</v>
      </c>
      <c r="CJ98" s="79">
        <f t="shared" si="135"/>
        <v>0.22569863522421316</v>
      </c>
      <c r="CK98" s="79">
        <f t="shared" ref="CK98:CP98" si="136">+CK84/CK81</f>
        <v>0</v>
      </c>
      <c r="CL98" s="79">
        <f t="shared" si="136"/>
        <v>0</v>
      </c>
      <c r="CM98" s="79">
        <f t="shared" si="136"/>
        <v>0</v>
      </c>
      <c r="CN98" s="79">
        <f t="shared" si="136"/>
        <v>0.23359901900674432</v>
      </c>
      <c r="CO98" s="79">
        <f t="shared" si="136"/>
        <v>0</v>
      </c>
      <c r="CP98" s="79">
        <f t="shared" si="136"/>
        <v>0</v>
      </c>
      <c r="CQ98" s="79">
        <f t="shared" ref="CQ98:CR98" si="137">+CQ84/CQ81</f>
        <v>0</v>
      </c>
      <c r="CR98" s="79">
        <f t="shared" si="137"/>
        <v>0.22198175915906632</v>
      </c>
      <c r="CS98" s="79"/>
      <c r="CT98" s="79"/>
      <c r="CU98" s="79"/>
      <c r="CV98" s="79"/>
      <c r="CW98" s="79"/>
      <c r="CX98" s="79"/>
      <c r="CY98" s="79"/>
      <c r="CZ98" s="79"/>
      <c r="DA98" s="52"/>
      <c r="DB98" s="52"/>
      <c r="DC98" s="52"/>
      <c r="DF98" s="52">
        <v>0.15979627566449148</v>
      </c>
      <c r="DG98" s="52">
        <v>0.16181275086343694</v>
      </c>
      <c r="DH98" s="52">
        <v>0.14108412229517436</v>
      </c>
      <c r="DI98" s="52">
        <f>DI84/DI81</f>
        <v>0.15385221985647821</v>
      </c>
      <c r="DL98" s="52"/>
      <c r="DM98" s="52">
        <f>DM84/DM81</f>
        <v>0.1742578150599646</v>
      </c>
      <c r="DN98" s="52">
        <f t="shared" ref="DN98:DW98" si="138">DN84/DN81</f>
        <v>0.18352913788466868</v>
      </c>
      <c r="DO98" s="52">
        <f t="shared" si="138"/>
        <v>0</v>
      </c>
      <c r="DP98" s="52">
        <f t="shared" si="138"/>
        <v>0</v>
      </c>
      <c r="DQ98" s="52">
        <f t="shared" si="138"/>
        <v>0</v>
      </c>
      <c r="DR98" s="52">
        <f t="shared" si="138"/>
        <v>0</v>
      </c>
      <c r="DS98" s="52">
        <f t="shared" si="138"/>
        <v>0</v>
      </c>
      <c r="DT98" s="52">
        <f t="shared" si="138"/>
        <v>0</v>
      </c>
      <c r="DU98" s="52" t="e">
        <f t="shared" si="138"/>
        <v>#DIV/0!</v>
      </c>
      <c r="DV98" s="52">
        <f t="shared" si="138"/>
        <v>0</v>
      </c>
      <c r="DW98" s="52">
        <f t="shared" si="138"/>
        <v>0</v>
      </c>
      <c r="DX98" s="52">
        <f>DX84/DX81</f>
        <v>0</v>
      </c>
      <c r="DY98" s="52">
        <f>DY84/DY81</f>
        <v>0</v>
      </c>
      <c r="DZ98" s="52">
        <f>DZ84/DZ81</f>
        <v>0</v>
      </c>
      <c r="EA98" s="52">
        <f>EA84/EA81</f>
        <v>0</v>
      </c>
      <c r="EB98" s="52">
        <f>EB84/EB81</f>
        <v>0</v>
      </c>
      <c r="EC98" s="52">
        <f t="shared" ref="EC98:EL98" si="139">EC84/EC81</f>
        <v>0</v>
      </c>
      <c r="ED98" s="52">
        <f t="shared" si="139"/>
        <v>0</v>
      </c>
      <c r="EE98" s="52">
        <f t="shared" si="139"/>
        <v>0</v>
      </c>
      <c r="EF98" s="52">
        <f t="shared" si="139"/>
        <v>0</v>
      </c>
      <c r="EG98" s="52">
        <f t="shared" si="139"/>
        <v>0</v>
      </c>
      <c r="EH98" s="52">
        <f t="shared" si="139"/>
        <v>0</v>
      </c>
      <c r="EI98" s="52">
        <f t="shared" si="139"/>
        <v>0</v>
      </c>
      <c r="EJ98" s="52">
        <f t="shared" si="139"/>
        <v>0</v>
      </c>
      <c r="EK98" s="52">
        <f t="shared" si="139"/>
        <v>0</v>
      </c>
      <c r="EL98" s="52">
        <f t="shared" si="139"/>
        <v>0</v>
      </c>
      <c r="EN98" s="45" t="s">
        <v>261</v>
      </c>
      <c r="EO98" s="37">
        <v>0.09</v>
      </c>
    </row>
    <row r="99" spans="1:145">
      <c r="B99" s="35" t="s">
        <v>557</v>
      </c>
      <c r="C99" s="52"/>
      <c r="D99" s="52"/>
      <c r="E99" s="52"/>
      <c r="F99" s="52"/>
      <c r="G99" s="52"/>
      <c r="H99" s="52"/>
      <c r="I99" s="52"/>
      <c r="J99" s="52"/>
      <c r="K99" s="52">
        <v>0.35417106652587116</v>
      </c>
      <c r="L99" s="52">
        <v>0.41050495942290349</v>
      </c>
      <c r="M99" s="52">
        <v>0.39516968561315846</v>
      </c>
      <c r="N99" s="52">
        <v>0.4428717948717949</v>
      </c>
      <c r="O99" s="52">
        <v>0.40303508080409933</v>
      </c>
      <c r="P99" s="52">
        <v>0.4171709531013616</v>
      </c>
      <c r="Q99" s="52">
        <v>0.38195631528964863</v>
      </c>
      <c r="R99" s="52">
        <v>0.3764442145197448</v>
      </c>
      <c r="S99" s="52"/>
      <c r="T99" s="52"/>
      <c r="U99" s="52"/>
      <c r="V99" s="52"/>
      <c r="W99" s="52">
        <f t="shared" ref="W99:AD99" si="140">W85/W81</f>
        <v>0.3582923936981196</v>
      </c>
      <c r="X99" s="52">
        <f t="shared" si="140"/>
        <v>0.36251385151179355</v>
      </c>
      <c r="Y99" s="52">
        <f t="shared" si="140"/>
        <v>0.34935897435897434</v>
      </c>
      <c r="Z99" s="52">
        <f t="shared" si="140"/>
        <v>0.36380759200231816</v>
      </c>
      <c r="AA99" s="52">
        <f t="shared" si="140"/>
        <v>0.3352994555353902</v>
      </c>
      <c r="AB99" s="52">
        <f t="shared" si="140"/>
        <v>0.37979297273655049</v>
      </c>
      <c r="AC99" s="52">
        <f t="shared" si="140"/>
        <v>0.36686826965629149</v>
      </c>
      <c r="AD99" s="52">
        <f t="shared" si="140"/>
        <v>0.37025815052720884</v>
      </c>
      <c r="AE99" s="52">
        <f t="shared" ref="AE99:AM99" si="141">AE85/AE81</f>
        <v>0.35343491735537191</v>
      </c>
      <c r="AF99" s="52">
        <f t="shared" si="141"/>
        <v>0.38101640225867167</v>
      </c>
      <c r="AG99" s="52">
        <f t="shared" si="141"/>
        <v>0.34176519109155895</v>
      </c>
      <c r="AH99" s="52">
        <f t="shared" si="141"/>
        <v>0.37192342752962626</v>
      </c>
      <c r="AI99" s="52">
        <f t="shared" si="141"/>
        <v>0.33064291678263291</v>
      </c>
      <c r="AJ99" s="52">
        <f t="shared" si="141"/>
        <v>0.38180099905494802</v>
      </c>
      <c r="AK99" s="52">
        <f t="shared" si="141"/>
        <v>0.34865147944488084</v>
      </c>
      <c r="AL99" s="52">
        <f t="shared" si="141"/>
        <v>0.41852880782703222</v>
      </c>
      <c r="AM99" s="52">
        <f t="shared" si="141"/>
        <v>0.31263492063492065</v>
      </c>
      <c r="AN99" s="52">
        <f t="shared" ref="AN99:AS99" si="142">AN85/AN81</f>
        <v>0.32605802501996273</v>
      </c>
      <c r="AO99" s="52">
        <f t="shared" si="142"/>
        <v>0.41485257646734636</v>
      </c>
      <c r="AP99" s="52">
        <f t="shared" si="142"/>
        <v>0.32021330624682581</v>
      </c>
      <c r="AQ99" s="52">
        <f t="shared" si="142"/>
        <v>0.33262599469496024</v>
      </c>
      <c r="AR99" s="52">
        <f t="shared" si="142"/>
        <v>0.35412924870378532</v>
      </c>
      <c r="AS99" s="52">
        <f t="shared" si="142"/>
        <v>0.35451863770447839</v>
      </c>
      <c r="AT99" s="52">
        <f>AT85/AT81</f>
        <v>0.40181655366508889</v>
      </c>
      <c r="AU99" s="52">
        <f>AU85/AU81</f>
        <v>0.37141563537579231</v>
      </c>
      <c r="AV99" s="52" t="e">
        <f>AV85/AV81</f>
        <v>#DIV/0!</v>
      </c>
      <c r="AW99" s="52" t="e">
        <f>AW85/AW81</f>
        <v>#DIV/0!</v>
      </c>
      <c r="AX99" s="52" t="e">
        <f>AX85/AX81</f>
        <v>#DIV/0!</v>
      </c>
      <c r="AY99" s="52"/>
      <c r="AZ99" s="52"/>
      <c r="BA99" s="52"/>
      <c r="BB99" s="52"/>
      <c r="BC99" s="52"/>
      <c r="BD99" s="52">
        <f>BD85/BD81</f>
        <v>0.55338400289540357</v>
      </c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79"/>
      <c r="BX99" s="79"/>
      <c r="BY99" s="79"/>
      <c r="BZ99" s="79">
        <f t="shared" ref="BZ99:CA99" si="143">+BZ85/BZ81</f>
        <v>0.45387730613469329</v>
      </c>
      <c r="CA99" s="79">
        <f t="shared" si="143"/>
        <v>0.42791942083726786</v>
      </c>
      <c r="CB99" s="79">
        <f t="shared" ref="CB99" si="144">+CB85/CB81</f>
        <v>0.41992031872509961</v>
      </c>
      <c r="CC99" s="79">
        <f t="shared" ref="CC99:CE99" si="145">+CC85/CC81</f>
        <v>0.41501976284584979</v>
      </c>
      <c r="CD99" s="79">
        <f t="shared" ref="CD99" si="146">+CD85/CD81</f>
        <v>0.38299595141700404</v>
      </c>
      <c r="CE99" s="79">
        <f t="shared" si="145"/>
        <v>0.32773224043715848</v>
      </c>
      <c r="CF99" s="79">
        <f>+CF85/CF81</f>
        <v>0.30060827250608274</v>
      </c>
      <c r="CG99" s="79">
        <f t="shared" ref="CG99:CJ99" si="147">+CG85/CG81</f>
        <v>0.29049260085140888</v>
      </c>
      <c r="CH99" s="79">
        <f t="shared" si="147"/>
        <v>0.28040962451086504</v>
      </c>
      <c r="CI99" s="79">
        <f t="shared" si="147"/>
        <v>0.25864793678665499</v>
      </c>
      <c r="CJ99" s="79">
        <f t="shared" si="147"/>
        <v>0.29124500974839845</v>
      </c>
      <c r="CK99" s="79">
        <f t="shared" ref="CK99:CP99" si="148">+CK85/CK81</f>
        <v>0</v>
      </c>
      <c r="CL99" s="79">
        <f t="shared" si="148"/>
        <v>0</v>
      </c>
      <c r="CM99" s="79">
        <f t="shared" si="148"/>
        <v>0</v>
      </c>
      <c r="CN99" s="79">
        <f t="shared" si="148"/>
        <v>0.4367171761408426</v>
      </c>
      <c r="CO99" s="79">
        <f t="shared" si="148"/>
        <v>0</v>
      </c>
      <c r="CP99" s="79">
        <f t="shared" si="148"/>
        <v>0</v>
      </c>
      <c r="CQ99" s="79">
        <f t="shared" ref="CQ99:CR99" si="149">+CQ85/CQ81</f>
        <v>0</v>
      </c>
      <c r="CR99" s="79">
        <f t="shared" si="149"/>
        <v>0.28868449528520634</v>
      </c>
      <c r="CS99" s="79"/>
      <c r="CT99" s="79"/>
      <c r="CU99" s="79"/>
      <c r="CV99" s="79"/>
      <c r="CW99" s="79"/>
      <c r="CX99" s="79"/>
      <c r="CY99" s="79"/>
      <c r="CZ99" s="79"/>
      <c r="DA99" s="52"/>
      <c r="DB99" s="52"/>
      <c r="DC99" s="52"/>
      <c r="DF99" s="52">
        <v>0.40081701947052895</v>
      </c>
      <c r="DG99" s="52">
        <v>0.3941472976757211</v>
      </c>
      <c r="DH99" s="52">
        <v>0.37185415601089761</v>
      </c>
      <c r="DI99" s="52">
        <f>DI85/DI81</f>
        <v>0.35864679441684411</v>
      </c>
      <c r="DJ99" s="52">
        <f>DJ85/DJ81</f>
        <v>0.32450143053936636</v>
      </c>
      <c r="DK99" s="52">
        <f>DK85/DK81</f>
        <v>0.31059883510745134</v>
      </c>
      <c r="DL99" s="52">
        <f>DL85/DL81</f>
        <v>0.3714192068174369</v>
      </c>
      <c r="DM99" s="52">
        <f>DM85/DM81</f>
        <v>0.34225702863883611</v>
      </c>
      <c r="DN99" s="52">
        <v>0.31</v>
      </c>
      <c r="DO99" s="52">
        <v>0.31</v>
      </c>
      <c r="DP99" s="52">
        <v>0.31</v>
      </c>
      <c r="DQ99" s="52">
        <v>0.31</v>
      </c>
      <c r="DR99" s="52">
        <v>0.32</v>
      </c>
      <c r="DS99" s="52">
        <v>0.32</v>
      </c>
      <c r="DT99" s="52">
        <v>0.33</v>
      </c>
      <c r="DU99" s="52">
        <v>0.34</v>
      </c>
      <c r="DV99" s="52">
        <v>0.35</v>
      </c>
      <c r="DW99" s="52">
        <v>0.36</v>
      </c>
      <c r="DX99" s="52">
        <v>0.36</v>
      </c>
      <c r="DY99" s="52">
        <v>0.36</v>
      </c>
      <c r="DZ99" s="52">
        <v>0.36</v>
      </c>
      <c r="EA99" s="52">
        <v>0.36</v>
      </c>
      <c r="EB99" s="52">
        <v>0.36</v>
      </c>
      <c r="EC99" s="52">
        <v>0.36</v>
      </c>
      <c r="ED99" s="52">
        <v>0.36</v>
      </c>
      <c r="EE99" s="52">
        <v>0.36</v>
      </c>
      <c r="EF99" s="52">
        <v>0.36</v>
      </c>
      <c r="EG99" s="52">
        <v>0.36</v>
      </c>
      <c r="EH99" s="52">
        <v>0.36</v>
      </c>
      <c r="EI99" s="52">
        <v>0.36</v>
      </c>
      <c r="EJ99" s="52">
        <v>0.36</v>
      </c>
      <c r="EK99" s="52">
        <v>0.36</v>
      </c>
      <c r="EL99" s="52">
        <v>0.36</v>
      </c>
      <c r="EN99" s="43" t="s">
        <v>263</v>
      </c>
      <c r="EO99" s="38">
        <f>NPV($EO$98,DO92:GT92)+Main!K5-Main!K6+DN92</f>
        <v>47831.871055111711</v>
      </c>
    </row>
    <row r="100" spans="1:145">
      <c r="B100" s="35" t="s">
        <v>558</v>
      </c>
      <c r="C100" s="52"/>
      <c r="D100" s="52"/>
      <c r="E100" s="52"/>
      <c r="F100" s="52"/>
      <c r="G100" s="52"/>
      <c r="H100" s="52"/>
      <c r="I100" s="52"/>
      <c r="J100" s="52"/>
      <c r="K100" s="52">
        <v>0.25005279831045407</v>
      </c>
      <c r="L100" s="52">
        <v>0.19882777276825969</v>
      </c>
      <c r="M100" s="52">
        <v>0.22340204039142203</v>
      </c>
      <c r="N100" s="52">
        <v>0.17805128205128204</v>
      </c>
      <c r="O100" s="52">
        <v>0.20733149389042177</v>
      </c>
      <c r="P100" s="52">
        <v>0.1989409984871407</v>
      </c>
      <c r="Q100" s="52">
        <v>0.22260208926875594</v>
      </c>
      <c r="R100" s="52">
        <v>0.21917571995171581</v>
      </c>
      <c r="S100" s="52">
        <f t="shared" ref="S100:AD100" si="150">S87/S81</f>
        <v>0.2530036566254571</v>
      </c>
      <c r="T100" s="52">
        <f t="shared" si="150"/>
        <v>0.28019894818378244</v>
      </c>
      <c r="U100" s="52">
        <f t="shared" si="150"/>
        <v>0.29279668336500259</v>
      </c>
      <c r="V100" s="52">
        <f t="shared" si="150"/>
        <v>0.27167054134838925</v>
      </c>
      <c r="W100" s="52">
        <f t="shared" si="150"/>
        <v>0.28781975266813487</v>
      </c>
      <c r="X100" s="52">
        <f t="shared" si="150"/>
        <v>0.28858635428209595</v>
      </c>
      <c r="Y100" s="52">
        <f t="shared" si="150"/>
        <v>0.29326923076923078</v>
      </c>
      <c r="Z100" s="52">
        <f t="shared" si="150"/>
        <v>0.2536945812807882</v>
      </c>
      <c r="AA100" s="52">
        <f t="shared" si="150"/>
        <v>0.27465214761040535</v>
      </c>
      <c r="AB100" s="52">
        <f t="shared" si="150"/>
        <v>0.22729260825193176</v>
      </c>
      <c r="AC100" s="52">
        <f t="shared" si="150"/>
        <v>0.2435462457589615</v>
      </c>
      <c r="AD100" s="52">
        <f t="shared" si="150"/>
        <v>0.24360683553508666</v>
      </c>
      <c r="AE100" s="52">
        <f t="shared" ref="AE100:AM100" si="151">AE87/AE81</f>
        <v>0.30010330578512395</v>
      </c>
      <c r="AF100" s="52">
        <f t="shared" si="151"/>
        <v>0.26283947297660659</v>
      </c>
      <c r="AG100" s="52">
        <f t="shared" si="151"/>
        <v>0.27783887819631564</v>
      </c>
      <c r="AH100" s="52">
        <f t="shared" si="151"/>
        <v>0.17945044927724965</v>
      </c>
      <c r="AI100" s="52">
        <f t="shared" si="151"/>
        <v>0.36849429446145282</v>
      </c>
      <c r="AJ100" s="52">
        <f t="shared" si="151"/>
        <v>0.31051707843931414</v>
      </c>
      <c r="AK100" s="52">
        <f t="shared" si="151"/>
        <v>0.34590206860434669</v>
      </c>
      <c r="AL100" s="52">
        <f t="shared" si="151"/>
        <v>0.20038652011112454</v>
      </c>
      <c r="AM100" s="52">
        <f t="shared" si="151"/>
        <v>0.37358730158730158</v>
      </c>
      <c r="AN100" s="52">
        <f t="shared" ref="AN100:AS100" si="152">AN87/AN81</f>
        <v>0.31541123236624968</v>
      </c>
      <c r="AO100" s="52">
        <f t="shared" si="152"/>
        <v>0.24331771837971894</v>
      </c>
      <c r="AP100" s="52">
        <f t="shared" si="152"/>
        <v>0.22308278313864907</v>
      </c>
      <c r="AQ100" s="52">
        <f t="shared" si="152"/>
        <v>0.3513262599469496</v>
      </c>
      <c r="AR100" s="52">
        <f t="shared" si="152"/>
        <v>0.33975408632394632</v>
      </c>
      <c r="AS100" s="52">
        <f t="shared" si="152"/>
        <v>0.2456422633413784</v>
      </c>
      <c r="AT100" s="52">
        <f>AT87/AT81</f>
        <v>0.16988614558014584</v>
      </c>
      <c r="AU100" s="52">
        <f>AU87/AU81</f>
        <v>0.21687292484153337</v>
      </c>
      <c r="AV100" s="52" t="e">
        <f>AV87/AV81</f>
        <v>#DIV/0!</v>
      </c>
      <c r="AW100" s="52" t="e">
        <f>AW87/AW81</f>
        <v>#DIV/0!</v>
      </c>
      <c r="AX100" s="52" t="e">
        <f>AX87/AX81</f>
        <v>#DIV/0!</v>
      </c>
      <c r="AY100" s="52"/>
      <c r="AZ100" s="52"/>
      <c r="BA100" s="52"/>
      <c r="BB100" s="52"/>
      <c r="BC100" s="52"/>
      <c r="BD100" s="52">
        <f>BD87/BD81</f>
        <v>3.2754252623959465E-2</v>
      </c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79"/>
      <c r="BX100" s="79"/>
      <c r="BY100" s="79"/>
      <c r="BZ100" s="79">
        <f t="shared" ref="BZ100:CA100" si="153">+BZ87/BZ81</f>
        <v>8.6995650217489132E-2</v>
      </c>
      <c r="CA100" s="79">
        <f t="shared" si="153"/>
        <v>0.19200503619767076</v>
      </c>
      <c r="CB100" s="79">
        <f t="shared" ref="CB100" si="154">+CB87/CB81</f>
        <v>0.20462151394422312</v>
      </c>
      <c r="CC100" s="79">
        <f t="shared" ref="CC100:CE100" si="155">+CC87/CC81</f>
        <v>0.17801763453937366</v>
      </c>
      <c r="CD100" s="79">
        <f t="shared" ref="CD100" si="156">+CD87/CD81</f>
        <v>0.25627530364372469</v>
      </c>
      <c r="CE100" s="79">
        <f t="shared" si="155"/>
        <v>0.37185792349726776</v>
      </c>
      <c r="CF100" s="79">
        <f>+CF87/CF81</f>
        <v>0.21958637469586376</v>
      </c>
      <c r="CG100" s="79">
        <f t="shared" ref="CG100:CJ100" si="157">+CG87/CG81</f>
        <v>0.23119805392256235</v>
      </c>
      <c r="CH100" s="79">
        <f t="shared" si="157"/>
        <v>0.26409124968778619</v>
      </c>
      <c r="CI100" s="79">
        <f t="shared" si="157"/>
        <v>0.34776119402985073</v>
      </c>
      <c r="CJ100" s="79">
        <f t="shared" si="157"/>
        <v>0.31241296072788044</v>
      </c>
      <c r="CK100" s="79">
        <f t="shared" ref="CK100:CP100" si="158">+CK87/CK81</f>
        <v>0</v>
      </c>
      <c r="CL100" s="79">
        <f t="shared" si="158"/>
        <v>0</v>
      </c>
      <c r="CM100" s="79">
        <f t="shared" si="158"/>
        <v>0</v>
      </c>
      <c r="CN100" s="79">
        <f t="shared" si="158"/>
        <v>0.21520539546290618</v>
      </c>
      <c r="CO100" s="79">
        <f t="shared" si="158"/>
        <v>0</v>
      </c>
      <c r="CP100" s="79">
        <f t="shared" si="158"/>
        <v>0</v>
      </c>
      <c r="CQ100" s="79">
        <f t="shared" ref="CQ100:CR100" si="159">+CQ87/CQ81</f>
        <v>0</v>
      </c>
      <c r="CR100" s="79">
        <f t="shared" si="159"/>
        <v>0.31504096460040193</v>
      </c>
      <c r="CS100" s="79"/>
      <c r="CT100" s="79"/>
      <c r="CU100" s="79"/>
      <c r="CV100" s="79"/>
      <c r="CW100" s="79"/>
      <c r="CX100" s="79"/>
      <c r="CY100" s="79"/>
      <c r="CZ100" s="79"/>
      <c r="DA100" s="52"/>
      <c r="DB100" s="52"/>
      <c r="DC100" s="52"/>
      <c r="DF100" s="52">
        <v>0.21258422197464055</v>
      </c>
      <c r="DG100" s="52">
        <v>0.21221879958928405</v>
      </c>
      <c r="DH100" s="52">
        <v>0.27148985918727364</v>
      </c>
      <c r="DI100" s="52">
        <f>DI87/DI81</f>
        <v>0.28006466367005756</v>
      </c>
      <c r="DL100" s="52"/>
      <c r="DM100" s="52">
        <f>DM87/DM81</f>
        <v>0.28950127793433383</v>
      </c>
      <c r="DN100" s="52">
        <f t="shared" ref="DN100:DW100" si="160">DN87/DN81</f>
        <v>0.27478171170773419</v>
      </c>
      <c r="DO100" s="52">
        <f t="shared" si="160"/>
        <v>0.46268562815387637</v>
      </c>
      <c r="DP100" s="52">
        <f t="shared" si="160"/>
        <v>0.45768562815387648</v>
      </c>
      <c r="DQ100" s="52">
        <f t="shared" si="160"/>
        <v>0.45268562815387642</v>
      </c>
      <c r="DR100" s="52">
        <f t="shared" si="160"/>
        <v>0.4376856281538764</v>
      </c>
      <c r="DS100" s="52">
        <f t="shared" si="160"/>
        <v>0.43268562815387646</v>
      </c>
      <c r="DT100" s="52">
        <f t="shared" si="160"/>
        <v>0.41768562815387639</v>
      </c>
      <c r="DU100" s="52" t="e">
        <f t="shared" si="160"/>
        <v>#DIV/0!</v>
      </c>
      <c r="DV100" s="52">
        <f t="shared" si="160"/>
        <v>0.45000000000000007</v>
      </c>
      <c r="DW100" s="52">
        <f t="shared" si="160"/>
        <v>0.44000000000000011</v>
      </c>
      <c r="DX100" s="52">
        <f>DX87/DX81</f>
        <v>0.44000000000000011</v>
      </c>
      <c r="DY100" s="52">
        <f>DY87/DY81</f>
        <v>0.44000000000000011</v>
      </c>
      <c r="DZ100" s="52">
        <f>DZ87/DZ81</f>
        <v>0.44</v>
      </c>
      <c r="EA100" s="52">
        <f>EA87/EA81</f>
        <v>0.44000000000000006</v>
      </c>
      <c r="EB100" s="52">
        <f>EB87/EB81</f>
        <v>0.44000000000000011</v>
      </c>
      <c r="EC100" s="52">
        <f t="shared" ref="EC100:EL100" si="161">EC87/EC81</f>
        <v>0.44000000000000006</v>
      </c>
      <c r="ED100" s="52">
        <f t="shared" si="161"/>
        <v>0.44000000000000006</v>
      </c>
      <c r="EE100" s="52">
        <f t="shared" si="161"/>
        <v>0.44000000000000006</v>
      </c>
      <c r="EF100" s="52">
        <f t="shared" si="161"/>
        <v>0.43999999999999995</v>
      </c>
      <c r="EG100" s="52">
        <f t="shared" si="161"/>
        <v>0.44000000000000006</v>
      </c>
      <c r="EH100" s="52">
        <f t="shared" si="161"/>
        <v>0.44000000000000011</v>
      </c>
      <c r="EI100" s="52">
        <f t="shared" si="161"/>
        <v>0.44</v>
      </c>
      <c r="EJ100" s="52">
        <f t="shared" si="161"/>
        <v>0.44000000000000006</v>
      </c>
      <c r="EK100" s="52">
        <f t="shared" si="161"/>
        <v>0.44000000000000006</v>
      </c>
      <c r="EL100" s="52">
        <f t="shared" si="161"/>
        <v>0.44000000000000006</v>
      </c>
      <c r="EN100" s="43" t="s">
        <v>359</v>
      </c>
      <c r="EO100" s="54">
        <f>EO99/Main!K3</f>
        <v>30.661455804558788</v>
      </c>
    </row>
    <row r="101" spans="1:145">
      <c r="B101" s="106" t="s">
        <v>17</v>
      </c>
      <c r="C101" s="52"/>
      <c r="D101" s="52"/>
      <c r="E101" s="52"/>
      <c r="F101" s="52"/>
      <c r="G101" s="52"/>
      <c r="H101" s="52"/>
      <c r="I101" s="52"/>
      <c r="J101" s="52"/>
      <c r="K101" s="52">
        <v>0.20669456066945607</v>
      </c>
      <c r="L101" s="52">
        <v>0.27680525164113784</v>
      </c>
      <c r="M101" s="52">
        <v>0.28876508820798513</v>
      </c>
      <c r="N101" s="52">
        <v>0.24800910125142206</v>
      </c>
      <c r="O101" s="52">
        <v>0.2634011090573013</v>
      </c>
      <c r="P101" s="52">
        <v>0.22136669874879691</v>
      </c>
      <c r="Q101" s="52">
        <v>0.28776371308016879</v>
      </c>
      <c r="R101" s="52">
        <v>0.27748294162244125</v>
      </c>
      <c r="S101" s="52"/>
      <c r="T101" s="52"/>
      <c r="U101" s="52"/>
      <c r="V101" s="52"/>
      <c r="W101" s="52">
        <f t="shared" ref="W101:AD101" si="162">W90/W89</f>
        <v>0.35087719298245612</v>
      </c>
      <c r="X101" s="52">
        <f t="shared" si="162"/>
        <v>0.31930562861651762</v>
      </c>
      <c r="Y101" s="52">
        <f t="shared" si="162"/>
        <v>0.31135531135531136</v>
      </c>
      <c r="Z101" s="52">
        <f t="shared" si="162"/>
        <v>0.35548352242031334</v>
      </c>
      <c r="AA101" s="52">
        <f t="shared" si="162"/>
        <v>0.36748562467328805</v>
      </c>
      <c r="AB101" s="52">
        <f t="shared" si="162"/>
        <v>0.35129993658845909</v>
      </c>
      <c r="AC101" s="52">
        <f t="shared" si="162"/>
        <v>0.35398813447593935</v>
      </c>
      <c r="AD101" s="52">
        <f t="shared" si="162"/>
        <v>0.29301355578727839</v>
      </c>
      <c r="AE101" s="52">
        <f t="shared" ref="AE101:AM101" si="163">AE90/AE89</f>
        <v>0.28868778280542984</v>
      </c>
      <c r="AF101" s="52">
        <f t="shared" si="163"/>
        <v>0.36967632027257241</v>
      </c>
      <c r="AG101" s="52">
        <f t="shared" si="163"/>
        <v>0.3630278063851699</v>
      </c>
      <c r="AH101" s="52">
        <f t="shared" si="163"/>
        <v>0.42780337941628266</v>
      </c>
      <c r="AI101" s="52">
        <f t="shared" si="163"/>
        <v>0.34525723472668812</v>
      </c>
      <c r="AJ101" s="52">
        <f t="shared" si="163"/>
        <v>0.43315508021390375</v>
      </c>
      <c r="AK101" s="52">
        <f t="shared" si="163"/>
        <v>0.36882591093117406</v>
      </c>
      <c r="AL101" s="52">
        <f t="shared" si="163"/>
        <v>0.40186915887850466</v>
      </c>
      <c r="AM101" s="52">
        <f t="shared" si="163"/>
        <v>0.26259758694109298</v>
      </c>
      <c r="AN101" s="52">
        <f t="shared" ref="AN101:AS101" si="164">AN90/AN89</f>
        <v>0.35552596537949399</v>
      </c>
      <c r="AO101" s="52">
        <f t="shared" si="164"/>
        <v>0.43510506798516685</v>
      </c>
      <c r="AP101" s="52">
        <f t="shared" si="164"/>
        <v>0.39963167587476978</v>
      </c>
      <c r="AQ101" s="52">
        <f t="shared" si="164"/>
        <v>0.1470820189274448</v>
      </c>
      <c r="AR101" s="52">
        <f t="shared" si="164"/>
        <v>0.2</v>
      </c>
      <c r="AS101" s="52">
        <f t="shared" si="164"/>
        <v>0.39332949971247844</v>
      </c>
      <c r="AT101" s="52">
        <f>AT90/AT89</f>
        <v>0.46084089035449299</v>
      </c>
      <c r="AU101" s="52">
        <f>AU90/AU89</f>
        <v>0.30902255639097742</v>
      </c>
      <c r="AV101" s="52">
        <f>AV90/AV89</f>
        <v>0.2</v>
      </c>
      <c r="AW101" s="52">
        <f>AW90/AW89</f>
        <v>0.2</v>
      </c>
      <c r="AX101" s="52">
        <f>AX90/AX89</f>
        <v>0.2</v>
      </c>
      <c r="AY101" s="52"/>
      <c r="AZ101" s="52"/>
      <c r="BA101" s="52"/>
      <c r="BB101" s="52"/>
      <c r="BC101" s="52"/>
      <c r="BD101" s="52">
        <f>BD90/BD89</f>
        <v>-1.1129032258064515</v>
      </c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79"/>
      <c r="BX101" s="79"/>
      <c r="BY101" s="79"/>
      <c r="BZ101" s="79">
        <f t="shared" ref="BZ101:CA101" si="165">+BZ90/BZ89</f>
        <v>-0.15226337448559671</v>
      </c>
      <c r="CA101" s="79">
        <f t="shared" si="165"/>
        <v>0.19786096256684493</v>
      </c>
      <c r="CB101" s="79">
        <f t="shared" ref="CB101" si="166">+CB90/CB89</f>
        <v>0.21019771071800208</v>
      </c>
      <c r="CC101" s="79">
        <f t="shared" ref="CC101:CE101" si="167">+CC90/CC89</f>
        <v>0.23681125439624853</v>
      </c>
      <c r="CD101" s="79">
        <f t="shared" ref="CD101" si="168">+CD90/CD89</f>
        <v>0.1759478672985782</v>
      </c>
      <c r="CE101" s="79">
        <f t="shared" si="167"/>
        <v>7.5069142631371003E-2</v>
      </c>
      <c r="CF101" s="79">
        <f>+CF90/CF89</f>
        <v>0.23651721897335931</v>
      </c>
      <c r="CG101" s="79">
        <f t="shared" ref="CG101:CJ101" si="169">+CG90/CG89</f>
        <v>0.21557177615571776</v>
      </c>
      <c r="CH101" s="79">
        <f t="shared" si="169"/>
        <v>0.16110210696920582</v>
      </c>
      <c r="CI101" s="79">
        <f t="shared" si="169"/>
        <v>0.20814235643030465</v>
      </c>
      <c r="CJ101" s="79">
        <f t="shared" si="169"/>
        <v>0.15303849825007954</v>
      </c>
      <c r="CK101" s="79" t="e">
        <f t="shared" ref="CK101:CP101" si="170">+CK90/CK89</f>
        <v>#DIV/0!</v>
      </c>
      <c r="CL101" s="79" t="e">
        <f t="shared" si="170"/>
        <v>#DIV/0!</v>
      </c>
      <c r="CM101" s="79" t="e">
        <f t="shared" si="170"/>
        <v>#DIV/0!</v>
      </c>
      <c r="CN101" s="79">
        <f t="shared" si="170"/>
        <v>0.12829104834849211</v>
      </c>
      <c r="CO101" s="79" t="e">
        <f t="shared" si="170"/>
        <v>#DIV/0!</v>
      </c>
      <c r="CP101" s="79" t="e">
        <f t="shared" si="170"/>
        <v>#DIV/0!</v>
      </c>
      <c r="CQ101" s="79" t="e">
        <f t="shared" ref="CQ101:CR101" si="171">+CQ90/CQ89</f>
        <v>#DIV/0!</v>
      </c>
      <c r="CR101" s="79">
        <f t="shared" si="171"/>
        <v>0.19577278731836195</v>
      </c>
      <c r="CS101" s="79"/>
      <c r="CT101" s="79"/>
      <c r="CU101" s="79"/>
      <c r="CV101" s="79"/>
      <c r="CW101" s="79"/>
      <c r="CX101" s="79"/>
      <c r="CY101" s="79"/>
      <c r="CZ101" s="79"/>
      <c r="DA101" s="52"/>
      <c r="DB101" s="52"/>
      <c r="DC101" s="52"/>
      <c r="DF101" s="52">
        <v>0.25313653136531367</v>
      </c>
      <c r="DG101" s="52">
        <v>0.26421621621621622</v>
      </c>
      <c r="DH101" s="52">
        <v>0.29142450035621881</v>
      </c>
      <c r="DI101" s="52">
        <f>DI90/DI89</f>
        <v>0.33378196500672946</v>
      </c>
      <c r="DL101" s="52"/>
      <c r="DM101" s="52">
        <f>DM90/DM89</f>
        <v>0.34816061553257993</v>
      </c>
      <c r="DN101" s="52">
        <f t="shared" ref="DN101:DW101" si="172">DN90/DN89</f>
        <v>0.26662217648687481</v>
      </c>
      <c r="DO101" s="52">
        <f t="shared" si="172"/>
        <v>0.25</v>
      </c>
      <c r="DP101" s="52">
        <f t="shared" si="172"/>
        <v>0.25</v>
      </c>
      <c r="DQ101" s="52">
        <f t="shared" si="172"/>
        <v>0.25</v>
      </c>
      <c r="DR101" s="52">
        <f t="shared" si="172"/>
        <v>0.25</v>
      </c>
      <c r="DS101" s="52">
        <f t="shared" si="172"/>
        <v>0.25</v>
      </c>
      <c r="DT101" s="52">
        <f t="shared" si="172"/>
        <v>0.25</v>
      </c>
      <c r="DU101" s="52">
        <f t="shared" si="172"/>
        <v>0.25</v>
      </c>
      <c r="DV101" s="52">
        <f t="shared" si="172"/>
        <v>0.25</v>
      </c>
      <c r="DW101" s="52">
        <f t="shared" si="172"/>
        <v>0.25</v>
      </c>
      <c r="DX101" s="52">
        <f>DX90/DX89</f>
        <v>0.25</v>
      </c>
      <c r="DY101" s="52">
        <f>DY90/DY89</f>
        <v>0.25</v>
      </c>
      <c r="DZ101" s="52">
        <f>DZ90/DZ89</f>
        <v>0.25</v>
      </c>
      <c r="EA101" s="52">
        <f>EA90/EA89</f>
        <v>0.25</v>
      </c>
      <c r="EB101" s="52">
        <f>EB90/EB89</f>
        <v>0.25</v>
      </c>
      <c r="EC101" s="52">
        <f t="shared" ref="EC101:EL101" si="173">EC90/EC89</f>
        <v>0</v>
      </c>
      <c r="ED101" s="52">
        <f t="shared" si="173"/>
        <v>0</v>
      </c>
      <c r="EE101" s="52">
        <f t="shared" si="173"/>
        <v>0</v>
      </c>
      <c r="EF101" s="52">
        <f t="shared" si="173"/>
        <v>0</v>
      </c>
      <c r="EG101" s="52">
        <f t="shared" si="173"/>
        <v>0</v>
      </c>
      <c r="EH101" s="52">
        <f t="shared" si="173"/>
        <v>0</v>
      </c>
      <c r="EI101" s="52">
        <f t="shared" si="173"/>
        <v>0</v>
      </c>
      <c r="EJ101" s="52">
        <f t="shared" si="173"/>
        <v>0</v>
      </c>
      <c r="EK101" s="52">
        <f t="shared" si="173"/>
        <v>0</v>
      </c>
      <c r="EL101" s="52">
        <f t="shared" si="173"/>
        <v>0</v>
      </c>
      <c r="EN101" s="43" t="s">
        <v>358</v>
      </c>
      <c r="EO101" s="60">
        <v>0.05</v>
      </c>
    </row>
    <row r="102" spans="1:145">
      <c r="DX102" s="45"/>
      <c r="DY102" s="45"/>
      <c r="DZ102" s="45"/>
      <c r="EA102" s="45"/>
      <c r="EB102" s="45"/>
    </row>
    <row r="103" spans="1:145">
      <c r="B103" s="106" t="s">
        <v>191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>
        <v>4951</v>
      </c>
      <c r="AC103" s="38">
        <v>3428</v>
      </c>
      <c r="AD103" s="38">
        <f>AE103+2640</f>
        <v>5890</v>
      </c>
      <c r="AE103" s="38">
        <f>+AE104-11752</f>
        <v>3250</v>
      </c>
      <c r="AF103" s="38"/>
      <c r="AG103" s="38">
        <v>1726</v>
      </c>
      <c r="AH103" s="38"/>
      <c r="AI103" s="38"/>
      <c r="AJ103" s="38"/>
      <c r="AK103" s="38"/>
      <c r="AL103" s="38">
        <v>11402</v>
      </c>
      <c r="AM103" s="38">
        <v>9573</v>
      </c>
      <c r="AN103" s="38">
        <f>+AN115+AN120</f>
        <v>9651</v>
      </c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82"/>
      <c r="BX103" s="82"/>
      <c r="BY103" s="82"/>
      <c r="BZ103" s="82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2"/>
      <c r="CN103" s="82"/>
      <c r="CO103" s="82"/>
      <c r="CP103" s="82"/>
      <c r="CQ103" s="82"/>
      <c r="CR103" s="82"/>
      <c r="CS103" s="82"/>
      <c r="CT103" s="82"/>
      <c r="CU103" s="82"/>
      <c r="CV103" s="82"/>
      <c r="CW103" s="82"/>
      <c r="CX103" s="82"/>
      <c r="CY103" s="82"/>
      <c r="CZ103" s="82"/>
      <c r="DA103" s="38"/>
      <c r="DB103" s="38"/>
      <c r="DC103" s="38"/>
      <c r="DJ103" s="38"/>
      <c r="DK103" s="38"/>
      <c r="DL103" s="38"/>
      <c r="DM103" s="38"/>
      <c r="DN103" s="38"/>
      <c r="DO103" s="38">
        <v>-1000</v>
      </c>
      <c r="DP103" s="38">
        <f t="shared" ref="DP103:DW103" si="174">DO103+DP92</f>
        <v>1113.0160188659156</v>
      </c>
      <c r="DQ103" s="38">
        <f t="shared" si="174"/>
        <v>3232.9694891657923</v>
      </c>
      <c r="DR103" s="38">
        <f t="shared" si="174"/>
        <v>5161.7759799882479</v>
      </c>
      <c r="DS103" s="38">
        <f t="shared" si="174"/>
        <v>7002.13384928906</v>
      </c>
      <c r="DT103" s="38">
        <f t="shared" si="174"/>
        <v>8632.2689847443326</v>
      </c>
      <c r="DU103" s="38">
        <f t="shared" si="174"/>
        <v>8955.9790716722455</v>
      </c>
      <c r="DV103" s="38">
        <f t="shared" si="174"/>
        <v>17384.403286859957</v>
      </c>
      <c r="DW103" s="38">
        <f t="shared" si="174"/>
        <v>26819.928410117209</v>
      </c>
      <c r="DX103" s="38">
        <f>DW103+DX92</f>
        <v>40173.285725496607</v>
      </c>
      <c r="DY103" s="38">
        <f>DX103+DY92</f>
        <v>56313.963940202739</v>
      </c>
      <c r="DZ103" s="38">
        <f>DY103+DZ92</f>
        <v>73543.697587960341</v>
      </c>
      <c r="EA103" s="38">
        <f>DZ103+EA92</f>
        <v>87376.006747508858</v>
      </c>
      <c r="EB103" s="38">
        <f>EA103+EB92</f>
        <v>101137.70251154044</v>
      </c>
    </row>
    <row r="104" spans="1:145">
      <c r="B104" s="106" t="s">
        <v>192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>
        <f>14342+1057</f>
        <v>15399</v>
      </c>
      <c r="AC104" s="38">
        <v>14397</v>
      </c>
      <c r="AD104" s="38">
        <v>15156</v>
      </c>
      <c r="AE104" s="38">
        <v>15002</v>
      </c>
      <c r="AF104" s="38"/>
      <c r="AG104" s="38">
        <v>11475</v>
      </c>
      <c r="AH104" s="38"/>
      <c r="AI104" s="38"/>
      <c r="AJ104" s="38"/>
      <c r="AK104" s="38"/>
      <c r="AL104" s="38">
        <v>11063</v>
      </c>
      <c r="AM104" s="38">
        <v>10332</v>
      </c>
      <c r="AN104" s="38">
        <f>+AN125</f>
        <v>10318</v>
      </c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82"/>
      <c r="CR104" s="82"/>
      <c r="CS104" s="82"/>
      <c r="CT104" s="82"/>
      <c r="CU104" s="82"/>
      <c r="CV104" s="82"/>
      <c r="CW104" s="82"/>
      <c r="CX104" s="82"/>
      <c r="CY104" s="82"/>
      <c r="CZ104" s="82"/>
      <c r="DA104" s="38"/>
      <c r="DB104" s="38"/>
      <c r="DC104" s="38"/>
    </row>
    <row r="105" spans="1:145">
      <c r="DE105" s="52"/>
      <c r="DK105" s="53"/>
      <c r="DL105" s="53"/>
      <c r="DM105" s="53"/>
      <c r="DN105" s="53"/>
      <c r="DO105" s="53"/>
      <c r="DP105" s="38"/>
      <c r="DQ105" s="38"/>
      <c r="DR105" s="38"/>
      <c r="DS105" s="38"/>
      <c r="DT105" s="38"/>
      <c r="DU105" s="38"/>
      <c r="DV105" s="38"/>
      <c r="DW105" s="38"/>
    </row>
    <row r="106" spans="1:145" s="10" customFormat="1">
      <c r="A106" s="101"/>
      <c r="B106" s="101" t="s">
        <v>562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36">
        <f t="shared" ref="Y106:AL106" si="175">Y81/U81-1</f>
        <v>7.7906374157885594E-2</v>
      </c>
      <c r="Z106" s="36">
        <f t="shared" si="175"/>
        <v>0.14613085353703092</v>
      </c>
      <c r="AA106" s="36">
        <f t="shared" si="175"/>
        <v>0.12010841944773842</v>
      </c>
      <c r="AB106" s="36">
        <f t="shared" si="175"/>
        <v>8.5800221624188655E-2</v>
      </c>
      <c r="AC106" s="36">
        <f t="shared" si="175"/>
        <v>8.6378205128205154E-2</v>
      </c>
      <c r="AD106" s="36">
        <f t="shared" si="175"/>
        <v>0.19545059403071563</v>
      </c>
      <c r="AE106" s="36">
        <f t="shared" si="175"/>
        <v>0.1712038717483364</v>
      </c>
      <c r="AF106" s="36">
        <f t="shared" si="175"/>
        <v>8.4414637702288964E-2</v>
      </c>
      <c r="AG106" s="36">
        <f t="shared" si="175"/>
        <v>7.30196194128927E-2</v>
      </c>
      <c r="AH106" s="36">
        <f t="shared" si="175"/>
        <v>-6.9324930311477351E-2</v>
      </c>
      <c r="AI106" s="36">
        <f t="shared" si="175"/>
        <v>-7.2055785123966931E-2</v>
      </c>
      <c r="AJ106" s="36">
        <f t="shared" si="175"/>
        <v>-4.1677870395268046E-3</v>
      </c>
      <c r="AK106" s="36">
        <f t="shared" si="175"/>
        <v>5.0041242782512985E-2</v>
      </c>
      <c r="AL106" s="36">
        <f t="shared" si="175"/>
        <v>7.8135173850761852E-2</v>
      </c>
      <c r="AM106" s="36">
        <f>AM81/AI81-1</f>
        <v>9.5880879487893145E-2</v>
      </c>
      <c r="AN106" s="36">
        <f>AN81/AJ81-1</f>
        <v>1.4445794518698429E-2</v>
      </c>
      <c r="AO106" s="36">
        <f>AO81/AK81-1</f>
        <v>-4.9751243781094523E-2</v>
      </c>
      <c r="AP106" s="36">
        <f>AP81/AL81-1</f>
        <v>-4.8677376494745794E-2</v>
      </c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86"/>
      <c r="BX106" s="86"/>
      <c r="BY106" s="86"/>
      <c r="BZ106" s="86"/>
      <c r="CA106" s="86">
        <f>+CA81/BW81-1</f>
        <v>0.16267154620311075</v>
      </c>
      <c r="CB106" s="86">
        <f t="shared" ref="CB106" si="176">+CB81/BX81-1</f>
        <v>9.7411682406435718E-2</v>
      </c>
      <c r="CC106" s="86">
        <f t="shared" ref="CC106:CI106" si="177">+CC81/BY81-1</f>
        <v>7.3433420365535351E-2</v>
      </c>
      <c r="CD106" s="86">
        <f t="shared" si="177"/>
        <v>0.11144442777861108</v>
      </c>
      <c r="CE106" s="86">
        <f t="shared" si="177"/>
        <v>0.15203021718602461</v>
      </c>
      <c r="CF106" s="86">
        <f t="shared" si="177"/>
        <v>0.30996015936254984</v>
      </c>
      <c r="CG106" s="86">
        <f t="shared" si="177"/>
        <v>0.49984797810884762</v>
      </c>
      <c r="CH106" s="86">
        <f t="shared" si="177"/>
        <v>0.62091767881241555</v>
      </c>
      <c r="CI106" s="86">
        <f t="shared" si="177"/>
        <v>0.55601092896174853</v>
      </c>
      <c r="CJ106" s="86">
        <f>+CJ81/CF81-1</f>
        <v>0.31034063260340639</v>
      </c>
      <c r="CK106" s="86">
        <f t="shared" ref="CK106:CP106" si="178">+CK81/CG81-1</f>
        <v>0.11311575106426108</v>
      </c>
      <c r="CL106" s="86">
        <f t="shared" si="178"/>
        <v>-6.6938639580384596E-2</v>
      </c>
      <c r="CM106" s="86">
        <f t="shared" si="178"/>
        <v>-4.4863915715539937E-2</v>
      </c>
      <c r="CN106" s="86">
        <f t="shared" si="178"/>
        <v>5.9975861108532147E-2</v>
      </c>
      <c r="CO106" s="86">
        <f t="shared" si="178"/>
        <v>4.6439628482972228E-2</v>
      </c>
      <c r="CP106" s="86">
        <f t="shared" si="178"/>
        <v>7.2900865530471926E-2</v>
      </c>
      <c r="CQ106" s="86">
        <f t="shared" ref="CQ106" si="179">+CQ81/CM81-1</f>
        <v>0.20755584152955242</v>
      </c>
      <c r="CR106" s="86">
        <f t="shared" ref="CR106" si="180">+CR81/CN81-1</f>
        <v>0.13322238766751338</v>
      </c>
      <c r="CS106" s="86"/>
      <c r="CT106" s="86"/>
      <c r="CU106" s="86"/>
      <c r="CV106" s="86"/>
      <c r="CW106" s="86"/>
      <c r="CX106" s="86"/>
      <c r="CY106" s="86"/>
      <c r="CZ106" s="86"/>
      <c r="DA106" s="36"/>
      <c r="DB106" s="36"/>
      <c r="DC106" s="36"/>
      <c r="DD106" s="51"/>
      <c r="DE106" s="59"/>
      <c r="DF106" s="51"/>
      <c r="DG106" s="51"/>
      <c r="DH106" s="51"/>
      <c r="DI106" s="51"/>
      <c r="DJ106" s="51"/>
      <c r="DK106" s="53"/>
      <c r="DL106" s="53"/>
      <c r="DM106" s="36">
        <f>DM81/DL81-1</f>
        <v>2.622091117665537E-4</v>
      </c>
      <c r="DN106" s="36">
        <f>+DN81/DM81-1</f>
        <v>-2.0343403892784662E-2</v>
      </c>
      <c r="DO106" s="36">
        <f t="shared" ref="DO106:DW106" si="181">+DO81/DN81-1</f>
        <v>-0.76499440080596282</v>
      </c>
      <c r="DP106" s="36">
        <f t="shared" si="181"/>
        <v>-0.10832621690862521</v>
      </c>
      <c r="DQ106" s="36">
        <f t="shared" si="181"/>
        <v>-2.2946288049290331E-2</v>
      </c>
      <c r="DR106" s="36">
        <f t="shared" si="181"/>
        <v>-0.10042158689361302</v>
      </c>
      <c r="DS106" s="36">
        <f t="shared" si="181"/>
        <v>-7.8419631088023301E-2</v>
      </c>
      <c r="DT106" s="36">
        <f t="shared" si="181"/>
        <v>-0.13974100872742135</v>
      </c>
      <c r="DU106" s="36">
        <f t="shared" si="181"/>
        <v>-1</v>
      </c>
      <c r="DV106" s="36" t="e">
        <f t="shared" si="181"/>
        <v>#DIV/0!</v>
      </c>
      <c r="DW106" s="36">
        <f t="shared" si="181"/>
        <v>0.11005922095253973</v>
      </c>
      <c r="DX106" s="36">
        <f>+DX81/DW81-1</f>
        <v>0.40575572002855309</v>
      </c>
      <c r="DY106" s="36">
        <f>+DY81/DX81-1</f>
        <v>0.18518320549482858</v>
      </c>
      <c r="DZ106" s="36">
        <f>+DZ81/DY81-1</f>
        <v>3.3058223966084821E-2</v>
      </c>
      <c r="EA106" s="36">
        <f>+EA81/DZ81-1</f>
        <v>-0.26746594778660637</v>
      </c>
      <c r="EB106" s="36">
        <f>+EB81/EA81-1</f>
        <v>-5.3214973099494967E-2</v>
      </c>
    </row>
    <row r="107" spans="1:145" s="71" customFormat="1">
      <c r="A107" s="107"/>
      <c r="B107" s="107" t="s">
        <v>563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>
        <v>7.0000000000000007E-2</v>
      </c>
      <c r="AN107" s="36"/>
      <c r="AO107" s="36">
        <v>-0.02</v>
      </c>
      <c r="AP107" s="36">
        <v>0</v>
      </c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>
        <v>0.19</v>
      </c>
      <c r="CL107" s="86">
        <v>0.01</v>
      </c>
      <c r="CM107" s="86"/>
      <c r="CN107" s="86"/>
      <c r="CO107" s="86"/>
      <c r="CP107" s="86"/>
      <c r="CQ107" s="86"/>
      <c r="CR107" s="86">
        <v>0.18</v>
      </c>
      <c r="CS107" s="86"/>
      <c r="CT107" s="86"/>
      <c r="CU107" s="86"/>
      <c r="CV107" s="86"/>
      <c r="CW107" s="86"/>
      <c r="CX107" s="86"/>
      <c r="CY107" s="86"/>
      <c r="CZ107" s="86"/>
      <c r="DA107" s="36"/>
      <c r="DB107" s="36"/>
      <c r="DC107" s="36"/>
      <c r="DD107" s="36"/>
      <c r="DE107" s="72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</row>
    <row r="108" spans="1:145" s="121" customFormat="1">
      <c r="A108" s="117"/>
      <c r="B108" s="117" t="s">
        <v>564</v>
      </c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18"/>
      <c r="BP108" s="118"/>
      <c r="BQ108" s="118"/>
      <c r="BR108" s="118"/>
      <c r="BS108" s="118"/>
      <c r="BT108" s="118"/>
      <c r="BU108" s="118"/>
      <c r="BV108" s="118"/>
      <c r="BW108" s="119"/>
      <c r="BX108" s="119"/>
      <c r="BY108" s="119"/>
      <c r="BZ108" s="119"/>
      <c r="CA108" s="119"/>
      <c r="CB108" s="119"/>
      <c r="CC108" s="119">
        <f>+CC3/BY3-1</f>
        <v>0.29629629629629628</v>
      </c>
      <c r="CD108" s="119">
        <f>+CD3/BZ3-1</f>
        <v>0.30882352941176472</v>
      </c>
      <c r="CE108" s="119">
        <f>+CE3/CA3-1</f>
        <v>0.1700610997963341</v>
      </c>
      <c r="CF108" s="119">
        <f>+CF3/CB3-1</f>
        <v>0.26305609284332698</v>
      </c>
      <c r="CG108" s="119">
        <f>+CG3/CC3-1</f>
        <v>7.9653679653679754E-2</v>
      </c>
      <c r="CH108" s="119">
        <f>+CH3/CD3-1</f>
        <v>0.13569576490924806</v>
      </c>
      <c r="CI108" s="119">
        <f>+CI3/CE3-1</f>
        <v>0.13489991296779813</v>
      </c>
      <c r="CJ108" s="119">
        <f>+CJ3/CF3-1</f>
        <v>7.1975497702909674E-2</v>
      </c>
      <c r="CK108" s="119">
        <f>+CK3/CG3-1</f>
        <v>0.1210906174819566</v>
      </c>
      <c r="CL108" s="119">
        <f>+CL3/CH3-1</f>
        <v>2.1308980213089912E-2</v>
      </c>
      <c r="CM108" s="119">
        <f>+CM3/CI3-1</f>
        <v>9.2024539877300526E-2</v>
      </c>
      <c r="CN108" s="119">
        <f>+CN3/CJ3-1</f>
        <v>6.4999999999999947E-2</v>
      </c>
      <c r="CO108" s="119">
        <f>+CO3/CK3-1</f>
        <v>4.7925608011444965E-2</v>
      </c>
      <c r="CP108" s="119">
        <f>+CP3/CL3-1</f>
        <v>5.7377049180327822E-2</v>
      </c>
      <c r="CQ108" s="119">
        <f t="shared" ref="CQ108:CR108" si="182">+CQ3/CM3-1</f>
        <v>0.12008426966292141</v>
      </c>
      <c r="CR108" s="119">
        <f t="shared" si="182"/>
        <v>7.8470824949698148E-2</v>
      </c>
      <c r="CS108" s="119"/>
      <c r="CT108" s="119"/>
      <c r="CU108" s="119"/>
      <c r="CV108" s="119"/>
      <c r="CW108" s="119"/>
      <c r="CX108" s="119"/>
      <c r="CY108" s="119"/>
      <c r="CZ108" s="119"/>
      <c r="DA108" s="118"/>
      <c r="DB108" s="118"/>
      <c r="DC108" s="118"/>
      <c r="DD108" s="118"/>
      <c r="DE108" s="120"/>
      <c r="DF108" s="118"/>
      <c r="DG108" s="118"/>
      <c r="DH108" s="118"/>
      <c r="DI108" s="118"/>
      <c r="DJ108" s="118"/>
      <c r="DK108" s="118"/>
      <c r="DL108" s="118"/>
      <c r="DM108" s="118"/>
      <c r="DN108" s="118"/>
      <c r="DO108" s="118"/>
      <c r="DP108" s="118"/>
      <c r="DQ108" s="118"/>
      <c r="DR108" s="118"/>
      <c r="DS108" s="118"/>
      <c r="DT108" s="118"/>
      <c r="DU108" s="118"/>
      <c r="DV108" s="118"/>
      <c r="DW108" s="118"/>
    </row>
    <row r="109" spans="1:145" s="121" customFormat="1">
      <c r="A109" s="117"/>
      <c r="B109" s="117" t="s">
        <v>565</v>
      </c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  <c r="BC109" s="118"/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18"/>
      <c r="BP109" s="118"/>
      <c r="BQ109" s="118"/>
      <c r="BR109" s="118"/>
      <c r="BS109" s="118"/>
      <c r="BT109" s="118"/>
      <c r="BU109" s="118"/>
      <c r="BV109" s="118"/>
      <c r="BW109" s="119"/>
      <c r="BX109" s="119"/>
      <c r="BY109" s="119"/>
      <c r="BZ109" s="119"/>
      <c r="CA109" s="119"/>
      <c r="CB109" s="119"/>
      <c r="CC109" s="119">
        <f>+CC4/BY4-1</f>
        <v>0.31909547738693478</v>
      </c>
      <c r="CD109" s="119">
        <f>+CD4/BZ4-1</f>
        <v>0.39856801909307871</v>
      </c>
      <c r="CE109" s="119">
        <f>+CE4/CA4-1</f>
        <v>0.54074074074074074</v>
      </c>
      <c r="CF109" s="119">
        <f>+CF4/CB4-1</f>
        <v>0.65237020316027095</v>
      </c>
      <c r="CG109" s="119">
        <f>+CG4/CC4-1</f>
        <v>0.51619047619047609</v>
      </c>
      <c r="CH109" s="119">
        <f>+CH4/CD4-1</f>
        <v>0.44709897610921501</v>
      </c>
      <c r="CI109" s="119">
        <f>+CI4/CE4-1</f>
        <v>0.60256410256410264</v>
      </c>
      <c r="CJ109" s="119">
        <f>+CJ4/CF4-1</f>
        <v>0.50683060109289624</v>
      </c>
      <c r="CK109" s="119">
        <f>+CK4/CG4-1</f>
        <v>0.38316582914572872</v>
      </c>
      <c r="CL109" s="119">
        <f>+CL4/CH4-1</f>
        <v>0.38797169811320753</v>
      </c>
      <c r="CM109" s="119">
        <f>+CM4/CI4-1</f>
        <v>0.29899999999999993</v>
      </c>
      <c r="CN109" s="119">
        <f>+CN4/CJ4-1</f>
        <v>0.36446056210335454</v>
      </c>
      <c r="CO109" s="119">
        <f>+CO4/CK4-1</f>
        <v>0.41144414168937327</v>
      </c>
      <c r="CP109" s="119">
        <f>+CP4/CL4-1</f>
        <v>0.36448598130841114</v>
      </c>
      <c r="CQ109" s="119">
        <f t="shared" ref="CQ109:CR109" si="183">+CQ4/CM4-1</f>
        <v>0.45650500384911474</v>
      </c>
      <c r="CR109" s="119">
        <f t="shared" si="183"/>
        <v>0.29235880398671088</v>
      </c>
      <c r="CS109" s="119"/>
      <c r="CT109" s="119"/>
      <c r="CU109" s="119"/>
      <c r="CV109" s="119"/>
      <c r="CW109" s="119"/>
      <c r="CX109" s="119"/>
      <c r="CY109" s="119"/>
      <c r="CZ109" s="119"/>
      <c r="DA109" s="118"/>
      <c r="DB109" s="118"/>
      <c r="DC109" s="118"/>
      <c r="DD109" s="118"/>
      <c r="DE109" s="120"/>
      <c r="DF109" s="118"/>
      <c r="DG109" s="118"/>
      <c r="DH109" s="118"/>
      <c r="DI109" s="118"/>
      <c r="DJ109" s="118"/>
      <c r="DK109" s="118"/>
      <c r="DL109" s="118"/>
      <c r="DM109" s="118"/>
      <c r="DN109" s="118"/>
      <c r="DO109" s="118"/>
      <c r="DP109" s="118"/>
      <c r="DQ109" s="118"/>
      <c r="DR109" s="118"/>
      <c r="DS109" s="118"/>
      <c r="DT109" s="118"/>
      <c r="DU109" s="118"/>
      <c r="DV109" s="118"/>
      <c r="DW109" s="118"/>
    </row>
    <row r="110" spans="1:145" s="110" customFormat="1">
      <c r="B110" s="110" t="s">
        <v>244</v>
      </c>
      <c r="C110" s="111"/>
      <c r="D110" s="111"/>
      <c r="E110" s="111"/>
      <c r="F110" s="111"/>
      <c r="G110" s="111"/>
      <c r="H110" s="111"/>
      <c r="I110" s="111"/>
      <c r="J110" s="111"/>
      <c r="K110" s="111"/>
      <c r="L110" s="112"/>
      <c r="M110" s="112"/>
      <c r="N110" s="112"/>
      <c r="O110" s="112"/>
      <c r="P110" s="112"/>
      <c r="Q110" s="112">
        <f>Q14/M14-1</f>
        <v>-4.9000000000000044E-2</v>
      </c>
      <c r="R110" s="112">
        <f>R14/N14-1</f>
        <v>0.32296650717703357</v>
      </c>
      <c r="S110" s="112">
        <f>S14/O14-1</f>
        <v>0.12834224598930488</v>
      </c>
      <c r="T110" s="112">
        <f>T14/P14-1</f>
        <v>0.35129068462401802</v>
      </c>
      <c r="U110" s="112">
        <f>U14/Q14-1</f>
        <v>0.18506834910620396</v>
      </c>
      <c r="V110" s="112">
        <f>V14/R14-1</f>
        <v>0.12748643761301981</v>
      </c>
      <c r="W110" s="112">
        <f>W14/S14-1</f>
        <v>0.12701421800947865</v>
      </c>
      <c r="X110" s="112">
        <f>X14/T14-1</f>
        <v>6.5614617940199293E-2</v>
      </c>
      <c r="Y110" s="112">
        <f>Y14/U14-1</f>
        <v>0.13575865128660158</v>
      </c>
      <c r="Z110" s="112">
        <f>Z14/V14-1</f>
        <v>0.14675220529270239</v>
      </c>
      <c r="AA110" s="112">
        <f>AA14/W14-1</f>
        <v>0.1000841042893188</v>
      </c>
      <c r="AB110" s="112">
        <f>AB14/X14-1</f>
        <v>2.2603273577552541E-2</v>
      </c>
      <c r="AC110" s="112">
        <f>AC14/Y14-1</f>
        <v>1.0156250000000089E-2</v>
      </c>
      <c r="AD110" s="112">
        <f>AD14/Z14-1</f>
        <v>-8.8811188811188768E-2</v>
      </c>
      <c r="AE110" s="112">
        <f>AE14/AA14-1</f>
        <v>-5.3516819571865493E-2</v>
      </c>
      <c r="AF110" s="112">
        <f>AF14/AB14-1</f>
        <v>8.3841463414633388E-3</v>
      </c>
      <c r="AG110" s="112">
        <f>AG14/AC14-1</f>
        <v>1.7014694508894035E-2</v>
      </c>
      <c r="AH110" s="112">
        <f>AH14/AD14-1</f>
        <v>1.6116653875671627E-2</v>
      </c>
      <c r="AI110" s="112">
        <f>AI14/AE14-1</f>
        <v>-3.7156704361874016E-2</v>
      </c>
      <c r="AJ110" s="112">
        <f>AJ14/AF14-1</f>
        <v>-5.8201058201058253E-2</v>
      </c>
      <c r="AK110" s="112">
        <f>AK14/AG14-1</f>
        <v>-5.4752851711026618E-2</v>
      </c>
      <c r="AL110" s="112">
        <f>AL14/AH14-1</f>
        <v>-3.4743202416918417E-2</v>
      </c>
      <c r="AM110" s="112">
        <f>AM14/AI14-1</f>
        <v>3.9429530201342322E-2</v>
      </c>
      <c r="AN110" s="112">
        <f>AN14/AJ14-1</f>
        <v>8.82825040128421E-3</v>
      </c>
      <c r="AO110" s="112">
        <f>AO14/AK14-1</f>
        <v>-8.045052292839916E-4</v>
      </c>
      <c r="AP110" s="112">
        <f>AP14/AL14-1</f>
        <v>-3.6776212832550836E-2</v>
      </c>
      <c r="AQ110" s="112">
        <f>AQ14/AM14-1</f>
        <v>-6.2953995157384979E-2</v>
      </c>
      <c r="AR110" s="112">
        <f>AR14/AN14-1</f>
        <v>-3.9777247414478967E-2</v>
      </c>
      <c r="AS110" s="112">
        <f>AS14/AO14-1</f>
        <v>-0.12318840579710144</v>
      </c>
      <c r="AT110" s="112">
        <f>AT14/AP14-1</f>
        <v>-0.1332250203086921</v>
      </c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  <c r="CE110" s="112"/>
      <c r="CF110" s="112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12"/>
      <c r="CR110" s="112"/>
      <c r="CS110" s="112"/>
      <c r="CT110" s="112"/>
      <c r="CU110" s="112"/>
      <c r="CV110" s="112"/>
      <c r="CW110" s="112"/>
      <c r="CX110" s="112"/>
      <c r="CY110" s="112"/>
      <c r="CZ110" s="112"/>
      <c r="DA110" s="112"/>
      <c r="DB110" s="112"/>
      <c r="DC110" s="112"/>
      <c r="DD110" s="111"/>
      <c r="DE110" s="113"/>
      <c r="DF110" s="111"/>
      <c r="DG110" s="111"/>
      <c r="DH110" s="111"/>
      <c r="DI110" s="111"/>
      <c r="DJ110" s="111"/>
      <c r="DK110" s="114"/>
      <c r="DL110" s="114"/>
      <c r="DM110" s="114"/>
      <c r="DN110" s="114"/>
      <c r="DO110" s="114"/>
      <c r="DP110" s="115"/>
      <c r="DQ110" s="115"/>
      <c r="DR110" s="115"/>
      <c r="DS110" s="115"/>
      <c r="DT110" s="115"/>
      <c r="DU110" s="115"/>
      <c r="DV110" s="115"/>
      <c r="DW110" s="115"/>
    </row>
    <row r="111" spans="1:145" s="110" customFormat="1">
      <c r="B111" s="110" t="s">
        <v>243</v>
      </c>
      <c r="C111" s="111"/>
      <c r="D111" s="111"/>
      <c r="E111" s="111"/>
      <c r="F111" s="111"/>
      <c r="G111" s="111"/>
      <c r="H111" s="111"/>
      <c r="I111" s="111"/>
      <c r="J111" s="111"/>
      <c r="K111" s="111"/>
      <c r="L111" s="112"/>
      <c r="M111" s="112"/>
      <c r="N111" s="112"/>
      <c r="O111" s="112"/>
      <c r="P111" s="112"/>
      <c r="Q111" s="112">
        <f t="shared" ref="Q111:AT111" si="184">Q56/M56-1</f>
        <v>0.53333333333333344</v>
      </c>
      <c r="R111" s="112">
        <f t="shared" si="184"/>
        <v>0.31308411214953269</v>
      </c>
      <c r="S111" s="112">
        <f t="shared" si="184"/>
        <v>0.4129464285714286</v>
      </c>
      <c r="T111" s="112">
        <f t="shared" si="184"/>
        <v>0.36680327868852469</v>
      </c>
      <c r="U111" s="112">
        <f t="shared" si="184"/>
        <v>0.33459357277882806</v>
      </c>
      <c r="V111" s="112">
        <f t="shared" si="184"/>
        <v>0.34341637010676163</v>
      </c>
      <c r="W111" s="112">
        <f t="shared" si="184"/>
        <v>0.27488151658767768</v>
      </c>
      <c r="X111" s="112">
        <f t="shared" si="184"/>
        <v>0.27286356821589197</v>
      </c>
      <c r="Y111" s="112">
        <f t="shared" si="184"/>
        <v>0.20113314447592079</v>
      </c>
      <c r="Z111" s="112">
        <f t="shared" si="184"/>
        <v>0.20794701986754971</v>
      </c>
      <c r="AA111" s="112">
        <f t="shared" si="184"/>
        <v>0.14374225526641893</v>
      </c>
      <c r="AB111" s="112">
        <f t="shared" si="184"/>
        <v>0.13427561837455837</v>
      </c>
      <c r="AC111" s="112">
        <f t="shared" si="184"/>
        <v>0.24410377358490565</v>
      </c>
      <c r="AD111" s="112">
        <f t="shared" si="184"/>
        <v>0.19078947368421062</v>
      </c>
      <c r="AE111" s="112">
        <f t="shared" si="184"/>
        <v>0.13759479956663045</v>
      </c>
      <c r="AF111" s="112">
        <f t="shared" si="184"/>
        <v>0.1547248182762202</v>
      </c>
      <c r="AG111" s="112">
        <f t="shared" si="184"/>
        <v>7.1090047393364886E-2</v>
      </c>
      <c r="AH111" s="112">
        <f t="shared" si="184"/>
        <v>6.8139963167587414E-2</v>
      </c>
      <c r="AI111" s="112">
        <f t="shared" si="184"/>
        <v>7.1428571428571397E-2</v>
      </c>
      <c r="AJ111" s="112">
        <f t="shared" si="184"/>
        <v>0.12320143884892087</v>
      </c>
      <c r="AK111" s="112">
        <f t="shared" si="184"/>
        <v>8.9380530973451222E-2</v>
      </c>
      <c r="AL111" s="112">
        <f t="shared" si="184"/>
        <v>8.7068965517241415E-2</v>
      </c>
      <c r="AM111" s="112">
        <f t="shared" si="184"/>
        <v>0.1617777777777778</v>
      </c>
      <c r="AN111" s="112">
        <f t="shared" si="184"/>
        <v>8.2465972778222651E-2</v>
      </c>
      <c r="AO111" s="112">
        <f t="shared" si="184"/>
        <v>5.84890333062551E-2</v>
      </c>
      <c r="AP111" s="112">
        <f t="shared" si="184"/>
        <v>6.2648691514670896E-2</v>
      </c>
      <c r="AQ111" s="112">
        <f t="shared" si="184"/>
        <v>2.9074215761285327E-2</v>
      </c>
      <c r="AR111" s="112">
        <f t="shared" si="184"/>
        <v>3.0000000000000027E-2</v>
      </c>
      <c r="AS111" s="112">
        <f t="shared" si="184"/>
        <v>7.444359171143522E-2</v>
      </c>
      <c r="AT111" s="112">
        <f t="shared" si="184"/>
        <v>0.15373134328358207</v>
      </c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12"/>
      <c r="CR111" s="112"/>
      <c r="CS111" s="112"/>
      <c r="CT111" s="112"/>
      <c r="CU111" s="112"/>
      <c r="CV111" s="112"/>
      <c r="CW111" s="112"/>
      <c r="CX111" s="112"/>
      <c r="CY111" s="112"/>
      <c r="CZ111" s="112"/>
      <c r="DA111" s="112"/>
      <c r="DB111" s="112"/>
      <c r="DC111" s="112"/>
      <c r="DD111" s="111"/>
      <c r="DE111" s="113"/>
      <c r="DF111" s="111"/>
      <c r="DG111" s="111"/>
      <c r="DH111" s="111"/>
      <c r="DI111" s="111"/>
      <c r="DJ111" s="111"/>
      <c r="DK111" s="114"/>
      <c r="DL111" s="111"/>
      <c r="DM111" s="111"/>
      <c r="DN111" s="111"/>
      <c r="DO111" s="111"/>
      <c r="DP111" s="111"/>
      <c r="DQ111" s="111"/>
      <c r="DR111" s="111"/>
      <c r="DS111" s="111"/>
      <c r="DT111" s="111"/>
      <c r="DU111" s="111"/>
      <c r="DV111" s="111"/>
      <c r="DW111" s="111"/>
    </row>
    <row r="112" spans="1:145" s="110" customFormat="1">
      <c r="B112" s="110" t="s">
        <v>242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2"/>
      <c r="M112" s="112"/>
      <c r="N112" s="112"/>
      <c r="O112" s="112"/>
      <c r="P112" s="112"/>
      <c r="Q112" s="112">
        <f t="shared" ref="Q112:AP112" si="185">Q17/M17-1</f>
        <v>2.4210526315789473</v>
      </c>
      <c r="R112" s="112">
        <f t="shared" si="185"/>
        <v>6.6097560975609753</v>
      </c>
      <c r="S112" s="112">
        <f t="shared" si="185"/>
        <v>1.1162790697674421</v>
      </c>
      <c r="T112" s="112">
        <f t="shared" si="185"/>
        <v>0.5314009661835748</v>
      </c>
      <c r="U112" s="112">
        <f t="shared" si="185"/>
        <v>0.25</v>
      </c>
      <c r="V112" s="112">
        <f t="shared" si="185"/>
        <v>0.13141025641025639</v>
      </c>
      <c r="W112" s="112">
        <f t="shared" si="185"/>
        <v>0.41758241758241765</v>
      </c>
      <c r="X112" s="112">
        <f t="shared" si="185"/>
        <v>0.51419558359621442</v>
      </c>
      <c r="Y112" s="112">
        <f t="shared" si="185"/>
        <v>0.64923076923076928</v>
      </c>
      <c r="Z112" s="112">
        <f t="shared" si="185"/>
        <v>0.77053824362606238</v>
      </c>
      <c r="AA112" s="112">
        <f t="shared" si="185"/>
        <v>0.62273901808785537</v>
      </c>
      <c r="AB112" s="112">
        <f t="shared" si="185"/>
        <v>0.41250000000000009</v>
      </c>
      <c r="AC112" s="112">
        <f t="shared" si="185"/>
        <v>0.28917910447761197</v>
      </c>
      <c r="AD112" s="112">
        <f t="shared" si="185"/>
        <v>0.27839999999999998</v>
      </c>
      <c r="AE112" s="112">
        <f t="shared" si="185"/>
        <v>0.22929936305732479</v>
      </c>
      <c r="AF112" s="112">
        <f t="shared" si="185"/>
        <v>0.35103244837758107</v>
      </c>
      <c r="AG112" s="112">
        <f t="shared" si="185"/>
        <v>0.33429811866859627</v>
      </c>
      <c r="AH112" s="112">
        <f t="shared" si="185"/>
        <v>0.23529411764705888</v>
      </c>
      <c r="AI112" s="112">
        <f t="shared" si="185"/>
        <v>0.25518134715025909</v>
      </c>
      <c r="AJ112" s="112">
        <f t="shared" si="185"/>
        <v>0.23253275109170302</v>
      </c>
      <c r="AK112" s="112">
        <f t="shared" si="185"/>
        <v>0.24403470715835152</v>
      </c>
      <c r="AL112" s="112">
        <f t="shared" si="185"/>
        <v>0.2735562310030395</v>
      </c>
      <c r="AM112" s="112">
        <f t="shared" si="185"/>
        <v>0.34158926728586181</v>
      </c>
      <c r="AN112" s="112">
        <f t="shared" si="185"/>
        <v>0.2666076173604961</v>
      </c>
      <c r="AO112" s="112">
        <f t="shared" si="185"/>
        <v>0.19790758500435923</v>
      </c>
      <c r="AP112" s="112">
        <f t="shared" si="185"/>
        <v>0.26252983293556076</v>
      </c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112"/>
      <c r="CF112" s="112"/>
      <c r="CG112" s="112"/>
      <c r="CH112" s="112"/>
      <c r="CI112" s="112"/>
      <c r="CJ112" s="112"/>
      <c r="CK112" s="112"/>
      <c r="CL112" s="112"/>
      <c r="CM112" s="112"/>
      <c r="CN112" s="112"/>
      <c r="CO112" s="112"/>
      <c r="CP112" s="112"/>
      <c r="CQ112" s="112"/>
      <c r="CR112" s="112"/>
      <c r="CS112" s="112"/>
      <c r="CT112" s="112"/>
      <c r="CU112" s="112"/>
      <c r="CV112" s="112"/>
      <c r="CW112" s="112"/>
      <c r="CX112" s="112"/>
      <c r="CY112" s="112"/>
      <c r="CZ112" s="112"/>
      <c r="DA112" s="112"/>
      <c r="DB112" s="112"/>
      <c r="DC112" s="112"/>
      <c r="DD112" s="111"/>
      <c r="DE112" s="113"/>
      <c r="DF112" s="111"/>
      <c r="DG112" s="111"/>
      <c r="DH112" s="111"/>
      <c r="DI112" s="111"/>
      <c r="DJ112" s="111"/>
      <c r="DK112" s="116"/>
      <c r="DL112" s="111"/>
      <c r="DM112" s="111"/>
      <c r="DN112" s="111"/>
      <c r="DO112" s="111"/>
      <c r="DP112" s="111"/>
      <c r="DQ112" s="111"/>
      <c r="DR112" s="111"/>
      <c r="DS112" s="111"/>
      <c r="DT112" s="111"/>
      <c r="DU112" s="111"/>
      <c r="DV112" s="111"/>
      <c r="DW112" s="111"/>
    </row>
    <row r="113" spans="1:127" s="110" customFormat="1">
      <c r="B113" s="110" t="s">
        <v>245</v>
      </c>
      <c r="C113" s="111"/>
      <c r="D113" s="111"/>
      <c r="E113" s="111"/>
      <c r="F113" s="111"/>
      <c r="G113" s="111"/>
      <c r="H113" s="111"/>
      <c r="I113" s="111"/>
      <c r="J113" s="111"/>
      <c r="K113" s="111"/>
      <c r="L113" s="112"/>
      <c r="M113" s="112"/>
      <c r="N113" s="112"/>
      <c r="O113" s="112"/>
      <c r="P113" s="112"/>
      <c r="Q113" s="112">
        <f t="shared" ref="Q113:AP113" si="186">Q7/M7-1</f>
        <v>0.4453125</v>
      </c>
      <c r="R113" s="112">
        <f t="shared" si="186"/>
        <v>0.27325581395348841</v>
      </c>
      <c r="S113" s="112">
        <f t="shared" si="186"/>
        <v>0.31382978723404253</v>
      </c>
      <c r="T113" s="112">
        <f t="shared" si="186"/>
        <v>0.24390243902439024</v>
      </c>
      <c r="U113" s="112">
        <f t="shared" si="186"/>
        <v>0.29729729729729737</v>
      </c>
      <c r="V113" s="112">
        <f t="shared" si="186"/>
        <v>0.20547945205479445</v>
      </c>
      <c r="W113" s="112">
        <f t="shared" si="186"/>
        <v>0.12145748987854255</v>
      </c>
      <c r="X113" s="112">
        <f t="shared" si="186"/>
        <v>0.20784313725490189</v>
      </c>
      <c r="Y113" s="112">
        <f t="shared" si="186"/>
        <v>0.14999999999999991</v>
      </c>
      <c r="Z113" s="112">
        <f t="shared" si="186"/>
        <v>0.2234848484848484</v>
      </c>
      <c r="AA113" s="112">
        <f t="shared" si="186"/>
        <v>0.27797833935018046</v>
      </c>
      <c r="AB113" s="112">
        <f t="shared" si="186"/>
        <v>0.3441558441558441</v>
      </c>
      <c r="AC113" s="112">
        <f t="shared" si="186"/>
        <v>0.34420289855072461</v>
      </c>
      <c r="AD113" s="112">
        <f t="shared" si="186"/>
        <v>0.34984520123839014</v>
      </c>
      <c r="AE113" s="112">
        <f t="shared" si="186"/>
        <v>0.33050847457627119</v>
      </c>
      <c r="AF113" s="112">
        <f t="shared" si="186"/>
        <v>0.25120772946859904</v>
      </c>
      <c r="AG113" s="112">
        <f t="shared" si="186"/>
        <v>0.3504043126684635</v>
      </c>
      <c r="AH113" s="112">
        <f t="shared" si="186"/>
        <v>0.17889908256880727</v>
      </c>
      <c r="AI113" s="112">
        <f t="shared" si="186"/>
        <v>9.3418259023354544E-2</v>
      </c>
      <c r="AJ113" s="112">
        <f t="shared" si="186"/>
        <v>6.370656370656369E-2</v>
      </c>
      <c r="AK113" s="112">
        <f t="shared" si="186"/>
        <v>0.12175648702594821</v>
      </c>
      <c r="AL113" s="112">
        <f t="shared" si="186"/>
        <v>0.29571984435797671</v>
      </c>
      <c r="AM113" s="112">
        <f t="shared" si="186"/>
        <v>0.36116504854368925</v>
      </c>
      <c r="AN113" s="112">
        <f t="shared" si="186"/>
        <v>0.20508166969147013</v>
      </c>
      <c r="AO113" s="112">
        <f t="shared" si="186"/>
        <v>0.13879003558718872</v>
      </c>
      <c r="AP113" s="112">
        <f t="shared" si="186"/>
        <v>0.11261261261261257</v>
      </c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  <c r="CE113" s="112"/>
      <c r="CF113" s="112"/>
      <c r="CG113" s="112"/>
      <c r="CH113" s="112"/>
      <c r="CI113" s="112"/>
      <c r="CJ113" s="112"/>
      <c r="CK113" s="112"/>
      <c r="CL113" s="112"/>
      <c r="CM113" s="112"/>
      <c r="CN113" s="112"/>
      <c r="CO113" s="112"/>
      <c r="CP113" s="112"/>
      <c r="CQ113" s="112"/>
      <c r="CR113" s="112"/>
      <c r="CS113" s="112"/>
      <c r="CT113" s="112"/>
      <c r="CU113" s="112"/>
      <c r="CV113" s="112"/>
      <c r="CW113" s="112"/>
      <c r="CX113" s="112"/>
      <c r="CY113" s="112"/>
      <c r="CZ113" s="112"/>
      <c r="DA113" s="112"/>
      <c r="DB113" s="112"/>
      <c r="DC113" s="112"/>
      <c r="DD113" s="111"/>
      <c r="DE113" s="113"/>
      <c r="DF113" s="111"/>
      <c r="DG113" s="111"/>
      <c r="DH113" s="111"/>
      <c r="DI113" s="111"/>
      <c r="DJ113" s="111"/>
      <c r="DK113" s="111"/>
      <c r="DL113" s="111"/>
      <c r="DM113" s="111"/>
      <c r="DN113" s="111"/>
      <c r="DO113" s="111"/>
      <c r="DP113" s="111"/>
      <c r="DQ113" s="111"/>
      <c r="DR113" s="111"/>
      <c r="DS113" s="111"/>
      <c r="DT113" s="111"/>
      <c r="DU113" s="111"/>
      <c r="DV113" s="111"/>
      <c r="DW113" s="111"/>
    </row>
    <row r="114" spans="1:127">
      <c r="DE114" s="52"/>
    </row>
    <row r="115" spans="1:127" s="70" customFormat="1">
      <c r="A115" s="108"/>
      <c r="B115" s="109" t="s">
        <v>191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>
        <v>7366</v>
      </c>
      <c r="AN115" s="38">
        <f>9088+193</f>
        <v>9281</v>
      </c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</row>
    <row r="116" spans="1:127" s="70" customFormat="1">
      <c r="A116" s="108"/>
      <c r="B116" s="109" t="s">
        <v>425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>
        <f>3045+1276</f>
        <v>4321</v>
      </c>
      <c r="AN116" s="38">
        <f>3328+1206</f>
        <v>4534</v>
      </c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</row>
    <row r="117" spans="1:127" s="70" customFormat="1">
      <c r="A117" s="108"/>
      <c r="B117" s="109" t="s">
        <v>426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>
        <f>2030+192</f>
        <v>2222</v>
      </c>
      <c r="AN117" s="38">
        <v>1964</v>
      </c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</row>
    <row r="118" spans="1:127" s="70" customFormat="1">
      <c r="A118" s="108"/>
      <c r="B118" s="109" t="s">
        <v>427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>
        <v>8126</v>
      </c>
      <c r="AN118" s="38">
        <v>7307</v>
      </c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</row>
    <row r="119" spans="1:127" s="70" customFormat="1">
      <c r="A119" s="108"/>
      <c r="B119" s="109" t="s">
        <v>428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>
        <v>1780</v>
      </c>
      <c r="AN119" s="38">
        <v>1689</v>
      </c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</row>
    <row r="120" spans="1:127" s="70" customFormat="1">
      <c r="A120" s="108"/>
      <c r="B120" s="109" t="s">
        <v>429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>
        <v>287</v>
      </c>
      <c r="AN120" s="38">
        <v>370</v>
      </c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</row>
    <row r="121" spans="1:127" s="70" customFormat="1">
      <c r="A121" s="108"/>
      <c r="B121" s="109" t="s">
        <v>430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>
        <f>13040+9866</f>
        <v>22906</v>
      </c>
      <c r="AN121" s="38">
        <f>9846+12832</f>
        <v>22678</v>
      </c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</row>
    <row r="122" spans="1:127" s="70" customFormat="1">
      <c r="A122" s="108"/>
      <c r="B122" s="109" t="s">
        <v>431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>
        <v>7067</v>
      </c>
      <c r="AN122" s="38">
        <v>6824</v>
      </c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</row>
    <row r="123" spans="1:127" s="70" customFormat="1">
      <c r="A123" s="108"/>
      <c r="B123" s="109" t="s">
        <v>432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>
        <f>SUM(AM115:AM122)</f>
        <v>54075</v>
      </c>
      <c r="AN123" s="38">
        <f>SUM(AN115:AN122)</f>
        <v>54647</v>
      </c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</row>
    <row r="125" spans="1:127" s="70" customFormat="1">
      <c r="A125" s="108"/>
      <c r="B125" s="109" t="s">
        <v>192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>
        <f>1277+9055</f>
        <v>10332</v>
      </c>
      <c r="AN125" s="38">
        <f>1275+9043</f>
        <v>10318</v>
      </c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82"/>
      <c r="CR125" s="82"/>
      <c r="CS125" s="82"/>
      <c r="CT125" s="82"/>
      <c r="CU125" s="82"/>
      <c r="CV125" s="82"/>
      <c r="CW125" s="82"/>
      <c r="CX125" s="82"/>
      <c r="CY125" s="82"/>
      <c r="CZ125" s="82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</row>
    <row r="126" spans="1:127" s="70" customFormat="1">
      <c r="A126" s="108"/>
      <c r="B126" s="109" t="s">
        <v>433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>
        <v>8507</v>
      </c>
      <c r="AN126" s="38">
        <v>7362</v>
      </c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82"/>
      <c r="CR126" s="82"/>
      <c r="CS126" s="82"/>
      <c r="CT126" s="82"/>
      <c r="CU126" s="82"/>
      <c r="CV126" s="82"/>
      <c r="CW126" s="82"/>
      <c r="CX126" s="82"/>
      <c r="CY126" s="82"/>
      <c r="CZ126" s="82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</row>
    <row r="127" spans="1:127" s="70" customFormat="1">
      <c r="A127" s="108"/>
      <c r="B127" s="109" t="s">
        <v>429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>
        <v>110</v>
      </c>
      <c r="AN127" s="38">
        <v>201</v>
      </c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</row>
    <row r="128" spans="1:127" s="70" customFormat="1">
      <c r="A128" s="108"/>
      <c r="B128" s="109" t="s">
        <v>434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>
        <f>1066+443</f>
        <v>1509</v>
      </c>
      <c r="AN128" s="38">
        <f>947+491</f>
        <v>1438</v>
      </c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82"/>
      <c r="CR128" s="82"/>
      <c r="CS128" s="82"/>
      <c r="CT128" s="82"/>
      <c r="CU128" s="82"/>
      <c r="CV128" s="82"/>
      <c r="CW128" s="82"/>
      <c r="CX128" s="82"/>
      <c r="CY128" s="82"/>
      <c r="CZ128" s="82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</row>
    <row r="129" spans="1:127" s="70" customFormat="1">
      <c r="A129" s="108"/>
      <c r="B129" s="109" t="s">
        <v>425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>
        <f>6034+3169</f>
        <v>9203</v>
      </c>
      <c r="AN129" s="38">
        <f>6519+2851</f>
        <v>9370</v>
      </c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82"/>
      <c r="CR129" s="82"/>
      <c r="CS129" s="82"/>
      <c r="CT129" s="82"/>
      <c r="CU129" s="82"/>
      <c r="CV129" s="82"/>
      <c r="CW129" s="82"/>
      <c r="CX129" s="82"/>
      <c r="CY129" s="82"/>
      <c r="CZ129" s="82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</row>
    <row r="130" spans="1:127" s="70" customFormat="1">
      <c r="A130" s="108"/>
      <c r="B130" s="109" t="s">
        <v>435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>
        <v>3293</v>
      </c>
      <c r="AN130" s="38">
        <v>3478</v>
      </c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82"/>
      <c r="CR130" s="82"/>
      <c r="CS130" s="82"/>
      <c r="CT130" s="82"/>
      <c r="CU130" s="82"/>
      <c r="CV130" s="82"/>
      <c r="CW130" s="82"/>
      <c r="CX130" s="82"/>
      <c r="CY130" s="82"/>
      <c r="CZ130" s="82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</row>
    <row r="131" spans="1:127" s="70" customFormat="1">
      <c r="A131" s="108"/>
      <c r="B131" s="109" t="s">
        <v>436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>
        <v>233</v>
      </c>
      <c r="AN131" s="38">
        <v>215</v>
      </c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</row>
    <row r="132" spans="1:127" s="70" customFormat="1">
      <c r="A132" s="108"/>
      <c r="B132" s="109" t="s">
        <v>437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>
        <f>SUM(AM125:AM131)</f>
        <v>33187</v>
      </c>
      <c r="AN132" s="38">
        <f>SUM(AN125:AN131)</f>
        <v>32382</v>
      </c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/>
      <c r="CR132" s="82"/>
      <c r="CS132" s="82"/>
      <c r="CT132" s="82"/>
      <c r="CU132" s="82"/>
      <c r="CV132" s="82"/>
      <c r="CW132" s="82"/>
      <c r="CX132" s="82"/>
      <c r="CY132" s="82"/>
      <c r="CZ132" s="82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</row>
    <row r="133" spans="1:127" s="70" customFormat="1">
      <c r="A133" s="108"/>
      <c r="B133" s="109" t="s">
        <v>438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>
        <v>20888</v>
      </c>
      <c r="AN133" s="38">
        <v>22265</v>
      </c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/>
      <c r="CR133" s="82"/>
      <c r="CS133" s="82"/>
      <c r="CT133" s="82"/>
      <c r="CU133" s="82"/>
      <c r="CV133" s="82"/>
      <c r="CW133" s="82"/>
      <c r="CX133" s="82"/>
      <c r="CY133" s="82"/>
      <c r="CZ133" s="82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</row>
    <row r="134" spans="1:127" s="70" customFormat="1">
      <c r="A134" s="108"/>
      <c r="B134" s="109" t="s">
        <v>439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>
        <f>AM133+AM132</f>
        <v>54075</v>
      </c>
      <c r="AN134" s="38">
        <f>AN133+AN132</f>
        <v>54647</v>
      </c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82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82"/>
      <c r="CR134" s="82"/>
      <c r="CS134" s="82"/>
      <c r="CT134" s="82"/>
      <c r="CU134" s="82"/>
      <c r="CV134" s="82"/>
      <c r="CW134" s="82"/>
      <c r="CX134" s="82"/>
      <c r="CY134" s="82"/>
      <c r="CZ134" s="82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</row>
    <row r="136" spans="1:127" s="70" customFormat="1">
      <c r="A136" s="108"/>
      <c r="B136" s="109" t="s">
        <v>440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>
        <v>1739</v>
      </c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82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82"/>
      <c r="CR136" s="82"/>
      <c r="CS136" s="82"/>
      <c r="CT136" s="82"/>
      <c r="CU136" s="82"/>
      <c r="CV136" s="82"/>
      <c r="CW136" s="82"/>
      <c r="CX136" s="82"/>
      <c r="CY136" s="82"/>
      <c r="CZ136" s="82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</row>
    <row r="137" spans="1:127" s="70" customFormat="1">
      <c r="A137" s="108"/>
      <c r="B137" s="109" t="s">
        <v>431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>
        <v>145</v>
      </c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82"/>
      <c r="BX137" s="82"/>
      <c r="BY137" s="82"/>
      <c r="BZ137" s="82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2"/>
      <c r="CN137" s="82"/>
      <c r="CO137" s="82"/>
      <c r="CP137" s="82"/>
      <c r="CQ137" s="82"/>
      <c r="CR137" s="82"/>
      <c r="CS137" s="82"/>
      <c r="CT137" s="82"/>
      <c r="CU137" s="82"/>
      <c r="CV137" s="82"/>
      <c r="CW137" s="82"/>
      <c r="CX137" s="82"/>
      <c r="CY137" s="82"/>
      <c r="CZ137" s="82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</row>
    <row r="138" spans="1:127" s="70" customFormat="1">
      <c r="A138" s="108"/>
      <c r="B138" s="109" t="s">
        <v>443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>
        <v>346</v>
      </c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82"/>
      <c r="BX138" s="82"/>
      <c r="BY138" s="82"/>
      <c r="BZ138" s="82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2"/>
      <c r="CN138" s="82"/>
      <c r="CO138" s="82"/>
      <c r="CP138" s="82"/>
      <c r="CQ138" s="82"/>
      <c r="CR138" s="82"/>
      <c r="CS138" s="82"/>
      <c r="CT138" s="82"/>
      <c r="CU138" s="82"/>
      <c r="CV138" s="82"/>
      <c r="CW138" s="82"/>
      <c r="CX138" s="82"/>
      <c r="CY138" s="82"/>
      <c r="CZ138" s="82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</row>
    <row r="139" spans="1:127" s="70" customFormat="1">
      <c r="A139" s="108"/>
      <c r="B139" s="109" t="s">
        <v>444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>
        <v>2367</v>
      </c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82"/>
      <c r="BX139" s="82"/>
      <c r="BY139" s="82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  <c r="CO139" s="82"/>
      <c r="CP139" s="82"/>
      <c r="CQ139" s="82"/>
      <c r="CR139" s="82"/>
      <c r="CS139" s="82"/>
      <c r="CT139" s="82"/>
      <c r="CU139" s="82"/>
      <c r="CV139" s="82"/>
      <c r="CW139" s="82"/>
      <c r="CX139" s="82"/>
      <c r="CY139" s="82"/>
      <c r="CZ139" s="82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C6"/>
  <sheetViews>
    <sheetView zoomScale="160" zoomScaleNormal="160" workbookViewId="0">
      <selection activeCell="C7" sqref="C7"/>
    </sheetView>
  </sheetViews>
  <sheetFormatPr baseColWidth="10" defaultColWidth="8.83203125" defaultRowHeight="13"/>
  <cols>
    <col min="1" max="1" width="5" bestFit="1" customWidth="1"/>
  </cols>
  <sheetData>
    <row r="1" spans="1:3">
      <c r="A1" s="17" t="s">
        <v>66</v>
      </c>
    </row>
    <row r="2" spans="1:3">
      <c r="B2" s="127" t="s">
        <v>582</v>
      </c>
      <c r="C2" s="127" t="s">
        <v>528</v>
      </c>
    </row>
    <row r="3" spans="1:3">
      <c r="B3" s="127" t="s">
        <v>583</v>
      </c>
      <c r="C3" s="127" t="s">
        <v>588</v>
      </c>
    </row>
    <row r="4" spans="1:3">
      <c r="B4" s="127" t="s">
        <v>1</v>
      </c>
      <c r="C4" s="127" t="s">
        <v>589</v>
      </c>
    </row>
    <row r="5" spans="1:3">
      <c r="B5" s="127" t="s">
        <v>587</v>
      </c>
      <c r="C5" s="127" t="s">
        <v>590</v>
      </c>
    </row>
    <row r="6" spans="1:3">
      <c r="B6" s="127" t="s">
        <v>4</v>
      </c>
      <c r="C6" s="127" t="s">
        <v>627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6"/>
  <sheetViews>
    <sheetView zoomScale="175" zoomScaleNormal="175" workbookViewId="0"/>
  </sheetViews>
  <sheetFormatPr baseColWidth="10" defaultColWidth="8.83203125" defaultRowHeight="13"/>
  <cols>
    <col min="1" max="1" width="5" bestFit="1" customWidth="1"/>
    <col min="2" max="2" width="10.33203125" bestFit="1" customWidth="1"/>
  </cols>
  <sheetData>
    <row r="1" spans="1:3">
      <c r="A1" s="17" t="s">
        <v>66</v>
      </c>
    </row>
    <row r="2" spans="1:3">
      <c r="B2" s="127" t="s">
        <v>582</v>
      </c>
      <c r="C2" s="127" t="s">
        <v>544</v>
      </c>
    </row>
    <row r="3" spans="1:3">
      <c r="B3" s="127" t="s">
        <v>583</v>
      </c>
      <c r="C3" s="127" t="s">
        <v>584</v>
      </c>
    </row>
    <row r="4" spans="1:3">
      <c r="B4" s="127" t="s">
        <v>1</v>
      </c>
      <c r="C4" s="127" t="s">
        <v>585</v>
      </c>
    </row>
    <row r="5" spans="1:3">
      <c r="B5" s="127" t="s">
        <v>93</v>
      </c>
      <c r="C5" s="127" t="s">
        <v>586</v>
      </c>
    </row>
    <row r="6" spans="1:3">
      <c r="B6" s="127" t="s">
        <v>587</v>
      </c>
      <c r="C6" s="127" t="s">
        <v>580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zoomScale="125" workbookViewId="0">
      <selection activeCell="B8" sqref="B8"/>
    </sheetView>
  </sheetViews>
  <sheetFormatPr baseColWidth="10" defaultColWidth="8.83203125" defaultRowHeight="13"/>
  <cols>
    <col min="1" max="1" width="5" bestFit="1" customWidth="1"/>
    <col min="2" max="2" width="12.83203125" bestFit="1" customWidth="1"/>
  </cols>
  <sheetData>
    <row r="1" spans="1:3">
      <c r="A1" s="100" t="s">
        <v>66</v>
      </c>
    </row>
    <row r="2" spans="1:3">
      <c r="B2" t="s">
        <v>79</v>
      </c>
      <c r="C2" s="127" t="s">
        <v>533</v>
      </c>
    </row>
    <row r="3" spans="1:3">
      <c r="B3" t="s">
        <v>83</v>
      </c>
      <c r="C3" s="127" t="s">
        <v>628</v>
      </c>
    </row>
    <row r="4" spans="1:3">
      <c r="B4" t="s">
        <v>93</v>
      </c>
      <c r="C4" s="127" t="s">
        <v>630</v>
      </c>
    </row>
    <row r="5" spans="1:3">
      <c r="B5" s="127" t="s">
        <v>587</v>
      </c>
      <c r="C5" s="127" t="s">
        <v>629</v>
      </c>
    </row>
    <row r="6" spans="1:3">
      <c r="B6" s="127" t="s">
        <v>4</v>
      </c>
      <c r="C6" s="127" t="s">
        <v>631</v>
      </c>
    </row>
    <row r="7" spans="1:3">
      <c r="B7" s="127"/>
      <c r="C7" s="127" t="s">
        <v>632</v>
      </c>
    </row>
    <row r="8" spans="1:3">
      <c r="B8" t="s">
        <v>61</v>
      </c>
    </row>
    <row r="9" spans="1:3">
      <c r="C9" s="128" t="s">
        <v>246</v>
      </c>
    </row>
    <row r="10" spans="1:3">
      <c r="C10" t="s">
        <v>247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C25"/>
  <sheetViews>
    <sheetView zoomScale="190" zoomScaleNormal="190" workbookViewId="0"/>
  </sheetViews>
  <sheetFormatPr baseColWidth="10" defaultColWidth="8.83203125" defaultRowHeight="13"/>
  <cols>
    <col min="1" max="1" width="5" bestFit="1" customWidth="1"/>
    <col min="2" max="2" width="12.33203125" customWidth="1"/>
  </cols>
  <sheetData>
    <row r="1" spans="1:3">
      <c r="A1" s="17" t="s">
        <v>66</v>
      </c>
    </row>
    <row r="2" spans="1:3">
      <c r="B2" s="127" t="s">
        <v>582</v>
      </c>
      <c r="C2" s="127" t="s">
        <v>599</v>
      </c>
    </row>
    <row r="3" spans="1:3">
      <c r="B3" s="127" t="s">
        <v>583</v>
      </c>
      <c r="C3" s="127" t="s">
        <v>600</v>
      </c>
    </row>
    <row r="4" spans="1:3">
      <c r="B4" s="127" t="s">
        <v>587</v>
      </c>
      <c r="C4" s="127" t="s">
        <v>608</v>
      </c>
    </row>
    <row r="5" spans="1:3">
      <c r="B5" s="127" t="s">
        <v>1</v>
      </c>
      <c r="C5" s="127" t="s">
        <v>609</v>
      </c>
    </row>
    <row r="6" spans="1:3">
      <c r="B6" s="127" t="s">
        <v>93</v>
      </c>
      <c r="C6" s="127" t="s">
        <v>611</v>
      </c>
    </row>
    <row r="7" spans="1:3">
      <c r="B7" s="127" t="s">
        <v>614</v>
      </c>
      <c r="C7" s="127" t="s">
        <v>617</v>
      </c>
    </row>
    <row r="8" spans="1:3">
      <c r="B8" s="127" t="s">
        <v>4</v>
      </c>
      <c r="C8" s="127" t="s">
        <v>619</v>
      </c>
    </row>
    <row r="9" spans="1:3">
      <c r="B9" s="127"/>
      <c r="C9" s="127" t="s">
        <v>618</v>
      </c>
    </row>
    <row r="10" spans="1:3">
      <c r="B10" s="127"/>
      <c r="C10" s="127" t="s">
        <v>623</v>
      </c>
    </row>
    <row r="11" spans="1:3">
      <c r="B11" s="127"/>
      <c r="C11" s="127" t="s">
        <v>622</v>
      </c>
    </row>
    <row r="12" spans="1:3">
      <c r="B12" s="127"/>
      <c r="C12" s="127" t="s">
        <v>621</v>
      </c>
    </row>
    <row r="13" spans="1:3">
      <c r="B13" s="127"/>
      <c r="C13" s="127" t="s">
        <v>620</v>
      </c>
    </row>
    <row r="14" spans="1:3">
      <c r="B14" s="127"/>
      <c r="C14" s="127"/>
    </row>
    <row r="15" spans="1:3">
      <c r="B15" s="127" t="s">
        <v>61</v>
      </c>
    </row>
    <row r="16" spans="1:3">
      <c r="C16" s="128" t="s">
        <v>612</v>
      </c>
    </row>
    <row r="18" spans="3:3">
      <c r="C18" s="128" t="s">
        <v>613</v>
      </c>
    </row>
    <row r="20" spans="3:3">
      <c r="C20" s="128" t="s">
        <v>616</v>
      </c>
    </row>
    <row r="21" spans="3:3">
      <c r="C21" s="127" t="s">
        <v>615</v>
      </c>
    </row>
    <row r="23" spans="3:3">
      <c r="C23" s="128" t="s">
        <v>626</v>
      </c>
    </row>
    <row r="24" spans="3:3">
      <c r="C24" s="127" t="s">
        <v>624</v>
      </c>
    </row>
    <row r="25" spans="3:3">
      <c r="C25" s="127" t="s">
        <v>625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4" t="s">
        <v>66</v>
      </c>
    </row>
    <row r="2" spans="1:3">
      <c r="B2" s="1" t="s">
        <v>79</v>
      </c>
      <c r="C2" s="1" t="s">
        <v>34</v>
      </c>
    </row>
    <row r="3" spans="1:3">
      <c r="B3" s="1" t="s">
        <v>80</v>
      </c>
      <c r="C3" s="1" t="s">
        <v>134</v>
      </c>
    </row>
    <row r="4" spans="1:3">
      <c r="B4" s="1" t="s">
        <v>84</v>
      </c>
      <c r="C4" s="1" t="s">
        <v>133</v>
      </c>
    </row>
    <row r="5" spans="1:3">
      <c r="C5" s="1" t="s">
        <v>168</v>
      </c>
    </row>
    <row r="6" spans="1:3">
      <c r="B6" s="1" t="s">
        <v>1</v>
      </c>
      <c r="C6" s="1" t="s">
        <v>109</v>
      </c>
    </row>
    <row r="7" spans="1:3">
      <c r="B7" s="11" t="s">
        <v>93</v>
      </c>
      <c r="C7" s="11" t="s">
        <v>336</v>
      </c>
    </row>
    <row r="8" spans="1:3">
      <c r="B8" s="1" t="s">
        <v>3</v>
      </c>
      <c r="C8" s="1" t="s">
        <v>131</v>
      </c>
    </row>
    <row r="9" spans="1:3">
      <c r="C9" s="1" t="s">
        <v>169</v>
      </c>
    </row>
    <row r="10" spans="1:3">
      <c r="B10" s="1" t="s">
        <v>118</v>
      </c>
      <c r="C10" s="1" t="s">
        <v>187</v>
      </c>
    </row>
    <row r="11" spans="1:3">
      <c r="B11" s="1" t="s">
        <v>61</v>
      </c>
      <c r="C11" s="1" t="s">
        <v>135</v>
      </c>
    </row>
    <row r="12" spans="1:3">
      <c r="C12" s="1" t="s">
        <v>110</v>
      </c>
    </row>
    <row r="13" spans="1:3">
      <c r="C13" s="1" t="s">
        <v>111</v>
      </c>
    </row>
    <row r="14" spans="1:3">
      <c r="C14" s="1" t="s">
        <v>130</v>
      </c>
    </row>
    <row r="15" spans="1:3">
      <c r="C15" s="1" t="s">
        <v>132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baseColWidth="10" defaultColWidth="8.83203125" defaultRowHeight="13"/>
  <cols>
    <col min="1" max="1" width="5" bestFit="1" customWidth="1"/>
    <col min="2" max="2" width="14" bestFit="1" customWidth="1"/>
  </cols>
  <sheetData>
    <row r="1" spans="1:3">
      <c r="A1" s="17" t="s">
        <v>66</v>
      </c>
    </row>
    <row r="2" spans="1:3">
      <c r="B2" s="127" t="s">
        <v>582</v>
      </c>
      <c r="C2" s="127" t="s">
        <v>601</v>
      </c>
    </row>
    <row r="3" spans="1:3">
      <c r="B3" s="127" t="s">
        <v>583</v>
      </c>
      <c r="C3" s="127"/>
    </row>
    <row r="4" spans="1:3">
      <c r="B4" t="s">
        <v>80</v>
      </c>
      <c r="C4" t="s">
        <v>126</v>
      </c>
    </row>
    <row r="5" spans="1:3">
      <c r="B5" s="127" t="s">
        <v>1</v>
      </c>
      <c r="C5" s="127" t="s">
        <v>604</v>
      </c>
    </row>
    <row r="6" spans="1:3">
      <c r="B6" t="s">
        <v>93</v>
      </c>
      <c r="C6" s="127" t="s">
        <v>603</v>
      </c>
    </row>
    <row r="7" spans="1:3">
      <c r="B7" t="s">
        <v>81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Main</vt:lpstr>
      <vt:lpstr>Model</vt:lpstr>
      <vt:lpstr>Tagrisso</vt:lpstr>
      <vt:lpstr>Soliris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2171</vt:lpstr>
      <vt:lpstr>Iressa</vt:lpstr>
      <vt:lpstr>Zactima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2024-08-21T00:23:27Z</dcterms:modified>
</cp:coreProperties>
</file>