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8134841-7276-438A-B223-61B9C1B99B62}" xr6:coauthVersionLast="47" xr6:coauthVersionMax="47" xr10:uidLastSave="{00000000-0000-0000-0000-000000000000}"/>
  <bookViews>
    <workbookView xWindow="-26430" yWindow="2460" windowWidth="24870" windowHeight="17595" activeTab="1" xr2:uid="{DF105585-55F7-489F-BFB3-1F48B85ABA8A}"/>
  </bookViews>
  <sheets>
    <sheet name="Main" sheetId="1" r:id="rId1"/>
    <sheet name="Model" sheetId="2" r:id="rId2"/>
    <sheet name="I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40" i="2" l="1"/>
  <c r="AG40" i="2"/>
  <c r="AF40" i="2"/>
  <c r="AE40" i="2"/>
  <c r="AD40" i="2"/>
  <c r="AB25" i="2"/>
  <c r="AC25" i="2"/>
  <c r="AF3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U105" i="2"/>
  <c r="Z48" i="2"/>
  <c r="Y48" i="2"/>
  <c r="X48" i="2"/>
  <c r="W48" i="2"/>
  <c r="V48" i="2"/>
  <c r="E48" i="2"/>
  <c r="D48" i="2"/>
  <c r="C48" i="2"/>
  <c r="I48" i="2"/>
  <c r="H48" i="2"/>
  <c r="G48" i="2"/>
  <c r="F48" i="2"/>
  <c r="L48" i="2"/>
  <c r="K48" i="2"/>
  <c r="J48" i="2"/>
  <c r="P48" i="2"/>
  <c r="O48" i="2"/>
  <c r="N48" i="2"/>
  <c r="M48" i="2"/>
  <c r="T48" i="2"/>
  <c r="S48" i="2"/>
  <c r="R48" i="2"/>
  <c r="Q48" i="2"/>
  <c r="U48" i="2"/>
  <c r="Y30" i="2"/>
  <c r="X30" i="2"/>
  <c r="W30" i="2"/>
  <c r="Y29" i="2"/>
  <c r="X29" i="2"/>
  <c r="W29" i="2"/>
  <c r="Y28" i="2"/>
  <c r="Y31" i="2" s="1"/>
  <c r="X28" i="2"/>
  <c r="X31" i="2" s="1"/>
  <c r="W28" i="2"/>
  <c r="V66" i="2"/>
  <c r="W66" i="2" s="1"/>
  <c r="X66" i="2" s="1"/>
  <c r="Y66" i="2" s="1"/>
  <c r="Z66" i="2" s="1"/>
  <c r="U96" i="2"/>
  <c r="U92" i="2"/>
  <c r="U24" i="2"/>
  <c r="U14" i="2" s="1"/>
  <c r="T102" i="2"/>
  <c r="S102" i="2"/>
  <c r="R102" i="2"/>
  <c r="U102" i="2"/>
  <c r="U89" i="2"/>
  <c r="U88" i="2"/>
  <c r="U87" i="2"/>
  <c r="U84" i="2"/>
  <c r="U78" i="2"/>
  <c r="U77" i="2"/>
  <c r="U76" i="2"/>
  <c r="U75" i="2"/>
  <c r="U74" i="2"/>
  <c r="U63" i="2"/>
  <c r="U71" i="2" s="1"/>
  <c r="U57" i="2"/>
  <c r="U52" i="2"/>
  <c r="U59" i="2" s="1"/>
  <c r="M3" i="1"/>
  <c r="AK28" i="2"/>
  <c r="AL28" i="2" s="1"/>
  <c r="AM28" i="2" s="1"/>
  <c r="AN28" i="2" s="1"/>
  <c r="AO28" i="2" s="1"/>
  <c r="AP28" i="2" s="1"/>
  <c r="Q63" i="2"/>
  <c r="Q71" i="2" s="1"/>
  <c r="Q57" i="2"/>
  <c r="Q52" i="2"/>
  <c r="Q59" i="2" s="1"/>
  <c r="C35" i="2"/>
  <c r="C31" i="2"/>
  <c r="AH30" i="2"/>
  <c r="AH31" i="2" s="1"/>
  <c r="H30" i="2"/>
  <c r="H31" i="2" s="1"/>
  <c r="G30" i="2"/>
  <c r="G31" i="2" s="1"/>
  <c r="C25" i="2"/>
  <c r="C27" i="2" s="1"/>
  <c r="C47" i="2" s="1"/>
  <c r="G25" i="2"/>
  <c r="G27" i="2" s="1"/>
  <c r="G47" i="2" s="1"/>
  <c r="D31" i="2"/>
  <c r="D25" i="2"/>
  <c r="D27" i="2" s="1"/>
  <c r="D47" i="2" s="1"/>
  <c r="E31" i="2"/>
  <c r="I31" i="2"/>
  <c r="E25" i="2"/>
  <c r="E27" i="2" s="1"/>
  <c r="E47" i="2" s="1"/>
  <c r="AG35" i="2"/>
  <c r="AG31" i="2"/>
  <c r="O41" i="2"/>
  <c r="F31" i="2"/>
  <c r="J31" i="2"/>
  <c r="AG25" i="2"/>
  <c r="AG27" i="2" s="1"/>
  <c r="AG47" i="2" s="1"/>
  <c r="AF25" i="2"/>
  <c r="AE25" i="2"/>
  <c r="AD25" i="2"/>
  <c r="I25" i="2"/>
  <c r="M40" i="2" s="1"/>
  <c r="H25" i="2"/>
  <c r="L40" i="2" s="1"/>
  <c r="F25" i="2"/>
  <c r="F27" i="2" s="1"/>
  <c r="F47" i="2" s="1"/>
  <c r="J25" i="2"/>
  <c r="N40" i="2" s="1"/>
  <c r="T96" i="2"/>
  <c r="S96" i="2"/>
  <c r="P92" i="2"/>
  <c r="Q92" i="2" s="1"/>
  <c r="P88" i="2"/>
  <c r="Q88" i="2" s="1"/>
  <c r="P87" i="2"/>
  <c r="Q87" i="2" s="1"/>
  <c r="P84" i="2"/>
  <c r="Q84" i="2" s="1"/>
  <c r="P82" i="2"/>
  <c r="Q82" i="2" s="1"/>
  <c r="P78" i="2"/>
  <c r="Q78" i="2" s="1"/>
  <c r="P77" i="2"/>
  <c r="Q77" i="2" s="1"/>
  <c r="P76" i="2"/>
  <c r="Q76" i="2" s="1"/>
  <c r="P75" i="2"/>
  <c r="Q75" i="2" s="1"/>
  <c r="P74" i="2"/>
  <c r="Q74" i="2" s="1"/>
  <c r="P63" i="2"/>
  <c r="P71" i="2" s="1"/>
  <c r="P57" i="2"/>
  <c r="P52" i="2"/>
  <c r="O90" i="2"/>
  <c r="O91" i="2" s="1"/>
  <c r="O83" i="2"/>
  <c r="O85" i="2" s="1"/>
  <c r="O79" i="2"/>
  <c r="O80" i="2" s="1"/>
  <c r="O98" i="2" s="1"/>
  <c r="O63" i="2"/>
  <c r="O71" i="2" s="1"/>
  <c r="O57" i="2"/>
  <c r="O52" i="2"/>
  <c r="U41" i="2"/>
  <c r="U44" i="2"/>
  <c r="V23" i="2"/>
  <c r="V44" i="2" s="1"/>
  <c r="T24" i="2"/>
  <c r="T25" i="2" s="1"/>
  <c r="T40" i="2" s="1"/>
  <c r="T41" i="2"/>
  <c r="T90" i="2"/>
  <c r="T91" i="2" s="1"/>
  <c r="T83" i="2"/>
  <c r="T82" i="2"/>
  <c r="T85" i="2" s="1"/>
  <c r="T79" i="2"/>
  <c r="T80" i="2" s="1"/>
  <c r="T98" i="2" s="1"/>
  <c r="T63" i="2"/>
  <c r="T71" i="2" s="1"/>
  <c r="T57" i="2"/>
  <c r="T52" i="2"/>
  <c r="T59" i="2" s="1"/>
  <c r="T44" i="2"/>
  <c r="Q51" i="2" l="1"/>
  <c r="U51" i="2"/>
  <c r="Y24" i="2"/>
  <c r="Y25" i="2" s="1"/>
  <c r="U13" i="2"/>
  <c r="U25" i="2"/>
  <c r="T51" i="2"/>
  <c r="W31" i="2"/>
  <c r="X24" i="2"/>
  <c r="X25" i="2" s="1"/>
  <c r="T13" i="2"/>
  <c r="G40" i="2"/>
  <c r="T14" i="2"/>
  <c r="U15" i="2" s="1"/>
  <c r="I40" i="2"/>
  <c r="J40" i="2"/>
  <c r="H40" i="2"/>
  <c r="C32" i="2"/>
  <c r="C34" i="2" s="1"/>
  <c r="C36" i="2" s="1"/>
  <c r="C37" i="2" s="1"/>
  <c r="G32" i="2"/>
  <c r="G34" i="2" s="1"/>
  <c r="J27" i="2"/>
  <c r="J47" i="2" s="1"/>
  <c r="H27" i="2"/>
  <c r="H47" i="2" s="1"/>
  <c r="D32" i="2"/>
  <c r="D34" i="2" s="1"/>
  <c r="T93" i="2"/>
  <c r="P79" i="2"/>
  <c r="P83" i="2"/>
  <c r="Q83" i="2" s="1"/>
  <c r="Q85" i="2" s="1"/>
  <c r="I27" i="2"/>
  <c r="I47" i="2" s="1"/>
  <c r="O59" i="2"/>
  <c r="E32" i="2"/>
  <c r="E34" i="2" s="1"/>
  <c r="T27" i="2"/>
  <c r="T10" i="2"/>
  <c r="AG32" i="2"/>
  <c r="AG34" i="2" s="1"/>
  <c r="AG36" i="2" s="1"/>
  <c r="AG37" i="2" s="1"/>
  <c r="F32" i="2"/>
  <c r="F34" i="2" s="1"/>
  <c r="O93" i="2"/>
  <c r="P59" i="2"/>
  <c r="V22" i="2"/>
  <c r="P90" i="2"/>
  <c r="L31" i="2"/>
  <c r="K31" i="2"/>
  <c r="V30" i="2"/>
  <c r="Z30" i="2" s="1"/>
  <c r="V29" i="2"/>
  <c r="Z29" i="2" s="1"/>
  <c r="V28" i="2"/>
  <c r="Z28" i="2" s="1"/>
  <c r="V33" i="2"/>
  <c r="W33" i="2" s="1"/>
  <c r="X33" i="2" s="1"/>
  <c r="Y33" i="2" s="1"/>
  <c r="Z33" i="2" s="1"/>
  <c r="M31" i="2"/>
  <c r="R91" i="2"/>
  <c r="R83" i="2"/>
  <c r="R85" i="2" s="1"/>
  <c r="R79" i="2"/>
  <c r="R80" i="2" s="1"/>
  <c r="R98" i="2" s="1"/>
  <c r="N63" i="2"/>
  <c r="N71" i="2" s="1"/>
  <c r="R63" i="2"/>
  <c r="R71" i="2" s="1"/>
  <c r="R57" i="2"/>
  <c r="R52" i="2"/>
  <c r="N57" i="2"/>
  <c r="N52" i="2"/>
  <c r="AI44" i="2"/>
  <c r="AJ44" i="2"/>
  <c r="AJ25" i="2"/>
  <c r="AI25" i="2"/>
  <c r="AH25" i="2"/>
  <c r="R44" i="2"/>
  <c r="S44" i="2"/>
  <c r="AK30" i="2"/>
  <c r="AL30" i="2" s="1"/>
  <c r="AM30" i="2" s="1"/>
  <c r="AN30" i="2" s="1"/>
  <c r="AO30" i="2" s="1"/>
  <c r="AP30" i="2" s="1"/>
  <c r="AQ30" i="2" s="1"/>
  <c r="AR30" i="2" s="1"/>
  <c r="AS30" i="2" s="1"/>
  <c r="AK29" i="2"/>
  <c r="AL29" i="2" s="1"/>
  <c r="AM29" i="2" s="1"/>
  <c r="AN29" i="2" s="1"/>
  <c r="AO29" i="2" s="1"/>
  <c r="AP29" i="2" s="1"/>
  <c r="AQ29" i="2" s="1"/>
  <c r="AR29" i="2" s="1"/>
  <c r="AS29" i="2" s="1"/>
  <c r="AJ31" i="2"/>
  <c r="AI31" i="2"/>
  <c r="AE2" i="2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N31" i="2"/>
  <c r="N27" i="2"/>
  <c r="N47" i="2" s="1"/>
  <c r="M27" i="2"/>
  <c r="M47" i="2" s="1"/>
  <c r="L27" i="2"/>
  <c r="L47" i="2" s="1"/>
  <c r="R27" i="2"/>
  <c r="R47" i="2" s="1"/>
  <c r="Q27" i="2"/>
  <c r="Q47" i="2" s="1"/>
  <c r="P27" i="2"/>
  <c r="P47" i="2" s="1"/>
  <c r="R31" i="2"/>
  <c r="R45" i="2" s="1"/>
  <c r="Q31" i="2"/>
  <c r="Q45" i="2" s="1"/>
  <c r="P31" i="2"/>
  <c r="O31" i="2"/>
  <c r="P40" i="2"/>
  <c r="R41" i="2"/>
  <c r="Q41" i="2"/>
  <c r="P41" i="2"/>
  <c r="R40" i="2"/>
  <c r="Q40" i="2"/>
  <c r="S24" i="2"/>
  <c r="R24" i="2"/>
  <c r="V24" i="2" s="1"/>
  <c r="Z24" i="2" s="1"/>
  <c r="Z25" i="2" s="1"/>
  <c r="Q24" i="2"/>
  <c r="P24" i="2"/>
  <c r="P14" i="2" s="1"/>
  <c r="O24" i="2"/>
  <c r="O25" i="2" s="1"/>
  <c r="N24" i="2"/>
  <c r="N14" i="2" s="1"/>
  <c r="M24" i="2"/>
  <c r="M14" i="2" s="1"/>
  <c r="L24" i="2"/>
  <c r="L14" i="2" s="1"/>
  <c r="K24" i="2"/>
  <c r="K14" i="2" s="1"/>
  <c r="R10" i="2"/>
  <c r="Q10" i="2"/>
  <c r="P10" i="2"/>
  <c r="N10" i="2"/>
  <c r="M10" i="2"/>
  <c r="L10" i="2"/>
  <c r="S41" i="2"/>
  <c r="M4" i="1"/>
  <c r="M7" i="1" s="1"/>
  <c r="S90" i="2"/>
  <c r="S82" i="2"/>
  <c r="U82" i="2" s="1"/>
  <c r="S83" i="2"/>
  <c r="U83" i="2" s="1"/>
  <c r="S79" i="2"/>
  <c r="S80" i="2" s="1"/>
  <c r="S63" i="2"/>
  <c r="S71" i="2" s="1"/>
  <c r="S57" i="2"/>
  <c r="S52" i="2"/>
  <c r="S51" i="2" s="1"/>
  <c r="S31" i="2"/>
  <c r="Z31" i="2" l="1"/>
  <c r="S45" i="2"/>
  <c r="W45" i="2"/>
  <c r="S98" i="2"/>
  <c r="I32" i="2"/>
  <c r="I34" i="2" s="1"/>
  <c r="X40" i="2"/>
  <c r="X27" i="2"/>
  <c r="X26" i="2"/>
  <c r="Z27" i="2"/>
  <c r="Z47" i="2" s="1"/>
  <c r="Z32" i="2"/>
  <c r="Z34" i="2" s="1"/>
  <c r="Z35" i="2" s="1"/>
  <c r="S91" i="2"/>
  <c r="U90" i="2"/>
  <c r="U91" i="2" s="1"/>
  <c r="R59" i="2"/>
  <c r="R51" i="2"/>
  <c r="Y27" i="2"/>
  <c r="Y40" i="2"/>
  <c r="Q11" i="2"/>
  <c r="U79" i="2"/>
  <c r="U80" i="2" s="1"/>
  <c r="U98" i="2" s="1"/>
  <c r="U99" i="2" s="1"/>
  <c r="U85" i="2"/>
  <c r="P85" i="2"/>
  <c r="S13" i="2"/>
  <c r="W24" i="2"/>
  <c r="W25" i="2" s="1"/>
  <c r="P80" i="2"/>
  <c r="P98" i="2" s="1"/>
  <c r="Q79" i="2"/>
  <c r="Q80" i="2" s="1"/>
  <c r="Q98" i="2" s="1"/>
  <c r="T99" i="2" s="1"/>
  <c r="D36" i="2"/>
  <c r="D37" i="2" s="1"/>
  <c r="D49" i="2"/>
  <c r="E36" i="2"/>
  <c r="E37" i="2" s="1"/>
  <c r="E49" i="2"/>
  <c r="G36" i="2"/>
  <c r="G37" i="2" s="1"/>
  <c r="G49" i="2"/>
  <c r="P91" i="2"/>
  <c r="Q90" i="2"/>
  <c r="Q91" i="2" s="1"/>
  <c r="J32" i="2"/>
  <c r="J34" i="2" s="1"/>
  <c r="J36" i="2" s="1"/>
  <c r="J37" i="2" s="1"/>
  <c r="F36" i="2"/>
  <c r="F37" i="2" s="1"/>
  <c r="F49" i="2"/>
  <c r="C49" i="2"/>
  <c r="H32" i="2"/>
  <c r="H34" i="2" s="1"/>
  <c r="H49" i="2" s="1"/>
  <c r="H36" i="2"/>
  <c r="H37" i="2" s="1"/>
  <c r="I36" i="2"/>
  <c r="I37" i="2" s="1"/>
  <c r="I49" i="2"/>
  <c r="AI27" i="2"/>
  <c r="AI47" i="2" s="1"/>
  <c r="AI40" i="2"/>
  <c r="AG49" i="2"/>
  <c r="AH27" i="2"/>
  <c r="AH40" i="2"/>
  <c r="Q14" i="2"/>
  <c r="Q15" i="2" s="1"/>
  <c r="U16" i="2" s="1"/>
  <c r="U40" i="2"/>
  <c r="R14" i="2"/>
  <c r="V25" i="2"/>
  <c r="Z40" i="2" s="1"/>
  <c r="T31" i="2"/>
  <c r="AJ52" i="2"/>
  <c r="N59" i="2"/>
  <c r="AJ40" i="2"/>
  <c r="U31" i="2"/>
  <c r="T47" i="2"/>
  <c r="S25" i="2"/>
  <c r="R93" i="2"/>
  <c r="K25" i="2"/>
  <c r="AJ27" i="2"/>
  <c r="AJ47" i="2" s="1"/>
  <c r="M32" i="2"/>
  <c r="M34" i="2" s="1"/>
  <c r="M49" i="2" s="1"/>
  <c r="Q13" i="2"/>
  <c r="O14" i="2"/>
  <c r="O15" i="2" s="1"/>
  <c r="R11" i="2"/>
  <c r="V38" i="2"/>
  <c r="W38" i="2" s="1"/>
  <c r="X38" i="2" s="1"/>
  <c r="Y38" i="2" s="1"/>
  <c r="Z38" i="2" s="1"/>
  <c r="L32" i="2"/>
  <c r="L34" i="2" s="1"/>
  <c r="P32" i="2"/>
  <c r="P34" i="2" s="1"/>
  <c r="V31" i="2"/>
  <c r="V45" i="2" s="1"/>
  <c r="AL31" i="2"/>
  <c r="AK31" i="2"/>
  <c r="Q32" i="2"/>
  <c r="Q34" i="2" s="1"/>
  <c r="R32" i="2"/>
  <c r="R34" i="2" s="1"/>
  <c r="O13" i="2"/>
  <c r="P13" i="2"/>
  <c r="O27" i="2"/>
  <c r="N32" i="2"/>
  <c r="N34" i="2" s="1"/>
  <c r="M15" i="2"/>
  <c r="M13" i="2"/>
  <c r="S14" i="2"/>
  <c r="T15" i="2" s="1"/>
  <c r="R13" i="2"/>
  <c r="N13" i="2"/>
  <c r="L13" i="2"/>
  <c r="K13" i="2"/>
  <c r="L15" i="2"/>
  <c r="N15" i="2"/>
  <c r="M11" i="2"/>
  <c r="N11" i="2"/>
  <c r="O10" i="2"/>
  <c r="P11" i="2" s="1"/>
  <c r="S85" i="2"/>
  <c r="S93" i="2" s="1"/>
  <c r="S59" i="2"/>
  <c r="U45" i="2" l="1"/>
  <c r="Y45" i="2"/>
  <c r="T32" i="2"/>
  <c r="T34" i="2" s="1"/>
  <c r="T49" i="2" s="1"/>
  <c r="T45" i="2"/>
  <c r="X45" i="2"/>
  <c r="Z45" i="2"/>
  <c r="Z36" i="2"/>
  <c r="Z49" i="2"/>
  <c r="Z37" i="2"/>
  <c r="W27" i="2"/>
  <c r="W40" i="2"/>
  <c r="W26" i="2"/>
  <c r="Y47" i="2"/>
  <c r="Y32" i="2"/>
  <c r="Y34" i="2" s="1"/>
  <c r="Y35" i="2" s="1"/>
  <c r="Y26" i="2"/>
  <c r="P93" i="2"/>
  <c r="X47" i="2"/>
  <c r="X32" i="2"/>
  <c r="X34" i="2" s="1"/>
  <c r="X35" i="2" s="1"/>
  <c r="U93" i="2"/>
  <c r="Z26" i="2"/>
  <c r="Q12" i="2"/>
  <c r="S10" i="2"/>
  <c r="S11" i="2" s="1"/>
  <c r="S40" i="2"/>
  <c r="AK25" i="2"/>
  <c r="AL25" i="2" s="1"/>
  <c r="AM25" i="2" s="1"/>
  <c r="AN25" i="2" s="1"/>
  <c r="AO25" i="2" s="1"/>
  <c r="S15" i="2"/>
  <c r="S16" i="2" s="1"/>
  <c r="U27" i="2"/>
  <c r="U32" i="2" s="1"/>
  <c r="U34" i="2" s="1"/>
  <c r="U10" i="2"/>
  <c r="U11" i="2" s="1"/>
  <c r="U12" i="2" s="1"/>
  <c r="J49" i="2"/>
  <c r="S99" i="2"/>
  <c r="R99" i="2"/>
  <c r="O40" i="2"/>
  <c r="K40" i="2"/>
  <c r="AI32" i="2"/>
  <c r="AI34" i="2" s="1"/>
  <c r="AI36" i="2" s="1"/>
  <c r="AI37" i="2" s="1"/>
  <c r="Q93" i="2"/>
  <c r="R15" i="2"/>
  <c r="R16" i="2" s="1"/>
  <c r="AH47" i="2"/>
  <c r="AH32" i="2"/>
  <c r="AH34" i="2" s="1"/>
  <c r="L36" i="2"/>
  <c r="L37" i="2" s="1"/>
  <c r="L49" i="2"/>
  <c r="AJ32" i="2"/>
  <c r="AJ34" i="2" s="1"/>
  <c r="AJ36" i="2" s="1"/>
  <c r="AJ37" i="2" s="1"/>
  <c r="M36" i="2"/>
  <c r="M37" i="2" s="1"/>
  <c r="V27" i="2"/>
  <c r="V47" i="2" s="1"/>
  <c r="V26" i="2"/>
  <c r="V40" i="2"/>
  <c r="P15" i="2"/>
  <c r="T16" i="2" s="1"/>
  <c r="N36" i="2"/>
  <c r="N37" i="2" s="1"/>
  <c r="N49" i="2"/>
  <c r="R36" i="2"/>
  <c r="R49" i="2"/>
  <c r="K10" i="2"/>
  <c r="L11" i="2" s="1"/>
  <c r="P12" i="2" s="1"/>
  <c r="K27" i="2"/>
  <c r="AK38" i="2"/>
  <c r="AL38" i="2" s="1"/>
  <c r="AM38" i="2" s="1"/>
  <c r="AN38" i="2" s="1"/>
  <c r="R12" i="2"/>
  <c r="Q36" i="2"/>
  <c r="Q49" i="2"/>
  <c r="P36" i="2"/>
  <c r="P49" i="2"/>
  <c r="O32" i="2"/>
  <c r="O34" i="2" s="1"/>
  <c r="O47" i="2"/>
  <c r="AM31" i="2"/>
  <c r="Q16" i="2"/>
  <c r="S27" i="2"/>
  <c r="O11" i="2"/>
  <c r="T36" i="2" l="1"/>
  <c r="X36" i="2"/>
  <c r="X37" i="2" s="1"/>
  <c r="X49" i="2"/>
  <c r="Y36" i="2"/>
  <c r="Y37" i="2" s="1"/>
  <c r="Y49" i="2"/>
  <c r="T11" i="2"/>
  <c r="T12" i="2" s="1"/>
  <c r="AI49" i="2"/>
  <c r="W47" i="2"/>
  <c r="W32" i="2"/>
  <c r="W34" i="2" s="1"/>
  <c r="W35" i="2" s="1"/>
  <c r="AJ49" i="2"/>
  <c r="V32" i="2"/>
  <c r="V34" i="2" s="1"/>
  <c r="V35" i="2" s="1"/>
  <c r="V49" i="2" s="1"/>
  <c r="S12" i="2"/>
  <c r="P16" i="2"/>
  <c r="Q37" i="2"/>
  <c r="Q73" i="2"/>
  <c r="AH36" i="2"/>
  <c r="AH37" i="2" s="1"/>
  <c r="AH49" i="2"/>
  <c r="U49" i="2"/>
  <c r="U47" i="2"/>
  <c r="P37" i="2"/>
  <c r="P73" i="2"/>
  <c r="V36" i="2"/>
  <c r="T37" i="2"/>
  <c r="T73" i="2"/>
  <c r="O36" i="2"/>
  <c r="O49" i="2"/>
  <c r="K47" i="2"/>
  <c r="K32" i="2"/>
  <c r="K34" i="2" s="1"/>
  <c r="R37" i="2"/>
  <c r="R73" i="2"/>
  <c r="S32" i="2"/>
  <c r="S34" i="2" s="1"/>
  <c r="S47" i="2"/>
  <c r="AO38" i="2"/>
  <c r="AK40" i="2"/>
  <c r="AK27" i="2"/>
  <c r="AK47" i="2" s="1"/>
  <c r="AN31" i="2"/>
  <c r="W36" i="2" l="1"/>
  <c r="W37" i="2" s="1"/>
  <c r="W49" i="2"/>
  <c r="V37" i="2"/>
  <c r="V52" i="2"/>
  <c r="K36" i="2"/>
  <c r="K37" i="2" s="1"/>
  <c r="K49" i="2"/>
  <c r="O37" i="2"/>
  <c r="O73" i="2"/>
  <c r="U36" i="2"/>
  <c r="U73" i="2" s="1"/>
  <c r="S36" i="2"/>
  <c r="S37" i="2" s="1"/>
  <c r="S49" i="2"/>
  <c r="AP38" i="2"/>
  <c r="AO31" i="2"/>
  <c r="AK32" i="2"/>
  <c r="AK34" i="2" s="1"/>
  <c r="AL27" i="2"/>
  <c r="AL47" i="2" s="1"/>
  <c r="AL40" i="2"/>
  <c r="AK26" i="2"/>
  <c r="W52" i="2" l="1"/>
  <c r="V51" i="2"/>
  <c r="S73" i="2"/>
  <c r="U37" i="2"/>
  <c r="AK52" i="2"/>
  <c r="AL33" i="2" s="1"/>
  <c r="AK35" i="2"/>
  <c r="AK49" i="2" s="1"/>
  <c r="AQ38" i="2"/>
  <c r="AQ28" i="2"/>
  <c r="AP31" i="2"/>
  <c r="AL26" i="2"/>
  <c r="AL32" i="2"/>
  <c r="AM27" i="2"/>
  <c r="AM47" i="2" s="1"/>
  <c r="AM40" i="2"/>
  <c r="X52" i="2" l="1"/>
  <c r="W51" i="2"/>
  <c r="AL34" i="2"/>
  <c r="AL35" i="2" s="1"/>
  <c r="AL49" i="2" s="1"/>
  <c r="AK36" i="2"/>
  <c r="AK37" i="2" s="1"/>
  <c r="AR38" i="2"/>
  <c r="AM26" i="2"/>
  <c r="AM32" i="2"/>
  <c r="AN27" i="2"/>
  <c r="AN47" i="2" s="1"/>
  <c r="AN40" i="2"/>
  <c r="AR28" i="2"/>
  <c r="AQ31" i="2"/>
  <c r="X51" i="2" l="1"/>
  <c r="Y52" i="2"/>
  <c r="AL36" i="2"/>
  <c r="AS38" i="2"/>
  <c r="AS28" i="2"/>
  <c r="AS31" i="2" s="1"/>
  <c r="AR31" i="2"/>
  <c r="AN26" i="2"/>
  <c r="AN32" i="2"/>
  <c r="AP25" i="2"/>
  <c r="AO27" i="2"/>
  <c r="AO47" i="2" s="1"/>
  <c r="AO40" i="2"/>
  <c r="Y51" i="2" l="1"/>
  <c r="Z52" i="2"/>
  <c r="Z51" i="2" s="1"/>
  <c r="AL52" i="2"/>
  <c r="AM33" i="2" s="1"/>
  <c r="AL37" i="2"/>
  <c r="AQ25" i="2"/>
  <c r="AP27" i="2"/>
  <c r="AP26" i="2" s="1"/>
  <c r="AP40" i="2"/>
  <c r="AO26" i="2"/>
  <c r="AO32" i="2"/>
  <c r="AP32" i="2" l="1"/>
  <c r="AP47" i="2"/>
  <c r="AM34" i="2"/>
  <c r="AR25" i="2"/>
  <c r="AQ27" i="2"/>
  <c r="AQ26" i="2" s="1"/>
  <c r="AQ40" i="2"/>
  <c r="AQ32" i="2" l="1"/>
  <c r="AQ47" i="2"/>
  <c r="AM35" i="2"/>
  <c r="AM49" i="2" s="1"/>
  <c r="AS25" i="2"/>
  <c r="AR27" i="2"/>
  <c r="AR26" i="2" s="1"/>
  <c r="AR40" i="2"/>
  <c r="AR32" i="2" l="1"/>
  <c r="AR47" i="2"/>
  <c r="AM36" i="2"/>
  <c r="AS40" i="2"/>
  <c r="AS27" i="2"/>
  <c r="AS32" i="2" l="1"/>
  <c r="AS47" i="2"/>
  <c r="AS26" i="2"/>
  <c r="AM37" i="2"/>
  <c r="AM52" i="2"/>
  <c r="AN33" i="2" s="1"/>
  <c r="AN34" i="2" l="1"/>
  <c r="AN35" i="2" l="1"/>
  <c r="AN49" i="2" s="1"/>
  <c r="AN36" i="2" l="1"/>
  <c r="AN37" i="2" l="1"/>
  <c r="AN52" i="2"/>
  <c r="AO33" i="2" s="1"/>
  <c r="AO34" i="2" s="1"/>
  <c r="AO35" i="2" l="1"/>
  <c r="AO49" i="2" s="1"/>
  <c r="AO36" i="2" l="1"/>
  <c r="AO37" i="2" s="1"/>
  <c r="AO52" i="2"/>
  <c r="AP33" i="2" s="1"/>
  <c r="AP34" i="2" l="1"/>
  <c r="AP35" i="2" l="1"/>
  <c r="AP49" i="2" s="1"/>
  <c r="AP36" i="2" l="1"/>
  <c r="AP37" i="2" l="1"/>
  <c r="AP52" i="2"/>
  <c r="AQ33" i="2" s="1"/>
  <c r="AQ34" i="2" l="1"/>
  <c r="AQ35" i="2" l="1"/>
  <c r="AQ49" i="2" s="1"/>
  <c r="AQ36" i="2" l="1"/>
  <c r="AQ37" i="2" l="1"/>
  <c r="AQ52" i="2"/>
  <c r="AR33" i="2" s="1"/>
  <c r="AR34" i="2" l="1"/>
  <c r="AR35" i="2" l="1"/>
  <c r="AR49" i="2" s="1"/>
  <c r="AR36" i="2" l="1"/>
  <c r="AR37" i="2" l="1"/>
  <c r="AR52" i="2"/>
  <c r="AS33" i="2" s="1"/>
  <c r="AS34" i="2" l="1"/>
  <c r="AS35" i="2" l="1"/>
  <c r="AS49" i="2" s="1"/>
  <c r="AS36" i="2" l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BJ36" i="2" s="1"/>
  <c r="BK36" i="2" s="1"/>
  <c r="BL36" i="2" s="1"/>
  <c r="BM36" i="2" s="1"/>
  <c r="BN36" i="2" s="1"/>
  <c r="BO36" i="2" s="1"/>
  <c r="BP36" i="2" s="1"/>
  <c r="BQ36" i="2" s="1"/>
  <c r="BR36" i="2" s="1"/>
  <c r="BS36" i="2" s="1"/>
  <c r="BT36" i="2" s="1"/>
  <c r="BU36" i="2" s="1"/>
  <c r="BV36" i="2" s="1"/>
  <c r="BW36" i="2" s="1"/>
  <c r="BX36" i="2" s="1"/>
  <c r="BY36" i="2" s="1"/>
  <c r="BZ36" i="2" s="1"/>
  <c r="CA36" i="2" s="1"/>
  <c r="CB36" i="2" s="1"/>
  <c r="CC36" i="2" s="1"/>
  <c r="CD36" i="2" s="1"/>
  <c r="CE36" i="2" s="1"/>
  <c r="CF36" i="2" s="1"/>
  <c r="CG36" i="2" s="1"/>
  <c r="CH36" i="2" s="1"/>
  <c r="CI36" i="2" s="1"/>
  <c r="CJ36" i="2" s="1"/>
  <c r="CK36" i="2" s="1"/>
  <c r="CL36" i="2" s="1"/>
  <c r="CM36" i="2" s="1"/>
  <c r="CN36" i="2" s="1"/>
  <c r="CO36" i="2" s="1"/>
  <c r="CP36" i="2" s="1"/>
  <c r="CQ36" i="2" s="1"/>
  <c r="CR36" i="2" s="1"/>
  <c r="CS36" i="2" s="1"/>
  <c r="CT36" i="2" s="1"/>
  <c r="CU36" i="2" s="1"/>
  <c r="CV36" i="2" s="1"/>
  <c r="CW36" i="2" s="1"/>
  <c r="AX48" i="2" l="1"/>
  <c r="AX52" i="2" s="1"/>
  <c r="AX53" i="2" s="1"/>
  <c r="AS37" i="2"/>
  <c r="AS5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tc={FBBFA768-8F12-42F0-9C0B-EE828045336C}</author>
    <author>tc={0E3DC74B-1EA6-4DE1-9FC1-22223C626216}</author>
    <author>tc={BD43B5D8-C5C9-4E17-8362-9EF57E1B35E5}</author>
    <author>tc={8C543166-7E6A-448B-B7E3-720F51E35135}</author>
    <author>tc={37B1D132-4F99-4BFA-B9DE-FA9D39796D75}</author>
    <author>tc={9BAC047B-9C13-4083-9E91-56CC4B86282A}</author>
  </authors>
  <commentList>
    <comment ref="T24" authorId="0" shapeId="0" xr:uid="{FBBFA768-8F12-42F0-9C0B-EE82804533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Reels &gt;1B run-rate</t>
      </text>
    </comment>
    <comment ref="R25" authorId="1" shapeId="0" xr:uid="{0E3DC74B-1EA6-4DE1-9FC1-22223C626216}">
      <text>
        <t>[Threaded comment]
Your version of Excel allows you to read this threaded comment; however, any edits to it will get removed if the file is opened in a newer version of Excel. Learn more: https://go.microsoft.com/fwlink/?linkid=870924
Comment:
    Q321: 31.5B-34B guidance</t>
      </text>
    </comment>
    <comment ref="S25" authorId="2" shapeId="0" xr:uid="{BD43B5D8-C5C9-4E17-8362-9EF57E1B35E5}">
      <text>
        <t>[Threaded comment]
Your version of Excel allows you to read this threaded comment; however, any edits to it will get removed if the file is opened in a newer version of Excel. Learn more: https://go.microsoft.com/fwlink/?linkid=870924
Comment:
    Q421 guidance: 27-29B</t>
      </text>
    </comment>
    <comment ref="T25" authorId="3" shapeId="0" xr:uid="{8C543166-7E6A-448B-B7E3-720F51E35135}">
      <text>
        <t>[Threaded comment]
Your version of Excel allows you to read this threaded comment; however, any edits to it will get removed if the file is opened in a newer version of Excel. Learn more: https://go.microsoft.com/fwlink/?linkid=870924
Comment:
    Q122 guidance: 28-30B</t>
      </text>
    </comment>
    <comment ref="U25" authorId="4" shapeId="0" xr:uid="{37B1D132-4F99-4BFA-B9DE-FA9D39796D75}">
      <text>
        <t>[Threaded comment]
Your version of Excel allows you to read this threaded comment; however, any edits to it will get removed if the file is opened in a newer version of Excel. Learn more: https://go.microsoft.com/fwlink/?linkid=870924
Comment:
    Q222 guidance: 26-28.5B</t>
      </text>
    </comment>
    <comment ref="V25" authorId="5" shapeId="0" xr:uid="{9BAC047B-9C13-4083-9E91-56CC4B86282A}">
      <text>
        <t>[Threaded comment]
Your version of Excel allows you to read this threaded comment; however, any edits to it will get removed if the file is opened in a newer version of Excel. Learn more: https://go.microsoft.com/fwlink/?linkid=870924
Comment:
    Q322: 30.0-32.5B</t>
      </text>
    </comment>
  </commentList>
</comments>
</file>

<file path=xl/sharedStrings.xml><?xml version="1.0" encoding="utf-8"?>
<sst xmlns="http://schemas.openxmlformats.org/spreadsheetml/2006/main" count="242" uniqueCount="205">
  <si>
    <t xml:space="preserve"> </t>
  </si>
  <si>
    <t>Price</t>
  </si>
  <si>
    <t>Shares</t>
  </si>
  <si>
    <t>MC</t>
  </si>
  <si>
    <t>Cash</t>
  </si>
  <si>
    <t>Debt</t>
  </si>
  <si>
    <t>EV</t>
  </si>
  <si>
    <t>Main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</si>
  <si>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</si>
  <si>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</si>
  <si>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</si>
  <si>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</si>
  <si>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</si>
  <si>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</si>
  <si>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</si>
  <si>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</si>
  <si>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</si>
  <si>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</si>
  <si>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</si>
  <si>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</si>
  <si>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</si>
  <si>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</si>
  <si>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</si>
  <si>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</si>
  <si>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Revenue</t>
  </si>
  <si>
    <t>Family DAP</t>
  </si>
  <si>
    <t>Family MAP</t>
  </si>
  <si>
    <t>Facebook DAU</t>
  </si>
  <si>
    <t>Facebook MAU</t>
  </si>
  <si>
    <t>Facebook</t>
  </si>
  <si>
    <t>Instagram</t>
  </si>
  <si>
    <t>WhatsApp</t>
  </si>
  <si>
    <t>Horizon</t>
  </si>
  <si>
    <t>Quest</t>
  </si>
  <si>
    <t>Reality Labs</t>
  </si>
  <si>
    <t>Headcount</t>
  </si>
  <si>
    <t>COGS</t>
  </si>
  <si>
    <t>Gross Margin</t>
  </si>
  <si>
    <t>R&amp;D</t>
  </si>
  <si>
    <t>G&amp;A</t>
  </si>
  <si>
    <t>M&amp;S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</si>
  <si>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</si>
  <si>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</si>
  <si>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</si>
  <si>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</si>
  <si>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</si>
  <si>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</si>
  <si>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</si>
  <si>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y/y</t>
  </si>
  <si>
    <t>AR</t>
  </si>
  <si>
    <t>Prepaids</t>
  </si>
  <si>
    <t>PPE</t>
  </si>
  <si>
    <t>Lease ROU</t>
  </si>
  <si>
    <t>Assets</t>
  </si>
  <si>
    <t>Intangibles</t>
  </si>
  <si>
    <t>Other</t>
  </si>
  <si>
    <t>AP</t>
  </si>
  <si>
    <t>Partners Payable</t>
  </si>
  <si>
    <t>Leases</t>
  </si>
  <si>
    <t>AE</t>
  </si>
  <si>
    <t>DR</t>
  </si>
  <si>
    <t>L+SE</t>
  </si>
  <si>
    <t>Retained</t>
  </si>
  <si>
    <t>AOCL</t>
  </si>
  <si>
    <t>PIC</t>
  </si>
  <si>
    <t>OL</t>
  </si>
  <si>
    <t>Model NI</t>
  </si>
  <si>
    <t>Reported NI</t>
  </si>
  <si>
    <t>CFFO</t>
  </si>
  <si>
    <t>D&amp;A</t>
  </si>
  <si>
    <t>SBC</t>
  </si>
  <si>
    <t>DT</t>
  </si>
  <si>
    <t>WC</t>
  </si>
  <si>
    <t>CapEx</t>
  </si>
  <si>
    <t>Investing</t>
  </si>
  <si>
    <t>Acquisitions</t>
  </si>
  <si>
    <t>CFFI</t>
  </si>
  <si>
    <t>SBC Taxes</t>
  </si>
  <si>
    <t>Buybacks</t>
  </si>
  <si>
    <t>CFFF</t>
  </si>
  <si>
    <t>FX</t>
  </si>
  <si>
    <t>CIC</t>
  </si>
  <si>
    <t>Ads</t>
  </si>
  <si>
    <t>Reality</t>
  </si>
  <si>
    <t>Family MARPU</t>
  </si>
  <si>
    <t>Family DARPU</t>
  </si>
  <si>
    <t>CEO: Mark Zuckerburg since 2004</t>
  </si>
  <si>
    <t>COO: Javier Olivian replaces Sheryl Sandberg who resigns 5/28/22</t>
  </si>
  <si>
    <t>2012: IPO</t>
  </si>
  <si>
    <t>2/4/2004: Founded</t>
  </si>
  <si>
    <t>Class A</t>
  </si>
  <si>
    <t>Class B</t>
  </si>
  <si>
    <t>BOD: Andreessen, Alford, Houston, Killefer, Kimmitt, Sandberg, Travis, Xu</t>
  </si>
  <si>
    <t>Menlo Park, CA</t>
  </si>
  <si>
    <t>650-543-4800</t>
  </si>
  <si>
    <t>US Revenue y/y</t>
  </si>
  <si>
    <t>Ad Pricing y/y</t>
  </si>
  <si>
    <t>Ad Volume y/y</t>
  </si>
  <si>
    <t>Global ARPP</t>
  </si>
  <si>
    <t xml:space="preserve">  2Q MA</t>
  </si>
  <si>
    <t xml:space="preserve">  y/y</t>
  </si>
  <si>
    <t xml:space="preserve">  US/CA</t>
  </si>
  <si>
    <t>IR: Deborah Crawford investor@fb.com</t>
  </si>
  <si>
    <t>USCA Ads</t>
  </si>
  <si>
    <t>EU Ads</t>
  </si>
  <si>
    <t>20% of time Reels</t>
  </si>
  <si>
    <t>50% of time Video</t>
  </si>
  <si>
    <t>APAC Ads</t>
  </si>
  <si>
    <t>Reality y/y</t>
  </si>
  <si>
    <t>CFO: Dave Wehner</t>
  </si>
  <si>
    <t>Tax Rate</t>
  </si>
  <si>
    <t>ROIC</t>
  </si>
  <si>
    <t>NPV</t>
  </si>
  <si>
    <t>Discount</t>
  </si>
  <si>
    <t>Terminal</t>
  </si>
  <si>
    <t>Share</t>
  </si>
  <si>
    <t>Upside</t>
  </si>
  <si>
    <t>Q123</t>
  </si>
  <si>
    <t>Q223</t>
  </si>
  <si>
    <t>Q323</t>
  </si>
  <si>
    <t>Q423</t>
  </si>
  <si>
    <t>ROW Ads</t>
  </si>
  <si>
    <t>Q418</t>
  </si>
  <si>
    <t>Q318</t>
  </si>
  <si>
    <t>Q218</t>
  </si>
  <si>
    <t>Q118</t>
  </si>
  <si>
    <t>Stories?</t>
  </si>
  <si>
    <t>FCF</t>
  </si>
  <si>
    <t>FCF TTM</t>
  </si>
  <si>
    <t>Number</t>
  </si>
  <si>
    <t>Title</t>
  </si>
  <si>
    <t>Filed</t>
  </si>
  <si>
    <t>Issued</t>
  </si>
  <si>
    <t>Monitoring circuit including cascaded s-boxes for fault injection attack protection</t>
  </si>
  <si>
    <t>Entity</t>
  </si>
  <si>
    <t>FACEBOOK TECHNOLOGIES, LLC (Menlo Park, CA)</t>
  </si>
  <si>
    <t>Inventors</t>
  </si>
  <si>
    <t>Satpathy; Sudhir (Redmond, WA), Powiertowski; Wojciech Stefan (Kirkland, WA), Modadugu; Nagendra Gupta (San Francisco, CA), Upasani; Neeraj (Sammamish, WA)</t>
  </si>
  <si>
    <t>Relevance</t>
  </si>
  <si>
    <t>Virtual reality-based augmented reality development system</t>
  </si>
  <si>
    <t>Bond; Lars Anders (San Mateo, CA), Georg; Francesco (Mountain View, CA), Ocampo; Christopher John (Dublin, CA), Slater; Michael (Nottingham, GB), Smet; Stef Marc (London, GB), Verlinde; Hannes (Post-MSX, GB)</t>
  </si>
  <si>
    <t xml:space="preserve">	FACEBOOK TECHNOLOGIES, LLC (Menlo Park, CA)</t>
  </si>
  <si>
    <t>Lu; Lu (Kirkland, WA), Li; Gang (Bothwell, WA), Lee; Seungjae (Redmond, WA), Wang; Mengfi (Seattle, WA)</t>
  </si>
  <si>
    <t>Pancake lens including diffuser</t>
  </si>
  <si>
    <t>Gollier; Jacques (Sammamish, WA), Geng; Ying (Bellevue, WA), Chen; Dong (Foster City, CA)</t>
  </si>
  <si>
    <t>High-resolution liquid crystal displays</t>
  </si>
  <si>
    <t xml:space="preserve">	Facebook Technologies, LLC (Menlo Park, CA)</t>
  </si>
  <si>
    <t>Fluidic valve</t>
  </si>
  <si>
    <t>Facebook Technologies, LLC (Menlo Park, CA)</t>
  </si>
  <si>
    <t xml:space="preserve">	Schied; Christoph Hermann (Seattle, WA), Kaplanyan; Anton S. (Redmond, WA)</t>
  </si>
  <si>
    <t>Systems and methods for graphics rendering based on machine learning</t>
  </si>
  <si>
    <t xml:space="preserve">	Hirsh; Seth Michael (Seattle, WA), Chao; Qing (Redmond, WA), Cavin; Robert Dale (Seattle, WA), Guestrin; Elias Daniel (Redmond, WA), Hall; Michael (Bellevue, WA)</t>
  </si>
  <si>
    <t>Gaze detection pipeline in an artificial reality system</t>
  </si>
  <si>
    <t xml:space="preserve">	Bikumandla; Manoj (Union City, CA), Bardagjy; Andrew Matthew (Seattle, WA), Hazegh; Cina (Walnut Creek, CA)</t>
  </si>
  <si>
    <t>Systems and methods for optical demodulation in a depth-sensing device</t>
  </si>
  <si>
    <t>Systems and methods for temporal anti-aliasing</t>
  </si>
  <si>
    <t>Ning; Tianxin (Mountain View, CA), Jiang; Haomiao (Sunnyvale, CA), Bastani; Behnam (Palo Alto, CA)</t>
  </si>
  <si>
    <t xml:space="preserve">	Facebook Technologies, LLC. (Menlo Park, CA)</t>
  </si>
  <si>
    <t>Buckley; Edward (Redmond, WA)</t>
  </si>
  <si>
    <t>Systems and methods for mask-based spatio-temporal dithering</t>
  </si>
  <si>
    <t>Artificial reality system using a multisurface display protocol to communicate surface data</t>
  </si>
  <si>
    <t>Tamama; Hideo (Kirkland, WA), Mathur; Alok Kumar (Cupertino, CA), Clohset; Steve John (San Francisco, CA)</t>
  </si>
  <si>
    <t>Goodall; Todd (Mill Valley, CA), Kaplanyan; Anton S (Redmond, WA), Patney; Anjul (Kirkland, WA), Sriwasansak; Jamorn (Redmond, WA)</t>
  </si>
  <si>
    <t>Efficient motion-compensated spatiotemporal sampling</t>
  </si>
  <si>
    <t>Selfon; Scott Phillip (Kirkland, WA)</t>
  </si>
  <si>
    <t>Systems and methods for audio adjustment</t>
  </si>
  <si>
    <t>Facebook Technologies, LLC. (Menlo Park, CA)</t>
  </si>
  <si>
    <t>Atlas; Charlene Mary (Redmond, WA), Bachy; Romain (Seattle, WA), MacKenzie; Kevin James (Sammamish, WA), Matsuda; Nathan (Seattle, WA), Murdison; Thomas Scott (Kirkland, WA), Quigley; Ocean (Oakland, CA), Sears; Jasmine Soria (Kirkland, WA)</t>
  </si>
  <si>
    <t>Adaptive rendering in artificial reality environments</t>
  </si>
  <si>
    <t xml:space="preserve">	Simon Kreuz; Tomas (Pittsburgh, PA), Saragih; Jason (Pittsburgh, PA), Lombardi; Stephen Anthony (Pittsburgh, PA), Ma; Shugao (Pittsburgh, PA), Schwartz; Gabriel Bailowitz (Pittsburgh, PA)</t>
  </si>
  <si>
    <t>Systems and methods for rendering avatar with high resolution geometry</t>
  </si>
  <si>
    <t xml:space="preserve">	Golas; Abhinav (Burlingame, CA)</t>
  </si>
  <si>
    <t>Distortion-corrected rasterization</t>
  </si>
  <si>
    <t>Randomized clock cycle lengths for boot sequences</t>
  </si>
  <si>
    <t>Ravasz; Jonathan (London, GB), Stevens; Jasper (London, GB), Varga; Adam Tibor (London, GB), Pinchon; Etienne (London, GB), Tickner; Simon Charles (Canterbury, GB), Spurlock; Jennifer Lynn (Seattle, WA), Sorge-Toomey; Kyle Eric (Seattle, WA), Ellis; Robert (London, GB), Fox; Barrett (Berkeley, CA)</t>
  </si>
  <si>
    <t>Detecting input using a stylus in artificial reality systems based on a stylus movement after a stylus selection action</t>
  </si>
  <si>
    <t>Optical assembly with holographic optics for folded optical path</t>
  </si>
  <si>
    <t xml:space="preserve">	Maimone; Andrew (Duvall, WA), Wang; Junren (Redmond, WA), Silverstein; Barry (Kirkland, WA)</t>
  </si>
  <si>
    <t xml:space="preserve">	Tanner; Christopher Richard (San Carlos, CA), Havilio; Amir Mesguich (San Francisco, CA), Pujals; Michelle (Los Gatos, CA), Noris; Gioacchino (Zurich, CH), Marra; Alessia (Zurich, CH), Wallen; Nicholas (South San Francisco, CA)</t>
  </si>
  <si>
    <t>Mixed reality objects in virtual reality environments</t>
  </si>
  <si>
    <t xml:space="preserve">	Zwiegincew; Arthur (Medina, CA), Mittertreiner; Gwen Erick Eng (Mountain View, CA), Keep; Andrew William (Redmond, WA)</t>
  </si>
  <si>
    <t>System and method of utilizing data binding to propagate data changes</t>
  </si>
  <si>
    <t>Gong; Jun (Redmond, WA), Gupta; Aakar (Redmond, WA), Benko; Hrvoje (Seattle, WA)</t>
  </si>
  <si>
    <t>Wearable device and user input system for computing devices and artificial reality environments</t>
  </si>
  <si>
    <t>Bodolec; Arthur (New York City, NY), Shu; Jing (Sunnyvale, CA), Young; Lindsay (San Francisco, CA), Summers; Melissa Erin (Charlotte, NC), Zeller; Andrea (Bothell, WA), Lee; Seohyun (Mountain View, CA), Gokalp; Ayfer (Kirkland, WA)</t>
  </si>
  <si>
    <t>Suspend mode feature for artificial reality systems</t>
  </si>
  <si>
    <t xml:space="preserve">	Lane; Austin (Redmond, WA), Colburn; Matthew E. (Woodinville, WA), Calafiore; Giuseppe (Redmond, WA), Mohanty; Nihar Ranjan (Redmond, WA)</t>
  </si>
  <si>
    <t>Nanoimprint lithography material with switchable mechanical properties</t>
  </si>
  <si>
    <t>Illumination device with encapsulated lens</t>
  </si>
  <si>
    <t xml:space="preserve">	Sharma; Robin (Redmond, WA), Ouderkirk; Andrew John (Redmond, WA), Liao; Christopher Yuan Ting (Seattle, WA), Zhang; Qi (Kirkland, WA), Malhotra; Tanya (Redmond, WA), Hatzillias; Karol Constantine (Kenmore, WA), Scheller; Maik (Redmond, WA), Ye; Sheng (Redmond, WA), Andreev; Gregory Olegovic (Redmond, WA)</t>
  </si>
  <si>
    <t>D960,160</t>
  </si>
  <si>
    <t xml:space="preserve">	Bristol; Peter Wesley (Seattle, WA), Chen; Yi-yaun (Seattle, WA), Romano; Mauricio (Redmond, WA), Newbury; Peter Allan Chase (Burlington, WA)</t>
  </si>
  <si>
    <t>Controller</t>
  </si>
  <si>
    <t>Lu; Gang (Pleasanton, CA), Doshi; Nihar (Fremont, CA), Han; Jiwon Steve (San Ramon, CA), Wang; Xiaoguang (Sunnyvale, CA), Zheng; Dong (Saratoga, CA), Hu; Chunyu (Saratoga, CA), Qu; Qi (Redmond, WA)</t>
  </si>
  <si>
    <t>Switching between different communication protocols</t>
  </si>
  <si>
    <t>Reality Labs OI</t>
  </si>
  <si>
    <t>Net Cash</t>
  </si>
  <si>
    <t>tbh 2017 - Nikita Bier</t>
  </si>
  <si>
    <t>Reality Labs 6mo y/y</t>
  </si>
  <si>
    <t>Family OI</t>
  </si>
  <si>
    <t xml:space="preserve">  Change q/q</t>
  </si>
  <si>
    <t>OpEx y/y</t>
  </si>
  <si>
    <t>Operating Margin</t>
  </si>
  <si>
    <t>Family OM%</t>
  </si>
  <si>
    <t>Stock Price (period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</si>
</sst>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2" fillId="0" borderId="0" xfId="1"/>
    <xf numFmtId="3" fontId="0" fillId="0" borderId="0" xfId="0" applyNumberFormat="1"/>
    <xf numFmtId="0" fontId="1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4" fontId="0" fillId="0" borderId="0" xfId="0" applyNumberFormat="1"/>
    <xf numFmtId="9" fontId="1" fillId="0" borderId="0" xfId="0" applyNumberFormat="1" applyFont="1"/>
    <xf numFmtId="9" fontId="0" fillId="0" borderId="0" xfId="0" applyNumberFormat="1"/>
    <xf numFmtId="14" fontId="0" fillId="0" borderId="0" xfId="0" applyNumberFormat="1"/>
    <xf numFmtId="3" fontId="0" fillId="0" borderId="0" xfId="0" applyNumberFormat="1" applyFont="1"/>
    <xf numFmtId="3" fontId="0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36909</xdr:colOff>
      <xdr:row>0</xdr:row>
      <xdr:rowOff>120253</xdr:rowOff>
    </xdr:from>
    <xdr:to>
      <xdr:col>21</xdr:col>
      <xdr:colOff>36909</xdr:colOff>
      <xdr:row>120</xdr:row>
      <xdr:rowOff>120254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23189D-C9D9-F2EF-EA92-77C530A80B61}"/>
            </a:ext>
          </a:extLst>
        </xdr:cNvPr>
        <xdr:cNvCxnSpPr/>
      </xdr:nvCxnSpPr>
      <xdr:spPr>
        <a:xfrm>
          <a:off x="13175456" y="120253"/>
          <a:ext cx="0" cy="184844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28575</xdr:colOff>
      <xdr:row>0</xdr:row>
      <xdr:rowOff>0</xdr:rowOff>
    </xdr:from>
    <xdr:to>
      <xdr:col>36</xdr:col>
      <xdr:colOff>28575</xdr:colOff>
      <xdr:row>56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4DDBC1-608B-6F25-EAC7-D2983CE213BA}"/>
            </a:ext>
          </a:extLst>
        </xdr:cNvPr>
        <xdr:cNvCxnSpPr/>
      </xdr:nvCxnSpPr>
      <xdr:spPr>
        <a:xfrm>
          <a:off x="18087975" y="0"/>
          <a:ext cx="0" cy="812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27D12BE-C9D2-4ADE-8FA6-64C9EAF4387F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24" dT="2022-09-30T13:25:09.70" personId="{527D12BE-C9D2-4ADE-8FA6-64C9EAF4387F}" id="{FBBFA768-8F12-42F0-9C0B-EE828045336C}">
    <text>Reels &gt;1B run-rate</text>
  </threadedComment>
  <threadedComment ref="R25" dT="2022-06-12T02:12:46.51" personId="{527D12BE-C9D2-4ADE-8FA6-64C9EAF4387F}" id="{0E3DC74B-1EA6-4DE1-9FC1-22223C626216}">
    <text>Q321: 31.5B-34B guidance</text>
  </threadedComment>
  <threadedComment ref="S25" dT="2022-06-12T01:45:07.26" personId="{527D12BE-C9D2-4ADE-8FA6-64C9EAF4387F}" id="{BD43B5D8-C5C9-4E17-8362-9EF57E1B35E5}">
    <text>Q421 guidance: 27-29B</text>
  </threadedComment>
  <threadedComment ref="T25" dT="2022-06-11T18:28:26.10" personId="{527D12BE-C9D2-4ADE-8FA6-64C9EAF4387F}" id="{8C543166-7E6A-448B-B7E3-720F51E35135}">
    <text>Q122 guidance: 28-30B</text>
  </threadedComment>
  <threadedComment ref="U25" dT="2022-07-27T23:03:53.04" personId="{527D12BE-C9D2-4ADE-8FA6-64C9EAF4387F}" id="{37B1D132-4F99-4BFA-B9DE-FA9D39796D75}">
    <text>Q222 guidance: 26-28.5B</text>
  </threadedComment>
  <threadedComment ref="V25" dT="2022-10-27T13:48:29.91" personId="{527D12BE-C9D2-4ADE-8FA6-64C9EAF4387F}" id="{9BAC047B-9C13-4083-9E91-56CC4B86282A}">
    <text>Q322: 30.0-32.5B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324B-BEE3-4317-A400-2CB53AA7AD6F}">
  <dimension ref="A1:N28"/>
  <sheetViews>
    <sheetView zoomScale="175" zoomScaleNormal="175" workbookViewId="0"/>
  </sheetViews>
  <sheetFormatPr defaultRowHeight="12.75" x14ac:dyDescent="0.2"/>
  <cols>
    <col min="2" max="2" width="13" customWidth="1"/>
  </cols>
  <sheetData>
    <row r="1" spans="1:14" x14ac:dyDescent="0.2">
      <c r="A1" t="s">
        <v>0</v>
      </c>
    </row>
    <row r="2" spans="1:14" x14ac:dyDescent="0.2">
      <c r="L2" t="s">
        <v>1</v>
      </c>
      <c r="M2" s="17">
        <v>110</v>
      </c>
    </row>
    <row r="3" spans="1:14" x14ac:dyDescent="0.2">
      <c r="B3" t="s">
        <v>29</v>
      </c>
      <c r="C3" t="s">
        <v>106</v>
      </c>
      <c r="L3" t="s">
        <v>2</v>
      </c>
      <c r="M3" s="3">
        <f>2248.672204+402.87647</f>
        <v>2651.5486740000001</v>
      </c>
      <c r="N3" s="1" t="s">
        <v>22</v>
      </c>
    </row>
    <row r="4" spans="1:14" x14ac:dyDescent="0.2">
      <c r="B4" t="s">
        <v>30</v>
      </c>
      <c r="C4" t="s">
        <v>105</v>
      </c>
      <c r="L4" t="s">
        <v>3</v>
      </c>
      <c r="M4" s="3">
        <f>+M3*M2</f>
        <v>291670.35414000001</v>
      </c>
    </row>
    <row r="5" spans="1:14" x14ac:dyDescent="0.2">
      <c r="C5" t="s">
        <v>126</v>
      </c>
      <c r="L5" t="s">
        <v>4</v>
      </c>
      <c r="M5" s="3">
        <v>48304</v>
      </c>
      <c r="N5" s="1" t="s">
        <v>22</v>
      </c>
    </row>
    <row r="6" spans="1:14" x14ac:dyDescent="0.2">
      <c r="B6" t="s">
        <v>31</v>
      </c>
      <c r="L6" t="s">
        <v>5</v>
      </c>
      <c r="M6" s="3">
        <v>9922</v>
      </c>
      <c r="N6" s="1" t="s">
        <v>22</v>
      </c>
    </row>
    <row r="7" spans="1:14" x14ac:dyDescent="0.2">
      <c r="L7" t="s">
        <v>6</v>
      </c>
      <c r="M7" s="3">
        <f>+M4-M5+M6</f>
        <v>253288.35414000001</v>
      </c>
    </row>
    <row r="8" spans="1:14" x14ac:dyDescent="0.2">
      <c r="B8" s="5" t="s">
        <v>34</v>
      </c>
    </row>
    <row r="9" spans="1:14" x14ac:dyDescent="0.2">
      <c r="B9" t="s">
        <v>32</v>
      </c>
    </row>
    <row r="10" spans="1:14" x14ac:dyDescent="0.2">
      <c r="B10" t="s">
        <v>33</v>
      </c>
      <c r="L10" t="s">
        <v>90</v>
      </c>
      <c r="M10" s="3">
        <v>1865.970703</v>
      </c>
    </row>
    <row r="11" spans="1:14" x14ac:dyDescent="0.2">
      <c r="L11" t="s">
        <v>91</v>
      </c>
      <c r="M11" s="3">
        <v>366.55794300000002</v>
      </c>
    </row>
    <row r="15" spans="1:14" x14ac:dyDescent="0.2">
      <c r="B15" t="s">
        <v>86</v>
      </c>
    </row>
    <row r="16" spans="1:14" x14ac:dyDescent="0.2">
      <c r="B16" t="s">
        <v>109</v>
      </c>
    </row>
    <row r="17" spans="2:12" x14ac:dyDescent="0.2">
      <c r="B17" t="s">
        <v>87</v>
      </c>
    </row>
    <row r="18" spans="2:12" x14ac:dyDescent="0.2">
      <c r="B18" t="s">
        <v>92</v>
      </c>
      <c r="L18" s="5" t="s">
        <v>75</v>
      </c>
    </row>
    <row r="19" spans="2:12" x14ac:dyDescent="0.2">
      <c r="B19" t="s">
        <v>102</v>
      </c>
      <c r="L19" t="s">
        <v>197</v>
      </c>
    </row>
    <row r="24" spans="2:12" x14ac:dyDescent="0.2">
      <c r="B24" t="s">
        <v>88</v>
      </c>
    </row>
    <row r="25" spans="2:12" x14ac:dyDescent="0.2">
      <c r="B25" t="s">
        <v>89</v>
      </c>
    </row>
    <row r="27" spans="2:12" x14ac:dyDescent="0.2">
      <c r="B27" t="s">
        <v>93</v>
      </c>
    </row>
    <row r="28" spans="2:12" x14ac:dyDescent="0.2">
      <c r="B28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7D1C-8B34-4AB7-86D4-BE833131478C}">
  <dimension ref="A1:CW107"/>
  <sheetViews>
    <sheetView tabSelected="1" zoomScale="205" zoomScaleNormal="205" workbookViewId="0">
      <pane xSplit="2" ySplit="2" topLeftCell="AA20" activePane="bottomRight" state="frozen"/>
      <selection pane="topRight" activeCell="C1" sqref="C1"/>
      <selection pane="bottomLeft" activeCell="A3" sqref="A3"/>
      <selection pane="bottomRight" activeCell="AD40" sqref="AD40"/>
    </sheetView>
  </sheetViews>
  <sheetFormatPr defaultRowHeight="12.75" x14ac:dyDescent="0.2"/>
  <cols>
    <col min="1" max="1" width="5" bestFit="1" customWidth="1"/>
    <col min="2" max="2" width="19" customWidth="1"/>
    <col min="3" max="25" width="9.140625" style="1"/>
  </cols>
  <sheetData>
    <row r="1" spans="1:45" x14ac:dyDescent="0.2">
      <c r="A1" s="2" t="s">
        <v>7</v>
      </c>
    </row>
    <row r="2" spans="1:45" x14ac:dyDescent="0.2">
      <c r="C2" s="1" t="s">
        <v>125</v>
      </c>
      <c r="D2" s="1" t="s">
        <v>124</v>
      </c>
      <c r="E2" s="1" t="s">
        <v>123</v>
      </c>
      <c r="F2" s="1" t="s">
        <v>122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117</v>
      </c>
      <c r="X2" s="1" t="s">
        <v>118</v>
      </c>
      <c r="Y2" s="1" t="s">
        <v>119</v>
      </c>
      <c r="Z2" s="1" t="s">
        <v>120</v>
      </c>
      <c r="AB2">
        <v>2013</v>
      </c>
      <c r="AC2">
        <v>2014</v>
      </c>
      <c r="AD2">
        <v>2015</v>
      </c>
      <c r="AE2">
        <f>+AD2+1</f>
        <v>2016</v>
      </c>
      <c r="AF2">
        <f t="shared" ref="AF2:AS2" si="0">+AE2+1</f>
        <v>2017</v>
      </c>
      <c r="AG2">
        <f t="shared" si="0"/>
        <v>2018</v>
      </c>
      <c r="AH2">
        <f t="shared" si="0"/>
        <v>2019</v>
      </c>
      <c r="AI2">
        <f t="shared" si="0"/>
        <v>2020</v>
      </c>
      <c r="AJ2">
        <f t="shared" si="0"/>
        <v>2021</v>
      </c>
      <c r="AK2">
        <f t="shared" si="0"/>
        <v>2022</v>
      </c>
      <c r="AL2">
        <f t="shared" si="0"/>
        <v>2023</v>
      </c>
      <c r="AM2">
        <f t="shared" si="0"/>
        <v>2024</v>
      </c>
      <c r="AN2">
        <f t="shared" si="0"/>
        <v>2025</v>
      </c>
      <c r="AO2">
        <f t="shared" si="0"/>
        <v>2026</v>
      </c>
      <c r="AP2">
        <f t="shared" si="0"/>
        <v>2027</v>
      </c>
      <c r="AQ2">
        <f t="shared" si="0"/>
        <v>2028</v>
      </c>
      <c r="AR2">
        <f t="shared" si="0"/>
        <v>2029</v>
      </c>
      <c r="AS2">
        <f t="shared" si="0"/>
        <v>2030</v>
      </c>
    </row>
    <row r="3" spans="1:45" s="3" customFormat="1" x14ac:dyDescent="0.2">
      <c r="B3" s="3" t="s">
        <v>25</v>
      </c>
      <c r="C3" s="6"/>
      <c r="D3" s="6"/>
      <c r="E3" s="6"/>
      <c r="F3" s="6"/>
      <c r="G3" s="6"/>
      <c r="H3" s="6"/>
      <c r="I3" s="6"/>
      <c r="J3" s="6">
        <v>2260</v>
      </c>
      <c r="K3" s="6">
        <v>2360</v>
      </c>
      <c r="L3" s="6">
        <v>2470</v>
      </c>
      <c r="M3" s="6">
        <v>2540</v>
      </c>
      <c r="N3" s="6">
        <v>2600</v>
      </c>
      <c r="O3" s="6">
        <v>2720</v>
      </c>
      <c r="P3" s="6">
        <v>2760</v>
      </c>
      <c r="Q3" s="6">
        <v>2810</v>
      </c>
      <c r="R3" s="6">
        <v>2820</v>
      </c>
      <c r="S3" s="6">
        <v>2870</v>
      </c>
      <c r="T3" s="6">
        <v>2880</v>
      </c>
      <c r="U3" s="6">
        <v>2930</v>
      </c>
      <c r="V3" s="6"/>
      <c r="W3" s="6"/>
      <c r="X3" s="6"/>
      <c r="Y3" s="6"/>
    </row>
    <row r="4" spans="1:45" s="3" customFormat="1" x14ac:dyDescent="0.2">
      <c r="B4" s="3" t="s">
        <v>26</v>
      </c>
      <c r="C4" s="6"/>
      <c r="D4" s="6"/>
      <c r="E4" s="6"/>
      <c r="F4" s="6"/>
      <c r="G4" s="6"/>
      <c r="H4" s="6"/>
      <c r="I4" s="6"/>
      <c r="J4" s="6">
        <v>2890</v>
      </c>
      <c r="K4" s="6">
        <v>2990</v>
      </c>
      <c r="L4" s="6">
        <v>3140</v>
      </c>
      <c r="M4" s="6">
        <v>3210</v>
      </c>
      <c r="N4" s="6">
        <v>3300</v>
      </c>
      <c r="O4" s="6">
        <v>3450</v>
      </c>
      <c r="P4" s="6">
        <v>3510</v>
      </c>
      <c r="Q4" s="6">
        <v>3580</v>
      </c>
      <c r="R4" s="6">
        <v>3590</v>
      </c>
      <c r="S4" s="6">
        <v>3640</v>
      </c>
      <c r="T4" s="6">
        <v>3650</v>
      </c>
      <c r="U4" s="6">
        <v>3710</v>
      </c>
      <c r="V4" s="6"/>
      <c r="W4" s="6"/>
      <c r="X4" s="6"/>
      <c r="Y4" s="6"/>
    </row>
    <row r="5" spans="1:45" s="3" customFormat="1" x14ac:dyDescent="0.2">
      <c r="B5" s="3" t="s">
        <v>27</v>
      </c>
      <c r="C5" s="6"/>
      <c r="D5" s="6"/>
      <c r="E5" s="6"/>
      <c r="F5" s="6"/>
      <c r="G5" s="6">
        <v>1560</v>
      </c>
      <c r="H5" s="6">
        <v>1590</v>
      </c>
      <c r="I5" s="6">
        <v>1620</v>
      </c>
      <c r="J5" s="6">
        <v>1660</v>
      </c>
      <c r="K5" s="6">
        <v>1734</v>
      </c>
      <c r="L5" s="6">
        <v>1785</v>
      </c>
      <c r="M5" s="6">
        <v>1820</v>
      </c>
      <c r="N5" s="6">
        <v>1845</v>
      </c>
      <c r="O5" s="6">
        <v>1878</v>
      </c>
      <c r="P5" s="6">
        <v>1908</v>
      </c>
      <c r="Q5" s="6">
        <v>1930</v>
      </c>
      <c r="R5" s="6">
        <v>1929</v>
      </c>
      <c r="S5" s="6">
        <v>1960</v>
      </c>
      <c r="T5" s="6">
        <v>1968</v>
      </c>
      <c r="U5" s="6">
        <v>1984</v>
      </c>
      <c r="V5" s="6"/>
      <c r="W5" s="6"/>
      <c r="X5" s="6"/>
      <c r="Y5" s="6"/>
    </row>
    <row r="6" spans="1:45" s="3" customFormat="1" x14ac:dyDescent="0.2">
      <c r="B6" s="3" t="s">
        <v>101</v>
      </c>
      <c r="C6" s="6"/>
      <c r="D6" s="6"/>
      <c r="E6" s="6"/>
      <c r="F6" s="6"/>
      <c r="G6" s="6"/>
      <c r="H6" s="6"/>
      <c r="I6" s="6"/>
      <c r="J6" s="6"/>
      <c r="K6" s="6">
        <v>195</v>
      </c>
      <c r="L6" s="6">
        <v>198</v>
      </c>
      <c r="M6" s="6">
        <v>196</v>
      </c>
      <c r="N6" s="6">
        <v>195</v>
      </c>
      <c r="O6" s="6">
        <v>195</v>
      </c>
      <c r="P6" s="6">
        <v>195</v>
      </c>
      <c r="Q6" s="6">
        <v>196</v>
      </c>
      <c r="R6" s="6">
        <v>195</v>
      </c>
      <c r="S6" s="6">
        <v>196</v>
      </c>
      <c r="T6" s="6">
        <v>197</v>
      </c>
      <c r="U6" s="6">
        <v>197</v>
      </c>
      <c r="V6" s="6"/>
      <c r="W6" s="6"/>
      <c r="X6" s="6"/>
      <c r="Y6" s="6"/>
    </row>
    <row r="7" spans="1:45" s="3" customFormat="1" x14ac:dyDescent="0.2">
      <c r="B7" s="3" t="s">
        <v>28</v>
      </c>
      <c r="C7" s="6"/>
      <c r="D7" s="6"/>
      <c r="E7" s="6"/>
      <c r="F7" s="6"/>
      <c r="G7" s="6">
        <v>2380</v>
      </c>
      <c r="H7" s="6">
        <v>2410</v>
      </c>
      <c r="I7" s="6">
        <v>2450</v>
      </c>
      <c r="J7" s="6">
        <v>2500</v>
      </c>
      <c r="K7" s="6">
        <v>2603</v>
      </c>
      <c r="L7" s="6">
        <v>2701</v>
      </c>
      <c r="M7" s="6">
        <v>2740</v>
      </c>
      <c r="N7" s="6">
        <v>2797</v>
      </c>
      <c r="O7" s="6">
        <v>2853</v>
      </c>
      <c r="P7" s="6">
        <v>2895</v>
      </c>
      <c r="Q7" s="6">
        <v>2910</v>
      </c>
      <c r="R7" s="6">
        <v>2912</v>
      </c>
      <c r="S7" s="6">
        <v>2936</v>
      </c>
      <c r="T7" s="6">
        <v>2934</v>
      </c>
      <c r="U7" s="6">
        <v>2958</v>
      </c>
      <c r="V7" s="6"/>
      <c r="W7" s="6"/>
      <c r="X7" s="6"/>
      <c r="Y7" s="6"/>
    </row>
    <row r="8" spans="1:45" s="3" customFormat="1" x14ac:dyDescent="0.2">
      <c r="B8" s="3" t="s">
        <v>101</v>
      </c>
      <c r="C8" s="6"/>
      <c r="D8" s="6"/>
      <c r="E8" s="6"/>
      <c r="F8" s="6"/>
      <c r="G8" s="6"/>
      <c r="H8" s="6"/>
      <c r="I8" s="6"/>
      <c r="J8" s="6"/>
      <c r="K8" s="6">
        <v>253</v>
      </c>
      <c r="L8" s="6">
        <v>256</v>
      </c>
      <c r="M8" s="6">
        <v>255</v>
      </c>
      <c r="N8" s="6">
        <v>258</v>
      </c>
      <c r="O8" s="6">
        <v>259</v>
      </c>
      <c r="P8" s="6">
        <v>259</v>
      </c>
      <c r="Q8" s="6">
        <v>261</v>
      </c>
      <c r="R8" s="6">
        <v>262</v>
      </c>
      <c r="S8" s="6">
        <v>263</v>
      </c>
      <c r="T8" s="6">
        <v>264</v>
      </c>
      <c r="U8" s="6">
        <v>266</v>
      </c>
      <c r="V8" s="9"/>
      <c r="W8" s="6"/>
      <c r="X8" s="6"/>
      <c r="Y8" s="6"/>
    </row>
    <row r="9" spans="1:45" s="3" customFormat="1" x14ac:dyDescent="0.2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10"/>
      <c r="V9" s="6"/>
      <c r="W9" s="6"/>
      <c r="X9" s="6"/>
      <c r="Y9" s="6"/>
    </row>
    <row r="10" spans="1:45" s="3" customFormat="1" x14ac:dyDescent="0.2">
      <c r="B10" s="3" t="s">
        <v>98</v>
      </c>
      <c r="C10" s="6"/>
      <c r="D10" s="6"/>
      <c r="E10" s="6"/>
      <c r="F10" s="6"/>
      <c r="G10" s="6"/>
      <c r="H10" s="6"/>
      <c r="I10" s="6"/>
      <c r="J10" s="6"/>
      <c r="K10" s="9">
        <f t="shared" ref="K10:R10" si="1">+K25/K4</f>
        <v>5.9321070234113709</v>
      </c>
      <c r="L10" s="9">
        <f t="shared" si="1"/>
        <v>5.9512738853503189</v>
      </c>
      <c r="M10" s="9">
        <f t="shared" si="1"/>
        <v>6.6884735202492216</v>
      </c>
      <c r="N10" s="9">
        <f t="shared" si="1"/>
        <v>8.5066666666666659</v>
      </c>
      <c r="O10" s="9">
        <f t="shared" si="1"/>
        <v>7.5857971014492751</v>
      </c>
      <c r="P10" s="9">
        <f t="shared" si="1"/>
        <v>8.2840455840455842</v>
      </c>
      <c r="Q10" s="9">
        <f t="shared" si="1"/>
        <v>8.1033519553072626</v>
      </c>
      <c r="R10" s="9">
        <f t="shared" si="1"/>
        <v>9.3791086350974933</v>
      </c>
      <c r="S10" s="9">
        <f>+S25/S4</f>
        <v>7.6670329670329673</v>
      </c>
      <c r="T10" s="9">
        <f>+T25/T4</f>
        <v>7.8964383561643832</v>
      </c>
      <c r="U10" s="9">
        <f>+U25/U4</f>
        <v>7.4700808625336927</v>
      </c>
      <c r="V10" s="6"/>
      <c r="W10" s="6"/>
      <c r="X10" s="6"/>
      <c r="Y10" s="6"/>
    </row>
    <row r="11" spans="1:45" s="3" customFormat="1" x14ac:dyDescent="0.2">
      <c r="B11" s="3" t="s">
        <v>99</v>
      </c>
      <c r="C11" s="6"/>
      <c r="D11" s="6"/>
      <c r="E11" s="6"/>
      <c r="F11" s="6"/>
      <c r="G11" s="6"/>
      <c r="H11" s="6"/>
      <c r="I11" s="6"/>
      <c r="J11" s="6"/>
      <c r="K11" s="9"/>
      <c r="L11" s="9">
        <f t="shared" ref="L11:R11" si="2">AVERAGE(K10:L10)</f>
        <v>5.9416904543808453</v>
      </c>
      <c r="M11" s="9">
        <f t="shared" si="2"/>
        <v>6.3198737027997698</v>
      </c>
      <c r="N11" s="9">
        <f t="shared" si="2"/>
        <v>7.5975700934579438</v>
      </c>
      <c r="O11" s="9">
        <f t="shared" si="2"/>
        <v>8.0462318840579705</v>
      </c>
      <c r="P11" s="9">
        <f t="shared" si="2"/>
        <v>7.9349213427474297</v>
      </c>
      <c r="Q11" s="9">
        <f t="shared" si="2"/>
        <v>8.1936987696764234</v>
      </c>
      <c r="R11" s="9">
        <f t="shared" si="2"/>
        <v>8.7412302952023779</v>
      </c>
      <c r="S11" s="9">
        <f>AVERAGE(R10:S10)</f>
        <v>8.5230708010652307</v>
      </c>
      <c r="T11" s="9">
        <f>AVERAGE(S10:T10)</f>
        <v>7.7817356615986757</v>
      </c>
      <c r="U11" s="9">
        <f>AVERAGE(T10:U10)</f>
        <v>7.6832596093490384</v>
      </c>
      <c r="V11" s="6"/>
      <c r="W11" s="6"/>
      <c r="X11" s="6"/>
      <c r="Y11" s="6"/>
    </row>
    <row r="12" spans="1:45" s="13" customFormat="1" x14ac:dyDescent="0.2">
      <c r="B12" s="13" t="s">
        <v>100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5"/>
      <c r="O12" s="16"/>
      <c r="P12" s="16">
        <f t="shared" ref="P12:R12" si="3">P11/L11-1</f>
        <v>0.33546528612862403</v>
      </c>
      <c r="Q12" s="16">
        <f t="shared" si="3"/>
        <v>0.29649723317200616</v>
      </c>
      <c r="R12" s="16">
        <f t="shared" si="3"/>
        <v>0.15052973354325583</v>
      </c>
      <c r="S12" s="16">
        <f>S11/O11-1</f>
        <v>5.9262388143700218E-2</v>
      </c>
      <c r="T12" s="16">
        <f>T11/P11-1</f>
        <v>-1.9305255154011935E-2</v>
      </c>
      <c r="U12" s="16">
        <f>U11/Q11-1</f>
        <v>-6.2296549418736191E-2</v>
      </c>
      <c r="V12" s="14"/>
      <c r="W12" s="14"/>
      <c r="X12" s="14"/>
      <c r="Y12" s="14"/>
    </row>
    <row r="13" spans="1:45" s="3" customFormat="1" x14ac:dyDescent="0.2">
      <c r="B13" s="3" t="s">
        <v>84</v>
      </c>
      <c r="C13" s="6"/>
      <c r="D13" s="6"/>
      <c r="E13" s="6"/>
      <c r="F13" s="6"/>
      <c r="G13" s="6"/>
      <c r="H13" s="6"/>
      <c r="I13" s="6"/>
      <c r="J13" s="6"/>
      <c r="K13" s="9">
        <f t="shared" ref="K13:R13" si="4">+K24/K4</f>
        <v>5.8327759197324411</v>
      </c>
      <c r="L13" s="9">
        <f t="shared" si="4"/>
        <v>5.834713375796178</v>
      </c>
      <c r="M13" s="9">
        <f t="shared" si="4"/>
        <v>6.6109034267912774</v>
      </c>
      <c r="N13" s="9">
        <f t="shared" si="4"/>
        <v>8.2384848484848483</v>
      </c>
      <c r="O13" s="9">
        <f t="shared" si="4"/>
        <v>7.373623188405797</v>
      </c>
      <c r="P13" s="9">
        <f t="shared" si="4"/>
        <v>8.1424501424501425</v>
      </c>
      <c r="Q13" s="9">
        <f t="shared" si="4"/>
        <v>7.8983240223463689</v>
      </c>
      <c r="R13" s="9">
        <f t="shared" si="4"/>
        <v>9.0916434540389979</v>
      </c>
      <c r="S13" s="9">
        <f>+S24/S4</f>
        <v>7.4170329670329673</v>
      </c>
      <c r="T13" s="9">
        <f>+T24/T4</f>
        <v>7.7128767123287671</v>
      </c>
      <c r="U13" s="9">
        <f>+U24/U4</f>
        <v>7.3415094339622637</v>
      </c>
      <c r="V13" s="6"/>
      <c r="W13" s="6"/>
      <c r="X13" s="6"/>
      <c r="Y13" s="6"/>
    </row>
    <row r="14" spans="1:45" s="3" customFormat="1" x14ac:dyDescent="0.2">
      <c r="B14" s="3" t="s">
        <v>85</v>
      </c>
      <c r="C14" s="6"/>
      <c r="D14" s="6"/>
      <c r="E14" s="6"/>
      <c r="F14" s="6"/>
      <c r="G14" s="6"/>
      <c r="H14" s="6"/>
      <c r="I14" s="6"/>
      <c r="J14" s="6"/>
      <c r="K14" s="9">
        <f t="shared" ref="K14:R14" si="5">+K24/K3</f>
        <v>7.3898305084745761</v>
      </c>
      <c r="L14" s="9">
        <f t="shared" si="5"/>
        <v>7.4174089068825912</v>
      </c>
      <c r="M14" s="9">
        <f t="shared" si="5"/>
        <v>8.3547244094488189</v>
      </c>
      <c r="N14" s="9">
        <f t="shared" si="5"/>
        <v>10.456538461538461</v>
      </c>
      <c r="O14" s="9">
        <f t="shared" si="5"/>
        <v>9.3525735294117656</v>
      </c>
      <c r="P14" s="9">
        <f t="shared" si="5"/>
        <v>10.355072463768115</v>
      </c>
      <c r="Q14" s="9">
        <f t="shared" si="5"/>
        <v>10.062633451957295</v>
      </c>
      <c r="R14" s="9">
        <f t="shared" si="5"/>
        <v>11.574113475177304</v>
      </c>
      <c r="S14" s="9">
        <f>+S24/S3</f>
        <v>9.4069686411149824</v>
      </c>
      <c r="T14" s="9">
        <f t="shared" ref="T14:U14" si="6">+T24/T3</f>
        <v>9.7750000000000004</v>
      </c>
      <c r="U14" s="9">
        <f t="shared" si="6"/>
        <v>9.2959044368600683</v>
      </c>
      <c r="V14" s="6"/>
      <c r="W14" s="6"/>
      <c r="X14" s="6"/>
      <c r="Y14" s="6"/>
    </row>
    <row r="15" spans="1:45" s="3" customFormat="1" x14ac:dyDescent="0.2">
      <c r="B15" s="3" t="s">
        <v>99</v>
      </c>
      <c r="C15" s="6"/>
      <c r="D15" s="6"/>
      <c r="E15" s="6"/>
      <c r="F15" s="6"/>
      <c r="G15" s="6"/>
      <c r="H15" s="6"/>
      <c r="I15" s="6"/>
      <c r="J15" s="6"/>
      <c r="K15" s="9"/>
      <c r="L15" s="9">
        <f t="shared" ref="L15:R15" si="7">AVERAGE(K14:L14)</f>
        <v>7.4036197076785832</v>
      </c>
      <c r="M15" s="9">
        <f t="shared" si="7"/>
        <v>7.8860666581657046</v>
      </c>
      <c r="N15" s="9">
        <f t="shared" si="7"/>
        <v>9.405631435493639</v>
      </c>
      <c r="O15" s="9">
        <f t="shared" si="7"/>
        <v>9.9045559954751141</v>
      </c>
      <c r="P15" s="9">
        <f t="shared" si="7"/>
        <v>9.8538229965899404</v>
      </c>
      <c r="Q15" s="9">
        <f t="shared" si="7"/>
        <v>10.208852957862705</v>
      </c>
      <c r="R15" s="9">
        <f t="shared" si="7"/>
        <v>10.818373463567299</v>
      </c>
      <c r="S15" s="9">
        <f>AVERAGE(R14:S14)</f>
        <v>10.490541058146142</v>
      </c>
      <c r="T15" s="9">
        <f t="shared" ref="T15:U15" si="8">AVERAGE(S14:T14)</f>
        <v>9.5909843205574923</v>
      </c>
      <c r="U15" s="9">
        <f t="shared" si="8"/>
        <v>9.5354522184300343</v>
      </c>
      <c r="V15" s="6"/>
      <c r="W15" s="6"/>
      <c r="X15" s="6"/>
      <c r="Y15" s="6"/>
    </row>
    <row r="16" spans="1:45" s="13" customFormat="1" x14ac:dyDescent="0.2">
      <c r="B16" s="13" t="s">
        <v>100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>
        <f t="shared" ref="P16:R16" si="9">P15/L15-1</f>
        <v>0.33094667009573109</v>
      </c>
      <c r="Q16" s="16">
        <f t="shared" si="9"/>
        <v>0.29454307202588104</v>
      </c>
      <c r="R16" s="16">
        <f t="shared" si="9"/>
        <v>0.15020172093310546</v>
      </c>
      <c r="S16" s="16">
        <f>S15/O15-1</f>
        <v>5.9163183381338413E-2</v>
      </c>
      <c r="T16" s="16">
        <f>T15/P15-1</f>
        <v>-2.6673776880648981E-2</v>
      </c>
      <c r="U16" s="16">
        <f>U15/Q15-1</f>
        <v>-6.5962429100717701E-2</v>
      </c>
      <c r="V16" s="14"/>
      <c r="W16" s="14"/>
      <c r="X16" s="14"/>
      <c r="Y16" s="14"/>
    </row>
    <row r="17" spans="2:45" s="3" customFormat="1" x14ac:dyDescent="0.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9"/>
      <c r="T17" s="6"/>
      <c r="U17" s="6"/>
      <c r="V17" s="6"/>
      <c r="W17" s="6"/>
      <c r="X17" s="6"/>
      <c r="Y17" s="6"/>
    </row>
    <row r="18" spans="2:45" s="3" customFormat="1" x14ac:dyDescent="0.2">
      <c r="B18" s="3" t="s">
        <v>121</v>
      </c>
      <c r="C18" s="6"/>
      <c r="D18" s="6"/>
      <c r="E18" s="6"/>
      <c r="F18" s="6"/>
      <c r="G18" s="6"/>
      <c r="H18" s="6"/>
      <c r="I18" s="6"/>
      <c r="J18" s="6"/>
      <c r="K18" s="6">
        <v>1654</v>
      </c>
      <c r="L18" s="6">
        <v>1539</v>
      </c>
      <c r="M18" s="6">
        <v>1980</v>
      </c>
      <c r="N18" s="6">
        <v>2512</v>
      </c>
      <c r="O18" s="6">
        <v>2434</v>
      </c>
      <c r="P18" s="6">
        <v>2857</v>
      </c>
      <c r="Q18" s="6">
        <v>2963</v>
      </c>
      <c r="R18" s="6">
        <v>3220</v>
      </c>
      <c r="S18" s="6">
        <v>2949</v>
      </c>
      <c r="T18" s="6">
        <v>3169</v>
      </c>
      <c r="U18" s="6">
        <v>3047</v>
      </c>
      <c r="V18" s="6"/>
      <c r="W18" s="6"/>
      <c r="X18" s="6"/>
      <c r="Y18" s="6"/>
    </row>
    <row r="19" spans="2:45" s="3" customFormat="1" x14ac:dyDescent="0.2">
      <c r="B19" s="3" t="s">
        <v>107</v>
      </c>
      <c r="C19" s="6"/>
      <c r="D19" s="6"/>
      <c r="E19" s="6"/>
      <c r="F19" s="6"/>
      <c r="G19" s="6"/>
      <c r="H19" s="6"/>
      <c r="I19" s="6"/>
      <c r="J19" s="6"/>
      <c r="K19" s="6">
        <v>3236</v>
      </c>
      <c r="L19" s="6">
        <v>3312</v>
      </c>
      <c r="M19" s="6">
        <v>4202</v>
      </c>
      <c r="N19" s="6">
        <v>4703</v>
      </c>
      <c r="O19" s="6">
        <v>4735</v>
      </c>
      <c r="P19" s="6">
        <v>5152</v>
      </c>
      <c r="Q19" s="6">
        <v>5398</v>
      </c>
      <c r="R19" s="6">
        <v>6183</v>
      </c>
      <c r="S19" s="6">
        <v>5661</v>
      </c>
      <c r="T19" s="6">
        <v>5835</v>
      </c>
      <c r="U19" s="6">
        <v>5717</v>
      </c>
      <c r="V19" s="6"/>
      <c r="W19" s="6"/>
      <c r="X19" s="6"/>
      <c r="Y19" s="6"/>
    </row>
    <row r="20" spans="2:45" s="3" customFormat="1" x14ac:dyDescent="0.2">
      <c r="B20" s="3" t="s">
        <v>104</v>
      </c>
      <c r="C20" s="6"/>
      <c r="D20" s="6"/>
      <c r="E20" s="6"/>
      <c r="F20" s="6"/>
      <c r="G20" s="6"/>
      <c r="H20" s="6"/>
      <c r="I20" s="6"/>
      <c r="J20" s="6"/>
      <c r="K20" s="6">
        <v>4171</v>
      </c>
      <c r="L20" s="6">
        <v>4411</v>
      </c>
      <c r="M20" s="6">
        <v>5051</v>
      </c>
      <c r="N20" s="6">
        <v>6822</v>
      </c>
      <c r="O20" s="6">
        <v>6373</v>
      </c>
      <c r="P20" s="6">
        <v>7205</v>
      </c>
      <c r="Q20" s="6">
        <v>6821</v>
      </c>
      <c r="R20" s="6">
        <v>8174</v>
      </c>
      <c r="S20" s="6">
        <v>6364</v>
      </c>
      <c r="T20" s="6">
        <v>6360</v>
      </c>
      <c r="U20" s="6">
        <v>5707</v>
      </c>
      <c r="V20" s="6"/>
      <c r="W20" s="6"/>
      <c r="X20" s="6"/>
      <c r="Y20" s="6"/>
    </row>
    <row r="21" spans="2:45" s="3" customFormat="1" x14ac:dyDescent="0.2">
      <c r="B21" s="3" t="s">
        <v>103</v>
      </c>
      <c r="C21" s="6"/>
      <c r="D21" s="6"/>
      <c r="E21" s="6"/>
      <c r="F21" s="6"/>
      <c r="G21" s="6"/>
      <c r="H21" s="6"/>
      <c r="I21" s="6"/>
      <c r="J21" s="6"/>
      <c r="K21" s="6">
        <v>8379</v>
      </c>
      <c r="L21" s="6">
        <v>9059</v>
      </c>
      <c r="M21" s="6">
        <v>9988</v>
      </c>
      <c r="N21" s="6">
        <v>13150</v>
      </c>
      <c r="O21" s="6">
        <v>11897</v>
      </c>
      <c r="P21" s="6">
        <v>13366</v>
      </c>
      <c r="Q21" s="6">
        <v>13094</v>
      </c>
      <c r="R21" s="6">
        <v>15062</v>
      </c>
      <c r="S21" s="6">
        <v>12024</v>
      </c>
      <c r="T21" s="6">
        <v>12788</v>
      </c>
      <c r="U21" s="6">
        <v>12766</v>
      </c>
      <c r="V21" s="6"/>
      <c r="W21" s="6"/>
      <c r="X21" s="6"/>
      <c r="Y21" s="6"/>
    </row>
    <row r="22" spans="2:45" s="3" customFormat="1" x14ac:dyDescent="0.2">
      <c r="B22" s="3" t="s">
        <v>55</v>
      </c>
      <c r="C22" s="6">
        <v>171</v>
      </c>
      <c r="D22" s="6">
        <v>193</v>
      </c>
      <c r="E22" s="6">
        <v>188</v>
      </c>
      <c r="F22" s="6">
        <v>274</v>
      </c>
      <c r="G22" s="6">
        <v>165</v>
      </c>
      <c r="H22" s="6">
        <v>262</v>
      </c>
      <c r="I22" s="6">
        <v>269</v>
      </c>
      <c r="J22" s="6">
        <v>346</v>
      </c>
      <c r="K22" s="6">
        <v>297</v>
      </c>
      <c r="L22" s="6"/>
      <c r="M22" s="6"/>
      <c r="N22" s="6">
        <v>168</v>
      </c>
      <c r="O22" s="6">
        <v>198</v>
      </c>
      <c r="P22" s="6">
        <v>192</v>
      </c>
      <c r="Q22" s="6">
        <v>176</v>
      </c>
      <c r="R22" s="6">
        <v>155</v>
      </c>
      <c r="S22" s="6">
        <v>215</v>
      </c>
      <c r="T22" s="6">
        <v>218</v>
      </c>
      <c r="U22" s="6">
        <v>192</v>
      </c>
      <c r="V22" s="6">
        <f>+U22</f>
        <v>192</v>
      </c>
      <c r="W22" s="6"/>
      <c r="X22" s="6"/>
      <c r="Y22" s="6"/>
      <c r="AG22" s="3">
        <v>825</v>
      </c>
      <c r="AH22" s="3">
        <v>541</v>
      </c>
      <c r="AI22" s="3">
        <v>657</v>
      </c>
      <c r="AJ22" s="3">
        <v>721</v>
      </c>
    </row>
    <row r="23" spans="2:45" s="3" customFormat="1" x14ac:dyDescent="0.2">
      <c r="B23" s="3" t="s">
        <v>83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>
        <v>717</v>
      </c>
      <c r="O23" s="6">
        <v>534</v>
      </c>
      <c r="P23" s="6">
        <v>305</v>
      </c>
      <c r="Q23" s="6">
        <v>558</v>
      </c>
      <c r="R23" s="6">
        <v>877</v>
      </c>
      <c r="S23" s="6">
        <v>695</v>
      </c>
      <c r="T23" s="6">
        <v>452</v>
      </c>
      <c r="U23" s="6">
        <v>285</v>
      </c>
      <c r="V23" s="6">
        <f>+R23+100</f>
        <v>977</v>
      </c>
      <c r="W23" s="6"/>
      <c r="X23" s="6"/>
      <c r="Y23" s="6"/>
      <c r="AH23" s="3">
        <v>501</v>
      </c>
      <c r="AI23" s="3">
        <v>1139</v>
      </c>
      <c r="AJ23" s="3">
        <v>2274</v>
      </c>
    </row>
    <row r="24" spans="2:45" s="3" customFormat="1" x14ac:dyDescent="0.2">
      <c r="B24" s="3" t="s">
        <v>82</v>
      </c>
      <c r="C24" s="6">
        <v>11795</v>
      </c>
      <c r="D24" s="6">
        <v>13038</v>
      </c>
      <c r="E24" s="6">
        <v>13539</v>
      </c>
      <c r="F24" s="6">
        <v>16640</v>
      </c>
      <c r="G24" s="6">
        <v>14912</v>
      </c>
      <c r="H24" s="6">
        <v>16624</v>
      </c>
      <c r="I24" s="6">
        <v>17383</v>
      </c>
      <c r="J24" s="6">
        <v>20736</v>
      </c>
      <c r="K24" s="6">
        <f>SUM(K18:K21)</f>
        <v>17440</v>
      </c>
      <c r="L24" s="6">
        <f t="shared" ref="L24:T24" si="10">SUM(L18:L21)</f>
        <v>18321</v>
      </c>
      <c r="M24" s="6">
        <f t="shared" si="10"/>
        <v>21221</v>
      </c>
      <c r="N24" s="6">
        <f t="shared" si="10"/>
        <v>27187</v>
      </c>
      <c r="O24" s="6">
        <f t="shared" si="10"/>
        <v>25439</v>
      </c>
      <c r="P24" s="6">
        <f t="shared" si="10"/>
        <v>28580</v>
      </c>
      <c r="Q24" s="6">
        <f t="shared" si="10"/>
        <v>28276</v>
      </c>
      <c r="R24" s="6">
        <f t="shared" si="10"/>
        <v>32639</v>
      </c>
      <c r="S24" s="6">
        <f t="shared" si="10"/>
        <v>26998</v>
      </c>
      <c r="T24" s="6">
        <f t="shared" si="10"/>
        <v>28152</v>
      </c>
      <c r="U24" s="6">
        <f>SUM(U18:U21)</f>
        <v>27237</v>
      </c>
      <c r="V24" s="6">
        <f>+R24*0.98</f>
        <v>31986.22</v>
      </c>
      <c r="W24" s="6">
        <f t="shared" ref="W24:Z24" si="11">+S24*0.98</f>
        <v>26458.04</v>
      </c>
      <c r="X24" s="6">
        <f t="shared" si="11"/>
        <v>27588.959999999999</v>
      </c>
      <c r="Y24" s="6">
        <f t="shared" si="11"/>
        <v>26692.26</v>
      </c>
      <c r="Z24" s="6">
        <f t="shared" si="11"/>
        <v>31346.495600000002</v>
      </c>
      <c r="AB24" s="3">
        <v>7872</v>
      </c>
      <c r="AC24" s="3">
        <v>12466</v>
      </c>
      <c r="AD24" s="3">
        <v>17928</v>
      </c>
      <c r="AE24" s="3">
        <v>27638</v>
      </c>
      <c r="AF24" s="3">
        <v>40653</v>
      </c>
      <c r="AG24" s="3">
        <v>55013</v>
      </c>
      <c r="AH24" s="3">
        <v>69655</v>
      </c>
      <c r="AI24" s="3">
        <v>84169</v>
      </c>
      <c r="AJ24" s="3">
        <v>114934</v>
      </c>
    </row>
    <row r="25" spans="2:45" s="7" customFormat="1" x14ac:dyDescent="0.2">
      <c r="B25" s="7" t="s">
        <v>24</v>
      </c>
      <c r="C25" s="8">
        <f t="shared" ref="C25:I25" si="12">SUM(C22:C24)</f>
        <v>11966</v>
      </c>
      <c r="D25" s="8">
        <f t="shared" si="12"/>
        <v>13231</v>
      </c>
      <c r="E25" s="8">
        <f t="shared" si="12"/>
        <v>13727</v>
      </c>
      <c r="F25" s="8">
        <f t="shared" si="12"/>
        <v>16914</v>
      </c>
      <c r="G25" s="8">
        <f t="shared" ref="G25" si="13">SUM(G22:G24)</f>
        <v>15077</v>
      </c>
      <c r="H25" s="8">
        <f t="shared" si="12"/>
        <v>16886</v>
      </c>
      <c r="I25" s="8">
        <f t="shared" si="12"/>
        <v>17652</v>
      </c>
      <c r="J25" s="8">
        <f>SUM(J22:J24)</f>
        <v>21082</v>
      </c>
      <c r="K25" s="8">
        <f>SUM(K22:K24)</f>
        <v>17737</v>
      </c>
      <c r="L25" s="8">
        <v>18687</v>
      </c>
      <c r="M25" s="8">
        <v>21470</v>
      </c>
      <c r="N25" s="8">
        <v>28072</v>
      </c>
      <c r="O25" s="8">
        <f>SUM(O22:O24)</f>
        <v>26171</v>
      </c>
      <c r="P25" s="8">
        <v>29077</v>
      </c>
      <c r="Q25" s="8">
        <v>29010</v>
      </c>
      <c r="R25" s="8">
        <v>33671</v>
      </c>
      <c r="S25" s="8">
        <f>SUM(S22:S24)</f>
        <v>27908</v>
      </c>
      <c r="T25" s="8">
        <f>SUM(T22:T24)</f>
        <v>28822</v>
      </c>
      <c r="U25" s="8">
        <f>SUM(U22:U24)</f>
        <v>27714</v>
      </c>
      <c r="V25" s="8">
        <f>SUM(V22:V24)</f>
        <v>33155.22</v>
      </c>
      <c r="W25" s="8">
        <f>SUM(W22:W24)</f>
        <v>26458.04</v>
      </c>
      <c r="X25" s="8">
        <f t="shared" ref="X25:Z25" si="14">SUM(X22:X24)</f>
        <v>27588.959999999999</v>
      </c>
      <c r="Y25" s="8">
        <f t="shared" si="14"/>
        <v>26692.26</v>
      </c>
      <c r="Z25" s="8">
        <f t="shared" si="14"/>
        <v>31346.495600000002</v>
      </c>
      <c r="AB25" s="7">
        <f t="shared" ref="AB25:AG25" si="15">SUM(AB22:AB24)</f>
        <v>7872</v>
      </c>
      <c r="AC25" s="7">
        <f t="shared" si="15"/>
        <v>12466</v>
      </c>
      <c r="AD25" s="7">
        <f t="shared" si="15"/>
        <v>17928</v>
      </c>
      <c r="AE25" s="7">
        <f t="shared" si="15"/>
        <v>27638</v>
      </c>
      <c r="AF25" s="7">
        <f t="shared" si="15"/>
        <v>40653</v>
      </c>
      <c r="AG25" s="7">
        <f t="shared" si="15"/>
        <v>55838</v>
      </c>
      <c r="AH25" s="7">
        <f>SUM(AH22:AH24)</f>
        <v>70697</v>
      </c>
      <c r="AI25" s="7">
        <f t="shared" ref="AI25:AJ25" si="16">SUM(AI22:AI24)</f>
        <v>85965</v>
      </c>
      <c r="AJ25" s="7">
        <f t="shared" si="16"/>
        <v>117929</v>
      </c>
      <c r="AK25" s="7">
        <f>SUM(S25:V25)</f>
        <v>117599.22</v>
      </c>
      <c r="AL25" s="7">
        <f>+AK25*0.95</f>
        <v>111719.25899999999</v>
      </c>
      <c r="AM25" s="7">
        <f>+AL25*0.95</f>
        <v>106133.29604999999</v>
      </c>
      <c r="AN25" s="7">
        <f>+AM25*1.1</f>
        <v>116746.625655</v>
      </c>
      <c r="AO25" s="7">
        <f>+AN25*1.05</f>
        <v>122583.95693775</v>
      </c>
      <c r="AP25" s="7">
        <f t="shared" ref="AP25:AS25" si="17">+AO25*1.03</f>
        <v>126261.4756458825</v>
      </c>
      <c r="AQ25" s="7">
        <f t="shared" si="17"/>
        <v>130049.31991525898</v>
      </c>
      <c r="AR25" s="7">
        <f t="shared" si="17"/>
        <v>133950.79951271677</v>
      </c>
      <c r="AS25" s="7">
        <f t="shared" si="17"/>
        <v>137969.32349809827</v>
      </c>
    </row>
    <row r="26" spans="2:45" s="3" customFormat="1" x14ac:dyDescent="0.2">
      <c r="B26" s="3" t="s">
        <v>36</v>
      </c>
      <c r="C26" s="6">
        <v>1927</v>
      </c>
      <c r="D26" s="6">
        <v>2214</v>
      </c>
      <c r="E26" s="6">
        <v>2418</v>
      </c>
      <c r="F26" s="6">
        <v>2796</v>
      </c>
      <c r="G26" s="6">
        <v>2816</v>
      </c>
      <c r="H26" s="6">
        <v>3307</v>
      </c>
      <c r="I26" s="6">
        <v>3155</v>
      </c>
      <c r="J26" s="6">
        <v>3492</v>
      </c>
      <c r="K26" s="6">
        <v>3459</v>
      </c>
      <c r="L26" s="6">
        <v>3829</v>
      </c>
      <c r="M26" s="6">
        <v>4194</v>
      </c>
      <c r="N26" s="6">
        <v>5210</v>
      </c>
      <c r="O26" s="6">
        <v>5131</v>
      </c>
      <c r="P26" s="6">
        <v>5399</v>
      </c>
      <c r="Q26" s="6">
        <v>5771</v>
      </c>
      <c r="R26" s="6">
        <v>6348</v>
      </c>
      <c r="S26" s="6">
        <v>6005</v>
      </c>
      <c r="T26" s="6">
        <v>5192</v>
      </c>
      <c r="U26" s="6">
        <v>5716</v>
      </c>
      <c r="V26" s="6">
        <f t="shared" ref="V26" si="18">+V25-V27</f>
        <v>6962.5962</v>
      </c>
      <c r="W26" s="6">
        <f>+W25-W27</f>
        <v>5556.1883999999991</v>
      </c>
      <c r="X26" s="6">
        <f t="shared" ref="X26:Z26" si="19">+X25-X27</f>
        <v>5793.6815999999999</v>
      </c>
      <c r="Y26" s="6">
        <f t="shared" si="19"/>
        <v>5605.3745999999992</v>
      </c>
      <c r="Z26" s="6">
        <f t="shared" si="19"/>
        <v>6582.7640759999995</v>
      </c>
      <c r="AG26" s="3">
        <v>9355</v>
      </c>
      <c r="AH26" s="3">
        <v>12770</v>
      </c>
      <c r="AI26" s="3">
        <v>16692</v>
      </c>
      <c r="AJ26" s="3">
        <v>22649</v>
      </c>
      <c r="AK26" s="3">
        <f>+AK25-AK27</f>
        <v>22343.851799999989</v>
      </c>
      <c r="AL26" s="3">
        <f t="shared" ref="AL26:AS26" si="20">+AL25-AL27</f>
        <v>21226.659209999998</v>
      </c>
      <c r="AM26" s="3">
        <f t="shared" si="20"/>
        <v>20165.326249499994</v>
      </c>
      <c r="AN26" s="3">
        <f t="shared" si="20"/>
        <v>22181.858874449987</v>
      </c>
      <c r="AO26" s="3">
        <f t="shared" si="20"/>
        <v>23290.9518181725</v>
      </c>
      <c r="AP26" s="3">
        <f t="shared" si="20"/>
        <v>23989.680372717674</v>
      </c>
      <c r="AQ26" s="3">
        <f t="shared" si="20"/>
        <v>24709.370783899198</v>
      </c>
      <c r="AR26" s="3">
        <f t="shared" si="20"/>
        <v>25450.651907416177</v>
      </c>
      <c r="AS26" s="3">
        <f t="shared" si="20"/>
        <v>26214.171464638668</v>
      </c>
    </row>
    <row r="27" spans="2:45" s="3" customFormat="1" x14ac:dyDescent="0.2">
      <c r="B27" s="3" t="s">
        <v>37</v>
      </c>
      <c r="C27" s="6">
        <f t="shared" ref="C27:D27" si="21">+C25-C26</f>
        <v>10039</v>
      </c>
      <c r="D27" s="6">
        <f t="shared" si="21"/>
        <v>11017</v>
      </c>
      <c r="E27" s="6">
        <f t="shared" ref="E27:G27" si="22">+E25-E26</f>
        <v>11309</v>
      </c>
      <c r="F27" s="6">
        <f t="shared" si="22"/>
        <v>14118</v>
      </c>
      <c r="G27" s="6">
        <f t="shared" si="22"/>
        <v>12261</v>
      </c>
      <c r="H27" s="6">
        <f t="shared" ref="H27" si="23">+H25-H26</f>
        <v>13579</v>
      </c>
      <c r="I27" s="6">
        <f t="shared" ref="I27:J27" si="24">+I25-I26</f>
        <v>14497</v>
      </c>
      <c r="J27" s="6">
        <f t="shared" si="24"/>
        <v>17590</v>
      </c>
      <c r="K27" s="6">
        <f t="shared" ref="K27:N27" si="25">+K25-K26</f>
        <v>14278</v>
      </c>
      <c r="L27" s="6">
        <f t="shared" si="25"/>
        <v>14858</v>
      </c>
      <c r="M27" s="6">
        <f t="shared" si="25"/>
        <v>17276</v>
      </c>
      <c r="N27" s="6">
        <f t="shared" si="25"/>
        <v>22862</v>
      </c>
      <c r="O27" s="6">
        <f>+O25-O26</f>
        <v>21040</v>
      </c>
      <c r="P27" s="6">
        <f t="shared" ref="P27:R27" si="26">+P25-P26</f>
        <v>23678</v>
      </c>
      <c r="Q27" s="6">
        <f t="shared" si="26"/>
        <v>23239</v>
      </c>
      <c r="R27" s="6">
        <f t="shared" si="26"/>
        <v>27323</v>
      </c>
      <c r="S27" s="6">
        <f>+S25-S26</f>
        <v>21903</v>
      </c>
      <c r="T27" s="6">
        <f>+T25-T26</f>
        <v>23630</v>
      </c>
      <c r="U27" s="6">
        <f>+U25-U26</f>
        <v>21998</v>
      </c>
      <c r="V27" s="6">
        <f>+V25*0.79</f>
        <v>26192.623800000001</v>
      </c>
      <c r="W27" s="6">
        <f>+W25*0.79</f>
        <v>20901.851600000002</v>
      </c>
      <c r="X27" s="6">
        <f t="shared" ref="X27:Z27" si="27">+X25*0.79</f>
        <v>21795.278399999999</v>
      </c>
      <c r="Y27" s="6">
        <f t="shared" si="27"/>
        <v>21086.885399999999</v>
      </c>
      <c r="Z27" s="6">
        <f t="shared" si="27"/>
        <v>24763.731524000003</v>
      </c>
      <c r="AG27" s="3">
        <f>+AG25-AG26</f>
        <v>46483</v>
      </c>
      <c r="AH27" s="3">
        <f>+AH25-AH26</f>
        <v>57927</v>
      </c>
      <c r="AI27" s="3">
        <f>+AI25-AI26</f>
        <v>69273</v>
      </c>
      <c r="AJ27" s="3">
        <f t="shared" ref="AJ27" si="28">+AJ25-AJ26</f>
        <v>95280</v>
      </c>
      <c r="AK27" s="3">
        <f>+AK25*0.81</f>
        <v>95255.368200000012</v>
      </c>
      <c r="AL27" s="3">
        <f t="shared" ref="AL27:AS27" si="29">+AL25*0.81</f>
        <v>90492.599789999993</v>
      </c>
      <c r="AM27" s="3">
        <f t="shared" si="29"/>
        <v>85967.969800499995</v>
      </c>
      <c r="AN27" s="3">
        <f t="shared" si="29"/>
        <v>94564.76678055001</v>
      </c>
      <c r="AO27" s="3">
        <f t="shared" si="29"/>
        <v>99293.005119577501</v>
      </c>
      <c r="AP27" s="3">
        <f t="shared" si="29"/>
        <v>102271.79527316483</v>
      </c>
      <c r="AQ27" s="3">
        <f t="shared" si="29"/>
        <v>105339.94913135978</v>
      </c>
      <c r="AR27" s="3">
        <f t="shared" si="29"/>
        <v>108500.14760530059</v>
      </c>
      <c r="AS27" s="3">
        <f t="shared" si="29"/>
        <v>111755.1520334596</v>
      </c>
    </row>
    <row r="28" spans="2:45" s="3" customFormat="1" x14ac:dyDescent="0.2">
      <c r="B28" s="3" t="s">
        <v>38</v>
      </c>
      <c r="C28" s="6">
        <v>2238</v>
      </c>
      <c r="D28" s="6">
        <v>2523</v>
      </c>
      <c r="E28" s="6">
        <v>2657</v>
      </c>
      <c r="F28" s="6">
        <v>2855</v>
      </c>
      <c r="G28" s="6">
        <v>2860</v>
      </c>
      <c r="H28" s="6">
        <v>3315</v>
      </c>
      <c r="I28" s="6">
        <v>3548</v>
      </c>
      <c r="J28" s="6">
        <v>3877</v>
      </c>
      <c r="K28" s="6">
        <v>4015</v>
      </c>
      <c r="L28" s="6">
        <v>4462</v>
      </c>
      <c r="M28" s="6">
        <v>4763</v>
      </c>
      <c r="N28" s="6">
        <v>5208</v>
      </c>
      <c r="O28" s="6">
        <v>5197</v>
      </c>
      <c r="P28" s="6">
        <v>6096</v>
      </c>
      <c r="Q28" s="6">
        <v>6316</v>
      </c>
      <c r="R28" s="6">
        <v>7046</v>
      </c>
      <c r="S28" s="6">
        <v>7707</v>
      </c>
      <c r="T28" s="6">
        <v>8690</v>
      </c>
      <c r="U28" s="6">
        <v>9170</v>
      </c>
      <c r="V28" s="6">
        <f t="shared" ref="V28" si="30">+U28-50</f>
        <v>9120</v>
      </c>
      <c r="W28" s="6">
        <f>+S28*0.9</f>
        <v>6936.3</v>
      </c>
      <c r="X28" s="6">
        <f t="shared" ref="X28:X30" si="31">+T28*0.9</f>
        <v>7821</v>
      </c>
      <c r="Y28" s="6">
        <f t="shared" ref="Y28:Y30" si="32">+U28*0.9</f>
        <v>8253</v>
      </c>
      <c r="Z28" s="6">
        <f t="shared" ref="Z28:Z30" si="33">+V28*0.9</f>
        <v>8208</v>
      </c>
      <c r="AG28" s="3">
        <v>10273</v>
      </c>
      <c r="AH28" s="3">
        <v>13600</v>
      </c>
      <c r="AI28" s="3">
        <v>18447</v>
      </c>
      <c r="AJ28" s="3">
        <v>24655</v>
      </c>
      <c r="AK28" s="3">
        <f t="shared" ref="AK28:AP28" si="34">+AJ28*0.9</f>
        <v>22189.5</v>
      </c>
      <c r="AL28" s="3">
        <f t="shared" si="34"/>
        <v>19970.55</v>
      </c>
      <c r="AM28" s="3">
        <f t="shared" si="34"/>
        <v>17973.494999999999</v>
      </c>
      <c r="AN28" s="3">
        <f t="shared" si="34"/>
        <v>16176.145499999999</v>
      </c>
      <c r="AO28" s="3">
        <f t="shared" si="34"/>
        <v>14558.530949999998</v>
      </c>
      <c r="AP28" s="3">
        <f t="shared" si="34"/>
        <v>13102.677854999998</v>
      </c>
      <c r="AQ28" s="3">
        <f t="shared" ref="AQ28:AS28" si="35">+AP28*0.9</f>
        <v>11792.410069499998</v>
      </c>
      <c r="AR28" s="3">
        <f t="shared" si="35"/>
        <v>10613.169062549998</v>
      </c>
      <c r="AS28" s="3">
        <f t="shared" si="35"/>
        <v>9551.8521562949991</v>
      </c>
    </row>
    <row r="29" spans="2:45" s="3" customFormat="1" x14ac:dyDescent="0.2">
      <c r="B29" s="3" t="s">
        <v>40</v>
      </c>
      <c r="C29" s="6">
        <v>1595</v>
      </c>
      <c r="D29" s="6">
        <v>1855</v>
      </c>
      <c r="E29" s="6">
        <v>1928</v>
      </c>
      <c r="F29" s="6">
        <v>2467</v>
      </c>
      <c r="G29" s="6">
        <v>2020</v>
      </c>
      <c r="H29" s="6">
        <v>2414</v>
      </c>
      <c r="I29" s="6">
        <v>2416</v>
      </c>
      <c r="J29" s="6">
        <v>3026</v>
      </c>
      <c r="K29" s="6">
        <v>2787</v>
      </c>
      <c r="L29" s="6">
        <v>2840</v>
      </c>
      <c r="M29" s="6">
        <v>2683</v>
      </c>
      <c r="N29" s="6">
        <v>3280</v>
      </c>
      <c r="O29" s="6">
        <v>2843</v>
      </c>
      <c r="P29" s="6">
        <v>3259</v>
      </c>
      <c r="Q29" s="6">
        <v>3554</v>
      </c>
      <c r="R29" s="6">
        <v>4387</v>
      </c>
      <c r="S29" s="6">
        <v>3312</v>
      </c>
      <c r="T29" s="6">
        <v>3595</v>
      </c>
      <c r="U29" s="6">
        <v>3780</v>
      </c>
      <c r="V29" s="6">
        <f t="shared" ref="V29" si="36">+R29</f>
        <v>4387</v>
      </c>
      <c r="W29" s="6">
        <f t="shared" ref="W29:W30" si="37">+S29*0.9</f>
        <v>2980.8</v>
      </c>
      <c r="X29" s="6">
        <f t="shared" si="31"/>
        <v>3235.5</v>
      </c>
      <c r="Y29" s="6">
        <f t="shared" si="32"/>
        <v>3402</v>
      </c>
      <c r="Z29" s="6">
        <f t="shared" si="33"/>
        <v>3948.3</v>
      </c>
      <c r="AG29" s="3">
        <v>7846</v>
      </c>
      <c r="AH29" s="3">
        <v>9876</v>
      </c>
      <c r="AI29" s="3">
        <v>11591</v>
      </c>
      <c r="AJ29" s="3">
        <v>14043</v>
      </c>
      <c r="AK29" s="3">
        <f>+AJ29</f>
        <v>14043</v>
      </c>
      <c r="AL29" s="3">
        <f t="shared" ref="AL29:AS29" si="38">+AK29</f>
        <v>14043</v>
      </c>
      <c r="AM29" s="3">
        <f t="shared" si="38"/>
        <v>14043</v>
      </c>
      <c r="AN29" s="3">
        <f t="shared" si="38"/>
        <v>14043</v>
      </c>
      <c r="AO29" s="3">
        <f t="shared" si="38"/>
        <v>14043</v>
      </c>
      <c r="AP29" s="3">
        <f t="shared" si="38"/>
        <v>14043</v>
      </c>
      <c r="AQ29" s="3">
        <f t="shared" si="38"/>
        <v>14043</v>
      </c>
      <c r="AR29" s="3">
        <f t="shared" si="38"/>
        <v>14043</v>
      </c>
      <c r="AS29" s="3">
        <f t="shared" si="38"/>
        <v>14043</v>
      </c>
    </row>
    <row r="30" spans="2:45" s="3" customFormat="1" x14ac:dyDescent="0.2">
      <c r="B30" s="3" t="s">
        <v>39</v>
      </c>
      <c r="C30" s="6">
        <v>757</v>
      </c>
      <c r="D30" s="6">
        <v>776</v>
      </c>
      <c r="E30" s="6">
        <v>943</v>
      </c>
      <c r="F30" s="6">
        <v>976</v>
      </c>
      <c r="G30" s="6">
        <f>4064-3000</f>
        <v>1064</v>
      </c>
      <c r="H30" s="6">
        <f>3224-2000</f>
        <v>1224</v>
      </c>
      <c r="I30" s="6">
        <v>1348</v>
      </c>
      <c r="J30" s="6">
        <v>1829</v>
      </c>
      <c r="K30" s="6">
        <v>1583</v>
      </c>
      <c r="L30" s="6">
        <v>1593</v>
      </c>
      <c r="M30" s="6">
        <v>1790</v>
      </c>
      <c r="N30" s="6">
        <v>1599</v>
      </c>
      <c r="O30" s="6">
        <v>1622</v>
      </c>
      <c r="P30" s="6">
        <v>1956</v>
      </c>
      <c r="Q30" s="6">
        <v>2946</v>
      </c>
      <c r="R30" s="6">
        <v>3305</v>
      </c>
      <c r="S30" s="6">
        <v>2360</v>
      </c>
      <c r="T30" s="6">
        <v>2987</v>
      </c>
      <c r="U30" s="6">
        <v>3384</v>
      </c>
      <c r="V30" s="6">
        <f t="shared" ref="V30" si="39">+R30</f>
        <v>3305</v>
      </c>
      <c r="W30" s="6">
        <f t="shared" si="37"/>
        <v>2124</v>
      </c>
      <c r="X30" s="6">
        <f t="shared" si="31"/>
        <v>2688.3</v>
      </c>
      <c r="Y30" s="6">
        <f t="shared" si="32"/>
        <v>3045.6</v>
      </c>
      <c r="Z30" s="6">
        <f t="shared" si="33"/>
        <v>2974.5</v>
      </c>
      <c r="AG30" s="3">
        <v>3451</v>
      </c>
      <c r="AH30" s="3">
        <f>10465-5000</f>
        <v>5465</v>
      </c>
      <c r="AI30" s="3">
        <v>6564</v>
      </c>
      <c r="AJ30" s="3">
        <v>9829</v>
      </c>
      <c r="AK30" s="3">
        <f t="shared" ref="AK30:AS30" si="40">+AJ30</f>
        <v>9829</v>
      </c>
      <c r="AL30" s="3">
        <f t="shared" si="40"/>
        <v>9829</v>
      </c>
      <c r="AM30" s="3">
        <f t="shared" si="40"/>
        <v>9829</v>
      </c>
      <c r="AN30" s="3">
        <f t="shared" si="40"/>
        <v>9829</v>
      </c>
      <c r="AO30" s="3">
        <f t="shared" si="40"/>
        <v>9829</v>
      </c>
      <c r="AP30" s="3">
        <f t="shared" si="40"/>
        <v>9829</v>
      </c>
      <c r="AQ30" s="3">
        <f t="shared" si="40"/>
        <v>9829</v>
      </c>
      <c r="AR30" s="3">
        <f t="shared" si="40"/>
        <v>9829</v>
      </c>
      <c r="AS30" s="3">
        <f t="shared" si="40"/>
        <v>9829</v>
      </c>
    </row>
    <row r="31" spans="2:45" s="3" customFormat="1" x14ac:dyDescent="0.2">
      <c r="B31" s="3" t="s">
        <v>41</v>
      </c>
      <c r="C31" s="6">
        <f t="shared" ref="C31:D31" si="41">+C30+C29+C28</f>
        <v>4590</v>
      </c>
      <c r="D31" s="6">
        <f t="shared" si="41"/>
        <v>5154</v>
      </c>
      <c r="E31" s="6">
        <f t="shared" ref="E31:G31" si="42">+E30+E29+E28</f>
        <v>5528</v>
      </c>
      <c r="F31" s="6">
        <f t="shared" si="42"/>
        <v>6298</v>
      </c>
      <c r="G31" s="6">
        <f t="shared" si="42"/>
        <v>5944</v>
      </c>
      <c r="H31" s="6">
        <f t="shared" ref="H31:I31" si="43">+H30+H29+H28</f>
        <v>6953</v>
      </c>
      <c r="I31" s="6">
        <f t="shared" si="43"/>
        <v>7312</v>
      </c>
      <c r="J31" s="6">
        <f t="shared" ref="J31:K31" si="44">+J30+J29+J28</f>
        <v>8732</v>
      </c>
      <c r="K31" s="6">
        <f t="shared" si="44"/>
        <v>8385</v>
      </c>
      <c r="L31" s="6">
        <f t="shared" ref="L31" si="45">+L30+L29+L28</f>
        <v>8895</v>
      </c>
      <c r="M31" s="6">
        <f t="shared" ref="M31" si="46">+M30+M29+M28</f>
        <v>9236</v>
      </c>
      <c r="N31" s="6">
        <f t="shared" ref="N31" si="47">+N30+N29+N28</f>
        <v>10087</v>
      </c>
      <c r="O31" s="6">
        <f t="shared" ref="O31:R31" si="48">+O30+O29+O28</f>
        <v>9662</v>
      </c>
      <c r="P31" s="6">
        <f t="shared" si="48"/>
        <v>11311</v>
      </c>
      <c r="Q31" s="6">
        <f t="shared" si="48"/>
        <v>12816</v>
      </c>
      <c r="R31" s="6">
        <f t="shared" si="48"/>
        <v>14738</v>
      </c>
      <c r="S31" s="6">
        <f>+S30+S29+S28</f>
        <v>13379</v>
      </c>
      <c r="T31" s="6">
        <f t="shared" ref="T31:V31" si="49">+T30+T29+T28</f>
        <v>15272</v>
      </c>
      <c r="U31" s="6">
        <f t="shared" si="49"/>
        <v>16334</v>
      </c>
      <c r="V31" s="6">
        <f t="shared" si="49"/>
        <v>16812</v>
      </c>
      <c r="W31" s="6">
        <f t="shared" ref="W31:Z31" si="50">+W30+W29+W28</f>
        <v>12041.1</v>
      </c>
      <c r="X31" s="6">
        <f t="shared" si="50"/>
        <v>13744.8</v>
      </c>
      <c r="Y31" s="6">
        <f t="shared" si="50"/>
        <v>14700.6</v>
      </c>
      <c r="Z31" s="6">
        <f t="shared" si="50"/>
        <v>15130.8</v>
      </c>
      <c r="AG31" s="3">
        <f>SUM(AG28:AG30)</f>
        <v>21570</v>
      </c>
      <c r="AH31" s="3">
        <f>SUM(AH28:AH30)</f>
        <v>28941</v>
      </c>
      <c r="AI31" s="3">
        <f>SUM(AI28:AI30)</f>
        <v>36602</v>
      </c>
      <c r="AJ31" s="3">
        <f t="shared" ref="AJ31" si="51">SUM(AJ28:AJ30)</f>
        <v>48527</v>
      </c>
      <c r="AK31" s="3">
        <f t="shared" ref="AK31" si="52">SUM(AK28:AK30)</f>
        <v>46061.5</v>
      </c>
      <c r="AL31" s="3">
        <f t="shared" ref="AL31" si="53">SUM(AL28:AL30)</f>
        <v>43842.55</v>
      </c>
      <c r="AM31" s="3">
        <f t="shared" ref="AM31" si="54">SUM(AM28:AM30)</f>
        <v>41845.494999999995</v>
      </c>
      <c r="AN31" s="3">
        <f t="shared" ref="AN31" si="55">SUM(AN28:AN30)</f>
        <v>40048.145499999999</v>
      </c>
      <c r="AO31" s="3">
        <f t="shared" ref="AO31" si="56">SUM(AO28:AO30)</f>
        <v>38430.53095</v>
      </c>
      <c r="AP31" s="3">
        <f t="shared" ref="AP31" si="57">SUM(AP28:AP30)</f>
        <v>36974.677855000002</v>
      </c>
      <c r="AQ31" s="3">
        <f t="shared" ref="AQ31" si="58">SUM(AQ28:AQ30)</f>
        <v>35664.410069499994</v>
      </c>
      <c r="AR31" s="3">
        <f t="shared" ref="AR31" si="59">SUM(AR28:AR30)</f>
        <v>34485.169062549998</v>
      </c>
      <c r="AS31" s="3">
        <f t="shared" ref="AS31" si="60">SUM(AS28:AS30)</f>
        <v>33423.852156294997</v>
      </c>
    </row>
    <row r="32" spans="2:45" s="3" customFormat="1" x14ac:dyDescent="0.2">
      <c r="B32" s="3" t="s">
        <v>42</v>
      </c>
      <c r="C32" s="6">
        <f t="shared" ref="C32:D32" si="61">+C27-C31</f>
        <v>5449</v>
      </c>
      <c r="D32" s="6">
        <f t="shared" si="61"/>
        <v>5863</v>
      </c>
      <c r="E32" s="6">
        <f t="shared" ref="E32:G32" si="62">+E27-E31</f>
        <v>5781</v>
      </c>
      <c r="F32" s="6">
        <f t="shared" si="62"/>
        <v>7820</v>
      </c>
      <c r="G32" s="6">
        <f t="shared" si="62"/>
        <v>6317</v>
      </c>
      <c r="H32" s="6">
        <f t="shared" ref="H32:I32" si="63">+H27-H31</f>
        <v>6626</v>
      </c>
      <c r="I32" s="6">
        <f t="shared" si="63"/>
        <v>7185</v>
      </c>
      <c r="J32" s="6">
        <f t="shared" ref="J32:K32" si="64">+J27-J31</f>
        <v>8858</v>
      </c>
      <c r="K32" s="6">
        <f t="shared" si="64"/>
        <v>5893</v>
      </c>
      <c r="L32" s="6">
        <f t="shared" ref="L32" si="65">+L27-L31</f>
        <v>5963</v>
      </c>
      <c r="M32" s="6">
        <f t="shared" ref="M32" si="66">+M27-M31</f>
        <v>8040</v>
      </c>
      <c r="N32" s="6">
        <f t="shared" ref="N32" si="67">+N27-N31</f>
        <v>12775</v>
      </c>
      <c r="O32" s="6">
        <f t="shared" ref="O32:R32" si="68">+O27-O31</f>
        <v>11378</v>
      </c>
      <c r="P32" s="6">
        <f t="shared" si="68"/>
        <v>12367</v>
      </c>
      <c r="Q32" s="6">
        <f t="shared" si="68"/>
        <v>10423</v>
      </c>
      <c r="R32" s="6">
        <f t="shared" si="68"/>
        <v>12585</v>
      </c>
      <c r="S32" s="6">
        <f>+S27-S31</f>
        <v>8524</v>
      </c>
      <c r="T32" s="6">
        <f t="shared" ref="T32:V32" si="69">+T27-T31</f>
        <v>8358</v>
      </c>
      <c r="U32" s="6">
        <f t="shared" si="69"/>
        <v>5664</v>
      </c>
      <c r="V32" s="6">
        <f t="shared" si="69"/>
        <v>9380.6238000000012</v>
      </c>
      <c r="W32" s="6">
        <f t="shared" ref="W32:Z32" si="70">+W27-W31</f>
        <v>8860.7516000000014</v>
      </c>
      <c r="X32" s="6">
        <f t="shared" si="70"/>
        <v>8050.4784</v>
      </c>
      <c r="Y32" s="6">
        <f t="shared" si="70"/>
        <v>6386.2853999999988</v>
      </c>
      <c r="Z32" s="6">
        <f t="shared" si="70"/>
        <v>9632.9315240000033</v>
      </c>
      <c r="AG32" s="3">
        <f>AG27-AG31</f>
        <v>24913</v>
      </c>
      <c r="AH32" s="3">
        <f>AH27-AH31</f>
        <v>28986</v>
      </c>
      <c r="AI32" s="3">
        <f>AI27-AI31</f>
        <v>32671</v>
      </c>
      <c r="AJ32" s="3">
        <f t="shared" ref="AJ32" si="71">AJ27-AJ31</f>
        <v>46753</v>
      </c>
      <c r="AK32" s="3">
        <f t="shared" ref="AK32" si="72">AK27-AK31</f>
        <v>49193.868200000012</v>
      </c>
      <c r="AL32" s="3">
        <f t="shared" ref="AL32" si="73">AL27-AL31</f>
        <v>46650.04978999999</v>
      </c>
      <c r="AM32" s="3">
        <f t="shared" ref="AM32" si="74">AM27-AM31</f>
        <v>44122.4748005</v>
      </c>
      <c r="AN32" s="3">
        <f t="shared" ref="AN32" si="75">AN27-AN31</f>
        <v>54516.621280550011</v>
      </c>
      <c r="AO32" s="3">
        <f t="shared" ref="AO32" si="76">AO27-AO31</f>
        <v>60862.474169577501</v>
      </c>
      <c r="AP32" s="3">
        <f t="shared" ref="AP32" si="77">AP27-AP31</f>
        <v>65297.117418164824</v>
      </c>
      <c r="AQ32" s="3">
        <f t="shared" ref="AQ32" si="78">AQ27-AQ31</f>
        <v>69675.539061859788</v>
      </c>
      <c r="AR32" s="3">
        <f t="shared" ref="AR32" si="79">AR27-AR31</f>
        <v>74014.978542750585</v>
      </c>
      <c r="AS32" s="3">
        <f t="shared" ref="AS32" si="80">AS27-AS31</f>
        <v>78331.299877164594</v>
      </c>
    </row>
    <row r="33" spans="2:101" s="3" customFormat="1" x14ac:dyDescent="0.2">
      <c r="B33" s="3" t="s">
        <v>43</v>
      </c>
      <c r="C33" s="6">
        <v>161</v>
      </c>
      <c r="D33" s="6">
        <v>5</v>
      </c>
      <c r="E33" s="6">
        <v>131</v>
      </c>
      <c r="F33" s="6">
        <v>151</v>
      </c>
      <c r="G33" s="6">
        <v>206</v>
      </c>
      <c r="H33" s="6">
        <v>206</v>
      </c>
      <c r="I33" s="6">
        <v>144</v>
      </c>
      <c r="J33" s="6">
        <v>311</v>
      </c>
      <c r="K33" s="6">
        <v>-32</v>
      </c>
      <c r="L33" s="6">
        <v>168</v>
      </c>
      <c r="M33" s="6">
        <v>93</v>
      </c>
      <c r="N33" s="6">
        <v>280</v>
      </c>
      <c r="O33" s="6">
        <v>125</v>
      </c>
      <c r="P33" s="6">
        <v>146</v>
      </c>
      <c r="Q33" s="6">
        <v>142</v>
      </c>
      <c r="R33" s="6">
        <v>117</v>
      </c>
      <c r="S33" s="6">
        <v>384</v>
      </c>
      <c r="T33" s="6">
        <v>-172</v>
      </c>
      <c r="U33" s="6">
        <v>-88</v>
      </c>
      <c r="V33" s="6">
        <f t="shared" ref="V33" si="81">+U33</f>
        <v>-88</v>
      </c>
      <c r="W33" s="6">
        <f>+V33</f>
        <v>-88</v>
      </c>
      <c r="X33" s="6">
        <f t="shared" ref="X33:Z33" si="82">+W33</f>
        <v>-88</v>
      </c>
      <c r="Y33" s="6">
        <f t="shared" si="82"/>
        <v>-88</v>
      </c>
      <c r="Z33" s="6">
        <f t="shared" si="82"/>
        <v>-88</v>
      </c>
      <c r="AG33" s="3">
        <v>448</v>
      </c>
      <c r="AH33" s="3">
        <v>826</v>
      </c>
      <c r="AI33" s="3">
        <v>509</v>
      </c>
      <c r="AJ33" s="3">
        <v>531</v>
      </c>
      <c r="AL33" s="3">
        <f>+AK52*$AX$51</f>
        <v>1116.6205055600001</v>
      </c>
      <c r="AM33" s="3">
        <f>+AL52*$AX$51</f>
        <v>1899.9938984071839</v>
      </c>
      <c r="AN33" s="3">
        <f>+AM52*$AX$51</f>
        <v>2654.7623850692617</v>
      </c>
      <c r="AO33" s="3">
        <f>+AN52*$AX$51</f>
        <v>3592.3730771854175</v>
      </c>
      <c r="AP33" s="3">
        <f>+AO52*$AX$51</f>
        <v>4649.4325720323295</v>
      </c>
      <c r="AQ33" s="3">
        <f>+AP52*$AX$51</f>
        <v>5796.5559918715635</v>
      </c>
      <c r="AR33" s="3">
        <f>+AQ52*$AX$51</f>
        <v>7034.2983507527579</v>
      </c>
      <c r="AS33" s="3">
        <f>+AR52*$AX$51</f>
        <v>8363.5064918062108</v>
      </c>
    </row>
    <row r="34" spans="2:101" s="3" customFormat="1" x14ac:dyDescent="0.2">
      <c r="B34" s="3" t="s">
        <v>44</v>
      </c>
      <c r="C34" s="6">
        <f t="shared" ref="C34:D34" si="83">+C32+C33</f>
        <v>5610</v>
      </c>
      <c r="D34" s="6">
        <f t="shared" si="83"/>
        <v>5868</v>
      </c>
      <c r="E34" s="6">
        <f t="shared" ref="E34:G34" si="84">+E32+E33</f>
        <v>5912</v>
      </c>
      <c r="F34" s="6">
        <f t="shared" si="84"/>
        <v>7971</v>
      </c>
      <c r="G34" s="6">
        <f t="shared" si="84"/>
        <v>6523</v>
      </c>
      <c r="H34" s="6">
        <f t="shared" ref="H34" si="85">+H32+H33</f>
        <v>6832</v>
      </c>
      <c r="I34" s="6">
        <f t="shared" ref="I34:J34" si="86">+I32+I33</f>
        <v>7329</v>
      </c>
      <c r="J34" s="6">
        <f t="shared" si="86"/>
        <v>9169</v>
      </c>
      <c r="K34" s="6">
        <f t="shared" ref="K34:R34" si="87">+K32+K33</f>
        <v>5861</v>
      </c>
      <c r="L34" s="6">
        <f t="shared" si="87"/>
        <v>6131</v>
      </c>
      <c r="M34" s="6">
        <f t="shared" si="87"/>
        <v>8133</v>
      </c>
      <c r="N34" s="6">
        <f t="shared" si="87"/>
        <v>13055</v>
      </c>
      <c r="O34" s="6">
        <f t="shared" si="87"/>
        <v>11503</v>
      </c>
      <c r="P34" s="6">
        <f t="shared" si="87"/>
        <v>12513</v>
      </c>
      <c r="Q34" s="6">
        <f t="shared" si="87"/>
        <v>10565</v>
      </c>
      <c r="R34" s="6">
        <f t="shared" si="87"/>
        <v>12702</v>
      </c>
      <c r="S34" s="6">
        <f>+S32+S33</f>
        <v>8908</v>
      </c>
      <c r="T34" s="6">
        <f t="shared" ref="T34:Z34" si="88">+T32+T33</f>
        <v>8186</v>
      </c>
      <c r="U34" s="6">
        <f t="shared" si="88"/>
        <v>5576</v>
      </c>
      <c r="V34" s="6">
        <f t="shared" si="88"/>
        <v>9292.6238000000012</v>
      </c>
      <c r="W34" s="6">
        <f t="shared" si="88"/>
        <v>8772.7516000000014</v>
      </c>
      <c r="X34" s="6">
        <f t="shared" si="88"/>
        <v>7962.4784</v>
      </c>
      <c r="Y34" s="6">
        <f t="shared" si="88"/>
        <v>6298.2853999999988</v>
      </c>
      <c r="Z34" s="6">
        <f t="shared" si="88"/>
        <v>9544.9315240000033</v>
      </c>
      <c r="AG34" s="3">
        <f>+AG32+AG33</f>
        <v>25361</v>
      </c>
      <c r="AH34" s="3">
        <f>+AH32+AH33</f>
        <v>29812</v>
      </c>
      <c r="AI34" s="3">
        <f>+AI32+AI33</f>
        <v>33180</v>
      </c>
      <c r="AJ34" s="3">
        <f t="shared" ref="AJ34" si="89">+AJ32+AJ33</f>
        <v>47284</v>
      </c>
      <c r="AK34" s="3">
        <f t="shared" ref="AK34" si="90">+AK32+AK33</f>
        <v>49193.868200000012</v>
      </c>
      <c r="AL34" s="3">
        <f t="shared" ref="AL34" si="91">+AL32+AL33</f>
        <v>47766.67029555999</v>
      </c>
      <c r="AM34" s="3">
        <f t="shared" ref="AM34" si="92">+AM32+AM33</f>
        <v>46022.468698907185</v>
      </c>
      <c r="AN34" s="3">
        <f t="shared" ref="AN34" si="93">+AN32+AN33</f>
        <v>57171.383665619273</v>
      </c>
      <c r="AO34" s="3">
        <f t="shared" ref="AO34" si="94">+AO32+AO33</f>
        <v>64454.847246762918</v>
      </c>
      <c r="AP34" s="3">
        <f t="shared" ref="AP34" si="95">+AP32+AP33</f>
        <v>69946.549990197149</v>
      </c>
      <c r="AQ34" s="3">
        <f t="shared" ref="AQ34" si="96">+AQ32+AQ33</f>
        <v>75472.095053731347</v>
      </c>
      <c r="AR34" s="3">
        <f t="shared" ref="AR34" si="97">+AR32+AR33</f>
        <v>81049.276893503338</v>
      </c>
      <c r="AS34" s="3">
        <f t="shared" ref="AS34" si="98">+AS32+AS33</f>
        <v>86694.806368970807</v>
      </c>
    </row>
    <row r="35" spans="2:101" s="3" customFormat="1" x14ac:dyDescent="0.2">
      <c r="B35" s="3" t="s">
        <v>45</v>
      </c>
      <c r="C35" s="6">
        <f>622+1</f>
        <v>623</v>
      </c>
      <c r="D35" s="6">
        <v>762</v>
      </c>
      <c r="E35" s="6">
        <v>775</v>
      </c>
      <c r="F35" s="6">
        <v>1089</v>
      </c>
      <c r="G35" s="6">
        <v>2216</v>
      </c>
      <c r="H35" s="6">
        <v>2216</v>
      </c>
      <c r="I35" s="6">
        <v>1238</v>
      </c>
      <c r="J35" s="6">
        <v>1820</v>
      </c>
      <c r="K35" s="6">
        <v>959</v>
      </c>
      <c r="L35" s="6">
        <v>953</v>
      </c>
      <c r="M35" s="6">
        <v>287</v>
      </c>
      <c r="N35" s="6">
        <v>1836</v>
      </c>
      <c r="O35" s="6">
        <v>2006</v>
      </c>
      <c r="P35" s="6">
        <v>2119</v>
      </c>
      <c r="Q35" s="6">
        <v>1371</v>
      </c>
      <c r="R35" s="6">
        <v>2417</v>
      </c>
      <c r="S35" s="6">
        <v>1443</v>
      </c>
      <c r="T35" s="6">
        <v>1499</v>
      </c>
      <c r="U35" s="6">
        <v>1181</v>
      </c>
      <c r="V35" s="6">
        <f t="shared" ref="V35:Z35" si="99">+V34*0.19</f>
        <v>1765.5985220000002</v>
      </c>
      <c r="W35" s="6">
        <f t="shared" si="99"/>
        <v>1666.8228040000004</v>
      </c>
      <c r="X35" s="6">
        <f t="shared" si="99"/>
        <v>1512.8708959999999</v>
      </c>
      <c r="Y35" s="6">
        <f t="shared" si="99"/>
        <v>1196.6742259999999</v>
      </c>
      <c r="Z35" s="6">
        <f t="shared" si="99"/>
        <v>1813.5369895600006</v>
      </c>
      <c r="AG35" s="3">
        <f>3249+1</f>
        <v>3250</v>
      </c>
      <c r="AH35" s="3">
        <v>6327</v>
      </c>
      <c r="AI35" s="3">
        <v>4034</v>
      </c>
      <c r="AJ35" s="3">
        <v>7914</v>
      </c>
      <c r="AK35" s="3">
        <f>+AK34*0.18</f>
        <v>8854.8962760000013</v>
      </c>
      <c r="AL35" s="3">
        <f t="shared" ref="AL35:AS35" si="100">+AL34*0.18</f>
        <v>8598.0006532007974</v>
      </c>
      <c r="AM35" s="3">
        <f t="shared" si="100"/>
        <v>8284.0443658032927</v>
      </c>
      <c r="AN35" s="3">
        <f t="shared" si="100"/>
        <v>10290.849059811469</v>
      </c>
      <c r="AO35" s="3">
        <f t="shared" si="100"/>
        <v>11601.872504417324</v>
      </c>
      <c r="AP35" s="3">
        <f t="shared" si="100"/>
        <v>12590.378998235487</v>
      </c>
      <c r="AQ35" s="3">
        <f t="shared" si="100"/>
        <v>13584.977109671641</v>
      </c>
      <c r="AR35" s="3">
        <f t="shared" si="100"/>
        <v>14588.869840830601</v>
      </c>
      <c r="AS35" s="3">
        <f t="shared" si="100"/>
        <v>15605.065146414745</v>
      </c>
    </row>
    <row r="36" spans="2:101" s="3" customFormat="1" x14ac:dyDescent="0.2">
      <c r="B36" s="3" t="s">
        <v>46</v>
      </c>
      <c r="C36" s="6">
        <f t="shared" ref="C36:D36" si="101">+C34-C35</f>
        <v>4987</v>
      </c>
      <c r="D36" s="6">
        <f t="shared" si="101"/>
        <v>5106</v>
      </c>
      <c r="E36" s="6">
        <f t="shared" ref="E36:G36" si="102">+E34-E35</f>
        <v>5137</v>
      </c>
      <c r="F36" s="6">
        <f t="shared" si="102"/>
        <v>6882</v>
      </c>
      <c r="G36" s="6">
        <f t="shared" si="102"/>
        <v>4307</v>
      </c>
      <c r="H36" s="6">
        <f t="shared" ref="H36" si="103">+H34-H35</f>
        <v>4616</v>
      </c>
      <c r="I36" s="6">
        <f t="shared" ref="I36:J36" si="104">+I34-I35</f>
        <v>6091</v>
      </c>
      <c r="J36" s="6">
        <f t="shared" si="104"/>
        <v>7349</v>
      </c>
      <c r="K36" s="6">
        <f t="shared" ref="K36:L36" si="105">+K34-K35</f>
        <v>4902</v>
      </c>
      <c r="L36" s="6">
        <f t="shared" si="105"/>
        <v>5178</v>
      </c>
      <c r="M36" s="6">
        <f t="shared" ref="M36:R36" si="106">+M34-M35</f>
        <v>7846</v>
      </c>
      <c r="N36" s="6">
        <f t="shared" si="106"/>
        <v>11219</v>
      </c>
      <c r="O36" s="6">
        <f t="shared" si="106"/>
        <v>9497</v>
      </c>
      <c r="P36" s="6">
        <f t="shared" si="106"/>
        <v>10394</v>
      </c>
      <c r="Q36" s="6">
        <f t="shared" si="106"/>
        <v>9194</v>
      </c>
      <c r="R36" s="6">
        <f t="shared" si="106"/>
        <v>10285</v>
      </c>
      <c r="S36" s="6">
        <f>+S34-S35</f>
        <v>7465</v>
      </c>
      <c r="T36" s="6">
        <f t="shared" ref="T36:V36" si="107">+T34-T35</f>
        <v>6687</v>
      </c>
      <c r="U36" s="6">
        <f t="shared" si="107"/>
        <v>4395</v>
      </c>
      <c r="V36" s="6">
        <f t="shared" si="107"/>
        <v>7527.025278000001</v>
      </c>
      <c r="W36" s="6">
        <f t="shared" ref="W36:Z36" si="108">+W34-W35</f>
        <v>7105.9287960000011</v>
      </c>
      <c r="X36" s="6">
        <f t="shared" si="108"/>
        <v>6449.6075039999996</v>
      </c>
      <c r="Y36" s="6">
        <f t="shared" si="108"/>
        <v>5101.6111739999988</v>
      </c>
      <c r="Z36" s="6">
        <f t="shared" si="108"/>
        <v>7731.3945344400026</v>
      </c>
      <c r="AG36" s="3">
        <f>+AG34-AG35</f>
        <v>22111</v>
      </c>
      <c r="AH36" s="3">
        <f>+AH34-AH35</f>
        <v>23485</v>
      </c>
      <c r="AI36" s="3">
        <f>+AI34-AI35</f>
        <v>29146</v>
      </c>
      <c r="AJ36" s="3">
        <f t="shared" ref="AJ36" si="109">+AJ34-AJ35</f>
        <v>39370</v>
      </c>
      <c r="AK36" s="3">
        <f t="shared" ref="AK36" si="110">+AK34-AK35</f>
        <v>40338.971924000012</v>
      </c>
      <c r="AL36" s="3">
        <f t="shared" ref="AL36" si="111">+AL34-AL35</f>
        <v>39168.669642359193</v>
      </c>
      <c r="AM36" s="3">
        <f t="shared" ref="AM36" si="112">+AM34-AM35</f>
        <v>37738.424333103889</v>
      </c>
      <c r="AN36" s="3">
        <f t="shared" ref="AN36" si="113">+AN34-AN35</f>
        <v>46880.534605807799</v>
      </c>
      <c r="AO36" s="3">
        <f t="shared" ref="AO36" si="114">+AO34-AO35</f>
        <v>52852.974742345592</v>
      </c>
      <c r="AP36" s="3">
        <f t="shared" ref="AP36" si="115">+AP34-AP35</f>
        <v>57356.170991961662</v>
      </c>
      <c r="AQ36" s="3">
        <f t="shared" ref="AQ36" si="116">+AQ34-AQ35</f>
        <v>61887.117944059704</v>
      </c>
      <c r="AR36" s="3">
        <f t="shared" ref="AR36" si="117">+AR34-AR35</f>
        <v>66460.40705267273</v>
      </c>
      <c r="AS36" s="3">
        <f t="shared" ref="AS36" si="118">+AS34-AS35</f>
        <v>71089.741222556069</v>
      </c>
      <c r="AT36" s="3">
        <f>+AS36*(1+$AX$50)</f>
        <v>67535.254161428267</v>
      </c>
      <c r="AU36" s="3">
        <f>+AT36*(1+$AX$50)</f>
        <v>64158.491453356852</v>
      </c>
      <c r="AV36" s="3">
        <f>+AU36*(1+$AX$50)</f>
        <v>60950.56688068901</v>
      </c>
      <c r="AW36" s="3">
        <f>+AV36*(1+$AX$50)</f>
        <v>57903.03853665456</v>
      </c>
      <c r="AX36" s="3">
        <f>+AW36*(1+$AX$50)</f>
        <v>55007.886609821828</v>
      </c>
      <c r="AY36" s="3">
        <f>+AX36*(1+$AX$50)</f>
        <v>52257.492279330734</v>
      </c>
      <c r="AZ36" s="3">
        <f>+AY36*(1+$AX$50)</f>
        <v>49644.617665364196</v>
      </c>
      <c r="BA36" s="3">
        <f>+AZ36*(1+$AX$50)</f>
        <v>47162.386782095986</v>
      </c>
      <c r="BB36" s="3">
        <f>+BA36*(1+$AX$50)</f>
        <v>44804.267442991186</v>
      </c>
      <c r="BC36" s="3">
        <f>+BB36*(1+$AX$50)</f>
        <v>42564.054070841623</v>
      </c>
      <c r="BD36" s="3">
        <f>+BC36*(1+$AX$50)</f>
        <v>40435.85136729954</v>
      </c>
      <c r="BE36" s="3">
        <f>+BD36*(1+$AX$50)</f>
        <v>38414.058798934559</v>
      </c>
      <c r="BF36" s="3">
        <f>+BE36*(1+$AX$50)</f>
        <v>36493.35585898783</v>
      </c>
      <c r="BG36" s="3">
        <f>+BF36*(1+$AX$50)</f>
        <v>34668.688066038434</v>
      </c>
      <c r="BH36" s="3">
        <f>+BG36*(1+$AX$50)</f>
        <v>32935.253662736512</v>
      </c>
      <c r="BI36" s="3">
        <f>+BH36*(1+$AX$50)</f>
        <v>31288.490979599683</v>
      </c>
      <c r="BJ36" s="3">
        <f>+BI36*(1+$AX$50)</f>
        <v>29724.066430619696</v>
      </c>
      <c r="BK36" s="3">
        <f>+BJ36*(1+$AX$50)</f>
        <v>28237.86310908871</v>
      </c>
      <c r="BL36" s="3">
        <f>+BK36*(1+$AX$50)</f>
        <v>26825.969953634274</v>
      </c>
      <c r="BM36" s="3">
        <f>+BL36*(1+$AX$50)</f>
        <v>25484.671455952561</v>
      </c>
      <c r="BN36" s="3">
        <f>+BM36*(1+$AX$50)</f>
        <v>24210.437883154933</v>
      </c>
      <c r="BO36" s="3">
        <f>+BN36*(1+$AX$50)</f>
        <v>22999.915988997185</v>
      </c>
      <c r="BP36" s="3">
        <f>+BO36*(1+$AX$50)</f>
        <v>21849.920189547323</v>
      </c>
      <c r="BQ36" s="3">
        <f>+BP36*(1+$AX$50)</f>
        <v>20757.424180069956</v>
      </c>
      <c r="BR36" s="3">
        <f>+BQ36*(1+$AX$50)</f>
        <v>19719.552971066456</v>
      </c>
      <c r="BS36" s="3">
        <f>+BR36*(1+$AX$50)</f>
        <v>18733.575322513134</v>
      </c>
      <c r="BT36" s="3">
        <f>+BS36*(1+$AX$50)</f>
        <v>17796.896556387477</v>
      </c>
      <c r="BU36" s="3">
        <f>+BT36*(1+$AX$50)</f>
        <v>16907.051728568102</v>
      </c>
      <c r="BV36" s="3">
        <f>+BU36*(1+$AX$50)</f>
        <v>16061.699142139696</v>
      </c>
      <c r="BW36" s="3">
        <f>+BV36*(1+$AX$50)</f>
        <v>15258.614185032711</v>
      </c>
      <c r="BX36" s="3">
        <f>+BW36*(1+$AX$50)</f>
        <v>14495.683475781076</v>
      </c>
      <c r="BY36" s="3">
        <f>+BX36*(1+$AX$50)</f>
        <v>13770.899301992022</v>
      </c>
      <c r="BZ36" s="3">
        <f>+BY36*(1+$AX$50)</f>
        <v>13082.35433689242</v>
      </c>
      <c r="CA36" s="3">
        <f>+BZ36*(1+$AX$50)</f>
        <v>12428.236620047799</v>
      </c>
      <c r="CB36" s="3">
        <f>+CA36*(1+$AX$50)</f>
        <v>11806.824789045408</v>
      </c>
      <c r="CC36" s="3">
        <f>+CB36*(1+$AX$50)</f>
        <v>11216.483549593137</v>
      </c>
      <c r="CD36" s="3">
        <f>+CC36*(1+$AX$50)</f>
        <v>10655.65937211348</v>
      </c>
      <c r="CE36" s="3">
        <f>+CD36*(1+$AX$50)</f>
        <v>10122.876403507806</v>
      </c>
      <c r="CF36" s="3">
        <f>+CE36*(1+$AX$50)</f>
        <v>9616.7325833324157</v>
      </c>
      <c r="CG36" s="3">
        <f>+CF36*(1+$AX$50)</f>
        <v>9135.895954165795</v>
      </c>
      <c r="CH36" s="3">
        <f>+CG36*(1+$AX$50)</f>
        <v>8679.1011564575056</v>
      </c>
      <c r="CI36" s="3">
        <f>+CH36*(1+$AX$50)</f>
        <v>8245.1460986346301</v>
      </c>
      <c r="CJ36" s="3">
        <f>+CI36*(1+$AX$50)</f>
        <v>7832.8887937028985</v>
      </c>
      <c r="CK36" s="3">
        <f>+CJ36*(1+$AX$50)</f>
        <v>7441.2443540177528</v>
      </c>
      <c r="CL36" s="3">
        <f>+CK36*(1+$AX$50)</f>
        <v>7069.1821363168647</v>
      </c>
      <c r="CM36" s="3">
        <f>+CL36*(1+$AX$50)</f>
        <v>6715.7230295010213</v>
      </c>
      <c r="CN36" s="3">
        <f>+CM36*(1+$AX$50)</f>
        <v>6379.9368780259701</v>
      </c>
      <c r="CO36" s="3">
        <f>+CN36*(1+$AX$50)</f>
        <v>6060.940034124671</v>
      </c>
      <c r="CP36" s="3">
        <f>+CO36*(1+$AX$50)</f>
        <v>5757.8930324184375</v>
      </c>
      <c r="CQ36" s="3">
        <f>+CP36*(1+$AX$50)</f>
        <v>5469.998380797515</v>
      </c>
      <c r="CR36" s="3">
        <f>+CQ36*(1+$AX$50)</f>
        <v>5196.4984617576392</v>
      </c>
      <c r="CS36" s="3">
        <f>+CR36*(1+$AX$50)</f>
        <v>4936.6735386697574</v>
      </c>
      <c r="CT36" s="3">
        <f>+CS36*(1+$AX$50)</f>
        <v>4689.8398617362691</v>
      </c>
      <c r="CU36" s="3">
        <f>+CT36*(1+$AX$50)</f>
        <v>4455.3478686494554</v>
      </c>
      <c r="CV36" s="3">
        <f>+CU36*(1+$AX$50)</f>
        <v>4232.5804752169824</v>
      </c>
      <c r="CW36" s="3">
        <f>+CV36*(1+$AX$50)</f>
        <v>4020.9514514561333</v>
      </c>
    </row>
    <row r="37" spans="2:101" x14ac:dyDescent="0.2">
      <c r="B37" s="3" t="s">
        <v>47</v>
      </c>
      <c r="C37" s="9">
        <f t="shared" ref="C37:D37" si="119">+C36/C38</f>
        <v>1.6933786078098472</v>
      </c>
      <c r="D37" s="9">
        <f t="shared" si="119"/>
        <v>1.7426621160409557</v>
      </c>
      <c r="E37" s="9">
        <f t="shared" ref="E37:G37" si="120">+E36/E38</f>
        <v>1.7634740817027119</v>
      </c>
      <c r="F37" s="9">
        <f t="shared" si="120"/>
        <v>2.3846153846153846</v>
      </c>
      <c r="G37" s="9">
        <f t="shared" si="120"/>
        <v>1.4980869565217392</v>
      </c>
      <c r="H37" s="9">
        <f t="shared" ref="H37" si="121">+H36/H38</f>
        <v>1.6055652173913044</v>
      </c>
      <c r="I37" s="9">
        <f t="shared" ref="I37:J37" si="122">+I36/I38</f>
        <v>2.1193458594293668</v>
      </c>
      <c r="J37" s="9">
        <f t="shared" si="122"/>
        <v>2.559735283873215</v>
      </c>
      <c r="K37" s="9">
        <f t="shared" ref="K37:L37" si="123">+K36/K38</f>
        <v>1.7092050209205021</v>
      </c>
      <c r="L37" s="9">
        <f t="shared" si="123"/>
        <v>1.7985411601250434</v>
      </c>
      <c r="M37" s="9">
        <f t="shared" ref="M37:R37" si="124">+M36/M38</f>
        <v>2.7139398132134209</v>
      </c>
      <c r="N37" s="9">
        <f t="shared" si="124"/>
        <v>3.882006920415225</v>
      </c>
      <c r="O37" s="9">
        <f t="shared" si="124"/>
        <v>3.2952810548230396</v>
      </c>
      <c r="P37" s="9">
        <f t="shared" si="124"/>
        <v>3.6127911018421965</v>
      </c>
      <c r="Q37" s="9">
        <f t="shared" si="124"/>
        <v>3.2158097236796084</v>
      </c>
      <c r="R37" s="9">
        <f t="shared" si="124"/>
        <v>3.6745266166488033</v>
      </c>
      <c r="S37" s="9">
        <f>+S36/S38</f>
        <v>2.7224653537563821</v>
      </c>
      <c r="T37" s="9">
        <f t="shared" ref="T37:V37" si="125">+T36/T38</f>
        <v>2.4647991153704387</v>
      </c>
      <c r="U37" s="9">
        <f t="shared" si="125"/>
        <v>1.6356531447711202</v>
      </c>
      <c r="V37" s="9">
        <f t="shared" si="125"/>
        <v>2.8012747592110165</v>
      </c>
      <c r="W37" s="9">
        <f t="shared" ref="W37:Z37" si="126">+W36/W38</f>
        <v>2.6445585396352813</v>
      </c>
      <c r="X37" s="9">
        <f t="shared" si="126"/>
        <v>2.4003005225158169</v>
      </c>
      <c r="Y37" s="9">
        <f t="shared" si="126"/>
        <v>1.8986271581689611</v>
      </c>
      <c r="Z37" s="9">
        <f t="shared" si="126"/>
        <v>2.877333284123559</v>
      </c>
      <c r="AG37" s="17">
        <f>+AG36/AG38</f>
        <v>7.5696679219445393</v>
      </c>
      <c r="AH37" s="17">
        <f>+AH36/AH38</f>
        <v>8.1658553546592483</v>
      </c>
      <c r="AI37" s="17">
        <f>+AI36/AI38</f>
        <v>10.092105263157896</v>
      </c>
      <c r="AJ37" s="17">
        <f t="shared" ref="AJ37" si="127">+AJ36/AJ38</f>
        <v>13.770549143057012</v>
      </c>
      <c r="AK37" s="17">
        <f t="shared" ref="AK37" si="128">+AK36/AK38</f>
        <v>14.900349773386282</v>
      </c>
      <c r="AL37" s="17">
        <f t="shared" ref="AL37" si="129">+AL36/AL38</f>
        <v>14.468065247893321</v>
      </c>
      <c r="AM37" s="17">
        <f t="shared" ref="AM37" si="130">+AM36/AM38</f>
        <v>13.939763351409692</v>
      </c>
      <c r="AN37" s="17">
        <f t="shared" ref="AN37" si="131">+AN36/AN38</f>
        <v>17.316662519459893</v>
      </c>
      <c r="AO37" s="17">
        <f t="shared" ref="AO37" si="132">+AO36/AO38</f>
        <v>19.522753621699358</v>
      </c>
      <c r="AP37" s="17">
        <f t="shared" ref="AP37" si="133">+AP36/AP38</f>
        <v>21.18613759052975</v>
      </c>
      <c r="AQ37" s="17">
        <f t="shared" ref="AQ37" si="134">+AQ36/AQ38</f>
        <v>22.859772072789621</v>
      </c>
      <c r="AR37" s="17">
        <f t="shared" ref="AR37" si="135">+AR36/AR38</f>
        <v>24.549046838183667</v>
      </c>
      <c r="AS37" s="17">
        <f t="shared" ref="AS37" si="136">+AS36/AS38</f>
        <v>26.259023445398864</v>
      </c>
    </row>
    <row r="38" spans="2:101" s="3" customFormat="1" x14ac:dyDescent="0.2">
      <c r="B38" s="3" t="s">
        <v>2</v>
      </c>
      <c r="C38" s="6">
        <v>2945</v>
      </c>
      <c r="D38" s="6">
        <v>2930</v>
      </c>
      <c r="E38" s="6">
        <v>2913</v>
      </c>
      <c r="F38" s="6">
        <v>2886</v>
      </c>
      <c r="G38" s="6">
        <v>2875</v>
      </c>
      <c r="H38" s="6">
        <v>2875</v>
      </c>
      <c r="I38" s="6">
        <v>2874</v>
      </c>
      <c r="J38" s="6">
        <v>2871</v>
      </c>
      <c r="K38" s="6">
        <v>2868</v>
      </c>
      <c r="L38" s="6">
        <v>2879</v>
      </c>
      <c r="M38" s="6">
        <v>2891</v>
      </c>
      <c r="N38" s="6">
        <v>2890</v>
      </c>
      <c r="O38" s="6">
        <v>2882</v>
      </c>
      <c r="P38" s="6">
        <v>2877</v>
      </c>
      <c r="Q38" s="6">
        <v>2859</v>
      </c>
      <c r="R38" s="6">
        <v>2799</v>
      </c>
      <c r="S38" s="6">
        <v>2742</v>
      </c>
      <c r="T38" s="6">
        <v>2713</v>
      </c>
      <c r="U38" s="6">
        <v>2687</v>
      </c>
      <c r="V38" s="6">
        <f>+U38</f>
        <v>2687</v>
      </c>
      <c r="W38" s="6">
        <f>+V38</f>
        <v>2687</v>
      </c>
      <c r="X38" s="6">
        <f t="shared" ref="X38:Z38" si="137">+W38</f>
        <v>2687</v>
      </c>
      <c r="Y38" s="6">
        <f t="shared" si="137"/>
        <v>2687</v>
      </c>
      <c r="Z38" s="6">
        <f t="shared" si="137"/>
        <v>2687</v>
      </c>
      <c r="AF38" s="3">
        <f>2395.921635+509.079123</f>
        <v>2905.0007580000001</v>
      </c>
      <c r="AG38" s="3">
        <v>2921</v>
      </c>
      <c r="AH38" s="3">
        <v>2876</v>
      </c>
      <c r="AI38" s="3">
        <v>2888</v>
      </c>
      <c r="AJ38" s="3">
        <v>2859</v>
      </c>
      <c r="AK38" s="3">
        <f>AVERAGE(S38:V38)</f>
        <v>2707.25</v>
      </c>
      <c r="AL38" s="3">
        <f t="shared" ref="AL38:AS38" si="138">+AK38</f>
        <v>2707.25</v>
      </c>
      <c r="AM38" s="3">
        <f t="shared" si="138"/>
        <v>2707.25</v>
      </c>
      <c r="AN38" s="3">
        <f t="shared" si="138"/>
        <v>2707.25</v>
      </c>
      <c r="AO38" s="3">
        <f t="shared" si="138"/>
        <v>2707.25</v>
      </c>
      <c r="AP38" s="3">
        <f t="shared" si="138"/>
        <v>2707.25</v>
      </c>
      <c r="AQ38" s="3">
        <f t="shared" si="138"/>
        <v>2707.25</v>
      </c>
      <c r="AR38" s="3">
        <f t="shared" si="138"/>
        <v>2707.25</v>
      </c>
      <c r="AS38" s="3">
        <f t="shared" si="138"/>
        <v>2707.25</v>
      </c>
    </row>
    <row r="39" spans="2:101" x14ac:dyDescent="0.2">
      <c r="S39" s="6"/>
    </row>
    <row r="40" spans="2:101" s="4" customFormat="1" x14ac:dyDescent="0.2">
      <c r="B40" s="7" t="s">
        <v>48</v>
      </c>
      <c r="C40" s="12"/>
      <c r="D40" s="12"/>
      <c r="E40" s="12"/>
      <c r="F40" s="12"/>
      <c r="G40" s="11">
        <f t="shared" ref="G40:K40" si="139">+G25/C25-1</f>
        <v>0.25998662878154777</v>
      </c>
      <c r="H40" s="11">
        <f t="shared" si="139"/>
        <v>0.2762451817700855</v>
      </c>
      <c r="I40" s="11">
        <f t="shared" si="139"/>
        <v>0.2859328331026445</v>
      </c>
      <c r="J40" s="11">
        <f t="shared" si="139"/>
        <v>0.2464230814709707</v>
      </c>
      <c r="K40" s="11">
        <f t="shared" si="139"/>
        <v>0.17642767128739134</v>
      </c>
      <c r="L40" s="11">
        <f>+L25/H25-1</f>
        <v>0.10665640175293145</v>
      </c>
      <c r="M40" s="11">
        <f>+M25/I25-1</f>
        <v>0.21629277135735325</v>
      </c>
      <c r="N40" s="11">
        <f>+N25/J25-1</f>
        <v>0.33156247035385644</v>
      </c>
      <c r="O40" s="11">
        <f>+O25/K25-1</f>
        <v>0.47550318543158365</v>
      </c>
      <c r="P40" s="11">
        <f>+P25/L25-1</f>
        <v>0.5560014983678494</v>
      </c>
      <c r="Q40" s="11">
        <f t="shared" ref="Q40:R40" si="140">+Q25/M25-1</f>
        <v>0.35118770377270603</v>
      </c>
      <c r="R40" s="11">
        <f t="shared" si="140"/>
        <v>0.19945141065830718</v>
      </c>
      <c r="S40" s="11">
        <f>+S25/O25-1</f>
        <v>6.6371174200450911E-2</v>
      </c>
      <c r="T40" s="11">
        <f>+T25/P25-1</f>
        <v>-8.7698180692643568E-3</v>
      </c>
      <c r="U40" s="11">
        <f>+U25/Q25-1</f>
        <v>-4.4674250258531556E-2</v>
      </c>
      <c r="V40" s="11">
        <f t="shared" ref="V40" si="141">+V25/R25-1</f>
        <v>-1.5318226366903276E-2</v>
      </c>
      <c r="W40" s="11">
        <f t="shared" ref="W40" si="142">+W25/S25-1</f>
        <v>-5.1954994983517189E-2</v>
      </c>
      <c r="X40" s="11">
        <f t="shared" ref="X40" si="143">+X25/T25-1</f>
        <v>-4.2781208798834292E-2</v>
      </c>
      <c r="Y40" s="11">
        <f t="shared" ref="Y40" si="144">+Y25/U25-1</f>
        <v>-3.6867287291621587E-2</v>
      </c>
      <c r="Z40" s="11">
        <f t="shared" ref="Z40" si="145">+Z25/V25-1</f>
        <v>-5.4553231738471375E-2</v>
      </c>
      <c r="AC40" s="18">
        <f t="shared" ref="AC40:AH40" si="146">+AC25/AB25-1</f>
        <v>0.58358739837398366</v>
      </c>
      <c r="AD40" s="18">
        <f t="shared" si="146"/>
        <v>0.43815177282207607</v>
      </c>
      <c r="AE40" s="18">
        <f t="shared" si="146"/>
        <v>0.54161088799643009</v>
      </c>
      <c r="AF40" s="18">
        <f t="shared" si="146"/>
        <v>0.47090961719371882</v>
      </c>
      <c r="AG40" s="18">
        <f t="shared" si="146"/>
        <v>0.37352716896661997</v>
      </c>
      <c r="AH40" s="18">
        <f>+AH25/AG25-1</f>
        <v>0.26610910132884413</v>
      </c>
      <c r="AI40" s="18">
        <f>+AI25/AH25-1</f>
        <v>0.21596390228722573</v>
      </c>
      <c r="AJ40" s="18">
        <f>+AJ25/AI25-1</f>
        <v>0.37182574303495608</v>
      </c>
      <c r="AK40" s="18">
        <f>+AK25/AJ25-1</f>
        <v>-2.7964283594366091E-3</v>
      </c>
      <c r="AL40" s="18">
        <f t="shared" ref="AL40:AS40" si="147">+AL25/AK25-1</f>
        <v>-5.0000000000000044E-2</v>
      </c>
      <c r="AM40" s="18">
        <f t="shared" si="147"/>
        <v>-5.0000000000000044E-2</v>
      </c>
      <c r="AN40" s="18">
        <f t="shared" si="147"/>
        <v>0.10000000000000009</v>
      </c>
      <c r="AO40" s="18">
        <f t="shared" si="147"/>
        <v>5.0000000000000044E-2</v>
      </c>
      <c r="AP40" s="18">
        <f t="shared" si="147"/>
        <v>3.0000000000000027E-2</v>
      </c>
      <c r="AQ40" s="18">
        <f t="shared" si="147"/>
        <v>3.0000000000000027E-2</v>
      </c>
      <c r="AR40" s="18">
        <f t="shared" si="147"/>
        <v>3.0000000000000027E-2</v>
      </c>
      <c r="AS40" s="18">
        <f t="shared" si="147"/>
        <v>3.0000000000000027E-2</v>
      </c>
    </row>
    <row r="41" spans="2:101" s="4" customFormat="1" x14ac:dyDescent="0.2">
      <c r="B41" s="7" t="s">
        <v>95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1">
        <f>+O21/K21-1</f>
        <v>0.41985917173887088</v>
      </c>
      <c r="P41" s="11">
        <f t="shared" ref="P41:R41" si="148">+P21/L21-1</f>
        <v>0.47543879015343848</v>
      </c>
      <c r="Q41" s="11">
        <f t="shared" si="148"/>
        <v>0.31097316780136164</v>
      </c>
      <c r="R41" s="11">
        <f t="shared" si="148"/>
        <v>0.14539923954372624</v>
      </c>
      <c r="S41" s="11">
        <f>+S21/O21-1</f>
        <v>1.0674960073968176E-2</v>
      </c>
      <c r="T41" s="11">
        <f>+T21/P21-1</f>
        <v>-4.3244052072422545E-2</v>
      </c>
      <c r="U41" s="11">
        <f t="shared" ref="U41" si="149">+U21/Q21-1</f>
        <v>-2.5049641056972605E-2</v>
      </c>
      <c r="V41" s="11"/>
      <c r="W41" s="12"/>
      <c r="X41" s="12"/>
      <c r="Y41" s="12"/>
    </row>
    <row r="42" spans="2:101" s="3" customFormat="1" x14ac:dyDescent="0.2">
      <c r="B42" s="3" t="s">
        <v>97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10">
        <v>0.15</v>
      </c>
      <c r="T42" s="10">
        <v>0.15</v>
      </c>
      <c r="U42" s="10">
        <v>0.17</v>
      </c>
      <c r="V42" s="10">
        <v>0.17</v>
      </c>
      <c r="W42" s="6"/>
      <c r="X42" s="6"/>
      <c r="Y42" s="6"/>
    </row>
    <row r="43" spans="2:101" s="3" customFormat="1" x14ac:dyDescent="0.2">
      <c r="B43" s="3" t="s">
        <v>96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10">
        <v>-0.08</v>
      </c>
      <c r="T43" s="10">
        <v>-0.14000000000000001</v>
      </c>
      <c r="U43" s="10">
        <v>-0.18</v>
      </c>
      <c r="V43" s="10">
        <v>-0.18</v>
      </c>
      <c r="W43" s="6"/>
      <c r="X43" s="6"/>
      <c r="Y43" s="6"/>
    </row>
    <row r="44" spans="2:101" s="3" customFormat="1" x14ac:dyDescent="0.2">
      <c r="B44" s="3" t="s">
        <v>108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10"/>
      <c r="P44" s="10"/>
      <c r="Q44" s="10"/>
      <c r="R44" s="10">
        <f t="shared" ref="R44" si="150">+R23/N23-1</f>
        <v>0.22315202231520215</v>
      </c>
      <c r="S44" s="10">
        <f>+S23/O23-1</f>
        <v>0.30149812734082393</v>
      </c>
      <c r="T44" s="10">
        <f>+T23/P23-1</f>
        <v>0.4819672131147541</v>
      </c>
      <c r="U44" s="10">
        <f>+U23/Q23-1</f>
        <v>-0.489247311827957</v>
      </c>
      <c r="V44" s="10">
        <f>+V23/R23-1</f>
        <v>0.11402508551881407</v>
      </c>
      <c r="W44" s="10"/>
      <c r="X44" s="10"/>
      <c r="Y44" s="10"/>
      <c r="Z44" s="10"/>
      <c r="AI44" s="19">
        <f t="shared" ref="AI44" si="151">AI23/AH23-1</f>
        <v>1.2734530938123751</v>
      </c>
      <c r="AJ44" s="19">
        <f>AJ23/AI23-1</f>
        <v>0.99648814749780512</v>
      </c>
    </row>
    <row r="45" spans="2:101" s="3" customFormat="1" x14ac:dyDescent="0.2">
      <c r="B45" s="3" t="s">
        <v>201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0">
        <f t="shared" ref="Q45:T45" si="152">+Q31/M31-1</f>
        <v>0.38761368557817244</v>
      </c>
      <c r="R45" s="10">
        <f t="shared" si="152"/>
        <v>0.46108852979081982</v>
      </c>
      <c r="S45" s="10">
        <f t="shared" si="152"/>
        <v>0.38470296004967919</v>
      </c>
      <c r="T45" s="10">
        <f t="shared" si="152"/>
        <v>0.35019008045265676</v>
      </c>
      <c r="U45" s="10">
        <f>+U31/Q31-1</f>
        <v>0.27450062421972543</v>
      </c>
      <c r="V45" s="10">
        <f t="shared" ref="V45:Z45" si="153">+V31/R31-1</f>
        <v>0.14072465734835116</v>
      </c>
      <c r="W45" s="10">
        <f t="shared" si="153"/>
        <v>-9.9999999999999978E-2</v>
      </c>
      <c r="X45" s="10">
        <f t="shared" si="153"/>
        <v>-0.10000000000000009</v>
      </c>
      <c r="Y45" s="10">
        <f t="shared" si="153"/>
        <v>-9.9999999999999978E-2</v>
      </c>
      <c r="Z45" s="10">
        <f t="shared" si="153"/>
        <v>-0.10000000000000009</v>
      </c>
    </row>
    <row r="46" spans="2:101" s="3" customFormat="1" x14ac:dyDescent="0.2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2:101" s="3" customFormat="1" x14ac:dyDescent="0.2">
      <c r="B47" s="3" t="s">
        <v>37</v>
      </c>
      <c r="C47" s="10">
        <f>+C27/C25</f>
        <v>0.8389603877653351</v>
      </c>
      <c r="D47" s="10">
        <f>+D27/D25</f>
        <v>0.83266570931902351</v>
      </c>
      <c r="E47" s="10">
        <f>+E27/E25</f>
        <v>0.82385080498288044</v>
      </c>
      <c r="F47" s="10">
        <f>+F27/F25</f>
        <v>0.83469315360056762</v>
      </c>
      <c r="G47" s="10">
        <f>+G27/G25</f>
        <v>0.81322544272733299</v>
      </c>
      <c r="H47" s="10">
        <f>+H27/H25</f>
        <v>0.80415729006277392</v>
      </c>
      <c r="I47" s="10">
        <f>+I27/I25</f>
        <v>0.82126671198731027</v>
      </c>
      <c r="J47" s="10">
        <f>+J27/J25</f>
        <v>0.83436106631249407</v>
      </c>
      <c r="K47" s="10">
        <f>+K27/K25</f>
        <v>0.80498393189378137</v>
      </c>
      <c r="L47" s="10">
        <f>+L27/L25</f>
        <v>0.7950981966072671</v>
      </c>
      <c r="M47" s="10">
        <f>+M27/M25</f>
        <v>0.80465766185374943</v>
      </c>
      <c r="N47" s="10">
        <f>+N27/N25</f>
        <v>0.81440581362211462</v>
      </c>
      <c r="O47" s="10">
        <f>+O27/O25</f>
        <v>0.80394329601467274</v>
      </c>
      <c r="P47" s="10">
        <f>+P27/P25</f>
        <v>0.81432059703545756</v>
      </c>
      <c r="Q47" s="10">
        <f>+Q27/Q25</f>
        <v>0.80106859703550504</v>
      </c>
      <c r="R47" s="10">
        <f>+R27/R25</f>
        <v>0.81146981081642955</v>
      </c>
      <c r="S47" s="10">
        <f>+S27/S25</f>
        <v>0.78482872294682526</v>
      </c>
      <c r="T47" s="10">
        <f>+T27/T25</f>
        <v>0.81985982929706469</v>
      </c>
      <c r="U47" s="10">
        <f>+U27/U25</f>
        <v>0.79375045103557773</v>
      </c>
      <c r="V47" s="10">
        <f>+V27/V25</f>
        <v>0.79</v>
      </c>
      <c r="W47" s="10">
        <f>+W27/W25</f>
        <v>0.79</v>
      </c>
      <c r="X47" s="10">
        <f>+X27/X25</f>
        <v>0.79</v>
      </c>
      <c r="Y47" s="10">
        <f>+Y27/Y25</f>
        <v>0.79</v>
      </c>
      <c r="Z47" s="10">
        <f>+Z27/Z25</f>
        <v>0.79</v>
      </c>
      <c r="AG47" s="19">
        <f>+AG27/AG25</f>
        <v>0.8324617643898421</v>
      </c>
      <c r="AH47" s="19">
        <f>+AH27/AH25</f>
        <v>0.81936998741106415</v>
      </c>
      <c r="AI47" s="19">
        <f>+AI27/AI25</f>
        <v>0.80582795323678236</v>
      </c>
      <c r="AJ47" s="19">
        <f>+AJ27/AJ25</f>
        <v>0.80794376277251567</v>
      </c>
      <c r="AK47" s="19">
        <f>+AK27/AK25</f>
        <v>0.81</v>
      </c>
      <c r="AL47" s="19">
        <f>+AL27/AL25</f>
        <v>0.81</v>
      </c>
      <c r="AM47" s="19">
        <f>+AM27/AM25</f>
        <v>0.81</v>
      </c>
      <c r="AN47" s="19">
        <f>+AN27/AN25</f>
        <v>0.81</v>
      </c>
      <c r="AO47" s="19">
        <f>+AO27/AO25</f>
        <v>0.81</v>
      </c>
      <c r="AP47" s="19">
        <f>+AP27/AP25</f>
        <v>0.81</v>
      </c>
      <c r="AQ47" s="19">
        <f>+AQ27/AQ25</f>
        <v>0.81</v>
      </c>
      <c r="AR47" s="19">
        <f>+AR27/AR25</f>
        <v>0.81</v>
      </c>
      <c r="AS47" s="19">
        <f>+AS27/AS25</f>
        <v>0.81</v>
      </c>
    </row>
    <row r="48" spans="2:101" s="3" customFormat="1" x14ac:dyDescent="0.2">
      <c r="B48" s="3" t="s">
        <v>202</v>
      </c>
      <c r="C48" s="10">
        <f t="shared" ref="C48:F48" si="154">+C32/C25</f>
        <v>0.45537355841551064</v>
      </c>
      <c r="D48" s="10">
        <f t="shared" si="154"/>
        <v>0.44312599198851182</v>
      </c>
      <c r="E48" s="10">
        <f t="shared" si="154"/>
        <v>0.42114081736723247</v>
      </c>
      <c r="F48" s="10">
        <f t="shared" ref="F48:J48" si="155">+F32/F25</f>
        <v>0.46233889085964291</v>
      </c>
      <c r="G48" s="10">
        <f t="shared" si="155"/>
        <v>0.41898255621144792</v>
      </c>
      <c r="H48" s="10">
        <f t="shared" si="155"/>
        <v>0.39239606774843067</v>
      </c>
      <c r="I48" s="10">
        <f t="shared" si="155"/>
        <v>0.40703602991162474</v>
      </c>
      <c r="J48" s="10">
        <f t="shared" ref="J48:M48" si="156">+J32/J25</f>
        <v>0.42016886443411439</v>
      </c>
      <c r="K48" s="10">
        <f t="shared" si="156"/>
        <v>0.33224333314540228</v>
      </c>
      <c r="L48" s="10">
        <f t="shared" si="156"/>
        <v>0.31909883876491679</v>
      </c>
      <c r="M48" s="10">
        <f t="shared" ref="M48:Q48" si="157">+M32/M25</f>
        <v>0.37447601304145317</v>
      </c>
      <c r="N48" s="10">
        <f t="shared" si="157"/>
        <v>0.45507979481333716</v>
      </c>
      <c r="O48" s="10">
        <f t="shared" si="157"/>
        <v>0.43475602766420846</v>
      </c>
      <c r="P48" s="10">
        <f t="shared" si="157"/>
        <v>0.42531898063761736</v>
      </c>
      <c r="Q48" s="10">
        <f t="shared" ref="Q48:U48" si="158">+Q32/Q25</f>
        <v>0.35928990003447087</v>
      </c>
      <c r="R48" s="10">
        <f t="shared" si="158"/>
        <v>0.37376377297971547</v>
      </c>
      <c r="S48" s="10">
        <f t="shared" si="158"/>
        <v>0.30543213415508097</v>
      </c>
      <c r="T48" s="10">
        <f t="shared" si="158"/>
        <v>0.28998681562695161</v>
      </c>
      <c r="U48" s="10">
        <f>+U32/U25</f>
        <v>0.20437324096124701</v>
      </c>
      <c r="V48" s="10">
        <f t="shared" ref="V48:Z48" si="159">+V32/V25</f>
        <v>0.2829305249671093</v>
      </c>
      <c r="W48" s="10">
        <f t="shared" si="159"/>
        <v>0.33489826154923047</v>
      </c>
      <c r="X48" s="10">
        <f t="shared" si="159"/>
        <v>0.29180072028811527</v>
      </c>
      <c r="Y48" s="10">
        <f t="shared" si="159"/>
        <v>0.23925607648059771</v>
      </c>
      <c r="Z48" s="10">
        <f t="shared" si="159"/>
        <v>0.30730489452224452</v>
      </c>
      <c r="AG48" s="10">
        <f t="shared" ref="AG48:AS48" si="160">+AG32/AG25</f>
        <v>0.44616569361366809</v>
      </c>
      <c r="AH48" s="10">
        <f t="shared" si="160"/>
        <v>0.41000325332050863</v>
      </c>
      <c r="AI48" s="10">
        <f t="shared" si="160"/>
        <v>0.3800500203571221</v>
      </c>
      <c r="AJ48" s="10">
        <f t="shared" si="160"/>
        <v>0.39645040660058173</v>
      </c>
      <c r="AK48" s="10">
        <f t="shared" si="160"/>
        <v>0.4183179803403459</v>
      </c>
      <c r="AL48" s="10">
        <f t="shared" si="160"/>
        <v>0.41756497677808618</v>
      </c>
      <c r="AM48" s="10">
        <f t="shared" si="160"/>
        <v>0.41572698147161713</v>
      </c>
      <c r="AN48" s="10">
        <f t="shared" si="160"/>
        <v>0.46696528464688164</v>
      </c>
      <c r="AO48" s="10">
        <f t="shared" si="160"/>
        <v>0.49649624379872476</v>
      </c>
      <c r="AP48" s="10">
        <f t="shared" si="160"/>
        <v>0.51715788275197638</v>
      </c>
      <c r="AQ48" s="10">
        <f t="shared" si="160"/>
        <v>0.53576242541876296</v>
      </c>
      <c r="AR48" s="10">
        <f t="shared" si="160"/>
        <v>0.55255346598900956</v>
      </c>
      <c r="AS48" s="10">
        <f t="shared" si="160"/>
        <v>0.56774432091960136</v>
      </c>
      <c r="AW48" t="s">
        <v>112</v>
      </c>
      <c r="AX48" s="3">
        <f>NPV(AX49,AL36:CW36)</f>
        <v>580364.75242722826</v>
      </c>
    </row>
    <row r="49" spans="2:50" s="3" customFormat="1" x14ac:dyDescent="0.2">
      <c r="B49" s="3" t="s">
        <v>110</v>
      </c>
      <c r="C49" s="10">
        <f>+C35/C34</f>
        <v>0.11105169340463458</v>
      </c>
      <c r="D49" s="10">
        <f>+D35/D34</f>
        <v>0.12985685071574643</v>
      </c>
      <c r="E49" s="10">
        <f>+E35/E34</f>
        <v>0.13108930987821379</v>
      </c>
      <c r="F49" s="10">
        <f>+F35/F34</f>
        <v>0.13662024840045164</v>
      </c>
      <c r="G49" s="10">
        <f>+G35/G34</f>
        <v>0.33972098727579336</v>
      </c>
      <c r="H49" s="10">
        <f>+H35/H34</f>
        <v>0.32435597189695553</v>
      </c>
      <c r="I49" s="10">
        <f>+I35/I34</f>
        <v>0.16891799699822621</v>
      </c>
      <c r="J49" s="10">
        <f>+J35/J34</f>
        <v>0.19849492856363835</v>
      </c>
      <c r="K49" s="10">
        <f>+K35/K34</f>
        <v>0.16362395495649207</v>
      </c>
      <c r="L49" s="10">
        <f>+L35/L34</f>
        <v>0.15543956940140272</v>
      </c>
      <c r="M49" s="10">
        <f>+M35/M34</f>
        <v>3.5288331488995447E-2</v>
      </c>
      <c r="N49" s="10">
        <f>+N35/N34</f>
        <v>0.14063577173496744</v>
      </c>
      <c r="O49" s="10">
        <f>+O35/O34</f>
        <v>0.17438928975049986</v>
      </c>
      <c r="P49" s="10">
        <f>+P35/P34</f>
        <v>0.16934388236234316</v>
      </c>
      <c r="Q49" s="10">
        <f>+Q35/Q34</f>
        <v>0.12976810222432561</v>
      </c>
      <c r="R49" s="10">
        <f>+R35/R34</f>
        <v>0.19028499448905684</v>
      </c>
      <c r="S49" s="10">
        <f>+S35/S34</f>
        <v>0.1619892231701841</v>
      </c>
      <c r="T49" s="10">
        <f>+T35/T34</f>
        <v>0.18311751771316884</v>
      </c>
      <c r="U49" s="10">
        <f>+U35/U34</f>
        <v>0.21180057388809181</v>
      </c>
      <c r="V49" s="10">
        <f>+V35/V34</f>
        <v>0.19</v>
      </c>
      <c r="W49" s="10">
        <f t="shared" ref="W49:Z49" si="161">+W35/W34</f>
        <v>0.19</v>
      </c>
      <c r="X49" s="10">
        <f t="shared" si="161"/>
        <v>0.19</v>
      </c>
      <c r="Y49" s="10">
        <f t="shared" si="161"/>
        <v>0.19</v>
      </c>
      <c r="Z49" s="10">
        <f t="shared" si="161"/>
        <v>0.19</v>
      </c>
      <c r="AG49" s="19">
        <f>+AG35/AG34</f>
        <v>0.12814952091794488</v>
      </c>
      <c r="AH49" s="19">
        <f>+AH35/AH34</f>
        <v>0.21222997450690997</v>
      </c>
      <c r="AI49" s="19">
        <f>+AI35/AI34</f>
        <v>0.12157926461723931</v>
      </c>
      <c r="AJ49" s="19">
        <f>+AJ35/AJ34</f>
        <v>0.16737162676592504</v>
      </c>
      <c r="AK49" s="19">
        <f>+AK35/AK34</f>
        <v>0.18</v>
      </c>
      <c r="AL49" s="19">
        <f>+AL35/AL34</f>
        <v>0.18</v>
      </c>
      <c r="AM49" s="19">
        <f>+AM35/AM34</f>
        <v>0.18</v>
      </c>
      <c r="AN49" s="19">
        <f>+AN35/AN34</f>
        <v>0.18000000000000002</v>
      </c>
      <c r="AO49" s="19">
        <f>+AO35/AO34</f>
        <v>0.18</v>
      </c>
      <c r="AP49" s="19">
        <f>+AP35/AP34</f>
        <v>0.18</v>
      </c>
      <c r="AQ49" s="19">
        <f>+AQ35/AQ34</f>
        <v>0.18</v>
      </c>
      <c r="AR49" s="19">
        <f>+AR35/AR34</f>
        <v>0.18</v>
      </c>
      <c r="AS49" s="19">
        <f>+AS35/AS34</f>
        <v>0.18</v>
      </c>
      <c r="AW49" s="3" t="s">
        <v>113</v>
      </c>
      <c r="AX49" s="19">
        <v>0.08</v>
      </c>
    </row>
    <row r="50" spans="2:50" x14ac:dyDescent="0.2">
      <c r="S50" s="6"/>
      <c r="AW50" t="s">
        <v>114</v>
      </c>
      <c r="AX50" s="19">
        <v>-0.05</v>
      </c>
    </row>
    <row r="51" spans="2:50" x14ac:dyDescent="0.2">
      <c r="B51" t="s">
        <v>196</v>
      </c>
      <c r="Q51" s="6">
        <f t="shared" ref="Q51:S51" si="162">+Q52-Q66</f>
        <v>64833</v>
      </c>
      <c r="R51" s="6">
        <f t="shared" si="162"/>
        <v>54773</v>
      </c>
      <c r="S51" s="6">
        <f t="shared" si="162"/>
        <v>50665</v>
      </c>
      <c r="T51" s="6">
        <f>+T52-T66</f>
        <v>47025</v>
      </c>
      <c r="U51" s="6">
        <f>+U52-U66</f>
        <v>38382</v>
      </c>
      <c r="V51" s="6">
        <f>+V52-V66</f>
        <v>45909.025278000001</v>
      </c>
      <c r="W51" s="6">
        <f>+W52-W66</f>
        <v>53014.954074000001</v>
      </c>
      <c r="X51" s="6">
        <f>+X52-X66</f>
        <v>59464.561577999993</v>
      </c>
      <c r="Y51" s="6">
        <f>+Y52-Y66</f>
        <v>64566.172751999999</v>
      </c>
      <c r="Z51" s="6">
        <f>+Z52-Z66</f>
        <v>72297.567286439997</v>
      </c>
      <c r="AW51" s="3" t="s">
        <v>111</v>
      </c>
      <c r="AX51" s="19">
        <v>0.02</v>
      </c>
    </row>
    <row r="52" spans="2:50" s="3" customFormat="1" x14ac:dyDescent="0.2">
      <c r="B52" s="3" t="s">
        <v>4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>
        <f>17576+44378+6234</f>
        <v>68188</v>
      </c>
      <c r="O52" s="6">
        <f>19513+44706+6342</f>
        <v>70561</v>
      </c>
      <c r="P52" s="6">
        <f>16186+47894+6393</f>
        <v>70473</v>
      </c>
      <c r="Q52" s="6">
        <f>14496+43579+6758</f>
        <v>64833</v>
      </c>
      <c r="R52" s="6">
        <f>16601+31397+6775</f>
        <v>54773</v>
      </c>
      <c r="S52" s="6">
        <f>14886+29004+6775</f>
        <v>50665</v>
      </c>
      <c r="T52" s="6">
        <f>12681+27808+6536</f>
        <v>47025</v>
      </c>
      <c r="U52" s="6">
        <f>14308+27468+6528</f>
        <v>48304</v>
      </c>
      <c r="V52" s="6">
        <f>+U52+V36</f>
        <v>55831.025278000001</v>
      </c>
      <c r="W52" s="6">
        <f>+V52+W36</f>
        <v>62936.954074000001</v>
      </c>
      <c r="X52" s="6">
        <f>+W52+X36</f>
        <v>69386.561577999993</v>
      </c>
      <c r="Y52" s="6">
        <f>+X52+Y36</f>
        <v>74488.172751999999</v>
      </c>
      <c r="Z52" s="6">
        <f>+Y52+Z36</f>
        <v>82219.567286439997</v>
      </c>
      <c r="AJ52" s="3">
        <f>+R52</f>
        <v>54773</v>
      </c>
      <c r="AK52" s="3">
        <f>+V52</f>
        <v>55831.025278000001</v>
      </c>
      <c r="AL52" s="3">
        <f>+AK52+AL36</f>
        <v>94999.694920359194</v>
      </c>
      <c r="AM52" s="3">
        <f>+AL52+AM36</f>
        <v>132738.11925346308</v>
      </c>
      <c r="AN52" s="3">
        <f>+AM52+AN36</f>
        <v>179618.65385927088</v>
      </c>
      <c r="AO52" s="3">
        <f>+AN52+AO36</f>
        <v>232471.62860161648</v>
      </c>
      <c r="AP52" s="3">
        <f>+AO52+AP36</f>
        <v>289827.79959357815</v>
      </c>
      <c r="AQ52" s="3">
        <f>+AP52+AQ36</f>
        <v>351714.91753763787</v>
      </c>
      <c r="AR52" s="3">
        <f>+AQ52+AR36</f>
        <v>418175.32459031057</v>
      </c>
      <c r="AS52" s="3">
        <f>+AR52+AS36</f>
        <v>489265.06581286667</v>
      </c>
      <c r="AW52" s="3" t="s">
        <v>115</v>
      </c>
      <c r="AX52" s="17">
        <f>AX48/Main!M3</f>
        <v>218.87765369651601</v>
      </c>
    </row>
    <row r="53" spans="2:50" s="3" customFormat="1" x14ac:dyDescent="0.2">
      <c r="B53" s="3" t="s">
        <v>49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>
        <v>11335</v>
      </c>
      <c r="O53" s="6">
        <v>10276</v>
      </c>
      <c r="P53" s="6">
        <v>11698</v>
      </c>
      <c r="Q53" s="6">
        <v>12088</v>
      </c>
      <c r="R53" s="6">
        <v>14039</v>
      </c>
      <c r="S53" s="6">
        <v>11390</v>
      </c>
      <c r="T53" s="6">
        <v>11525</v>
      </c>
      <c r="U53" s="6">
        <v>11227</v>
      </c>
      <c r="V53" s="6"/>
      <c r="W53" s="6"/>
      <c r="X53" s="6"/>
      <c r="Y53" s="6"/>
      <c r="AW53" s="3" t="s">
        <v>116</v>
      </c>
      <c r="AX53" s="19">
        <f>AX52/Main!M2-1</f>
        <v>0.98979685178650922</v>
      </c>
    </row>
    <row r="54" spans="2:50" s="3" customFormat="1" x14ac:dyDescent="0.2">
      <c r="B54" s="3" t="s">
        <v>50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>
        <v>2381</v>
      </c>
      <c r="O54" s="6">
        <v>2827</v>
      </c>
      <c r="P54" s="6">
        <v>4919</v>
      </c>
      <c r="Q54" s="6">
        <v>5258</v>
      </c>
      <c r="R54" s="6">
        <v>4629</v>
      </c>
      <c r="S54" s="6">
        <v>3985</v>
      </c>
      <c r="T54" s="6">
        <v>3973</v>
      </c>
      <c r="U54" s="6">
        <v>5312</v>
      </c>
      <c r="V54" s="6"/>
      <c r="W54" s="6"/>
      <c r="X54" s="6"/>
      <c r="Y54" s="6"/>
    </row>
    <row r="55" spans="2:50" s="3" customFormat="1" x14ac:dyDescent="0.2">
      <c r="B55" s="3" t="s">
        <v>51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>
        <v>45633</v>
      </c>
      <c r="O55" s="6">
        <v>47720</v>
      </c>
      <c r="P55" s="6">
        <v>50909</v>
      </c>
      <c r="Q55" s="6">
        <v>53726</v>
      </c>
      <c r="R55" s="6">
        <v>57809</v>
      </c>
      <c r="S55" s="6">
        <v>61582</v>
      </c>
      <c r="T55" s="6">
        <v>67588</v>
      </c>
      <c r="U55" s="6">
        <v>73738</v>
      </c>
      <c r="V55" s="6"/>
      <c r="W55" s="6"/>
      <c r="X55" s="6"/>
      <c r="Y55" s="6"/>
    </row>
    <row r="56" spans="2:50" s="3" customFormat="1" x14ac:dyDescent="0.2">
      <c r="B56" s="3" t="s">
        <v>52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>
        <v>9348</v>
      </c>
      <c r="O56" s="6">
        <v>10202</v>
      </c>
      <c r="P56" s="6">
        <v>10525</v>
      </c>
      <c r="Q56" s="6">
        <v>11063</v>
      </c>
      <c r="R56" s="6">
        <v>12155</v>
      </c>
      <c r="S56" s="6">
        <v>12241</v>
      </c>
      <c r="T56" s="6">
        <v>14130</v>
      </c>
      <c r="U56" s="6">
        <v>13641</v>
      </c>
      <c r="V56" s="6"/>
      <c r="W56" s="6"/>
      <c r="X56" s="6"/>
      <c r="Y56" s="6"/>
    </row>
    <row r="57" spans="2:50" s="3" customFormat="1" x14ac:dyDescent="0.2">
      <c r="B57" s="3" t="s">
        <v>54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>
        <f>623+19050</f>
        <v>19673</v>
      </c>
      <c r="O57" s="6">
        <f>505+19056</f>
        <v>19561</v>
      </c>
      <c r="P57" s="6">
        <f>19219+514</f>
        <v>19733</v>
      </c>
      <c r="Q57" s="6">
        <f>365+19065</f>
        <v>19430</v>
      </c>
      <c r="R57" s="6">
        <f>19197+634</f>
        <v>19831</v>
      </c>
      <c r="S57" s="6">
        <f>910+19923</f>
        <v>20833</v>
      </c>
      <c r="T57" s="6">
        <f>965+20229</f>
        <v>21194</v>
      </c>
      <c r="U57" s="6">
        <f>875+20268</f>
        <v>21143</v>
      </c>
      <c r="V57" s="6"/>
      <c r="W57" s="6"/>
      <c r="X57" s="6"/>
      <c r="Y57" s="6"/>
    </row>
    <row r="58" spans="2:50" s="3" customFormat="1" x14ac:dyDescent="0.2">
      <c r="B58" s="3" t="s">
        <v>55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>
        <v>2758</v>
      </c>
      <c r="O58" s="6">
        <v>2376</v>
      </c>
      <c r="P58" s="6">
        <v>2352</v>
      </c>
      <c r="Q58" s="6">
        <v>3187</v>
      </c>
      <c r="R58" s="6">
        <v>2751</v>
      </c>
      <c r="S58" s="6">
        <v>3522</v>
      </c>
      <c r="T58" s="6">
        <v>4344</v>
      </c>
      <c r="U58" s="6">
        <v>5529</v>
      </c>
      <c r="V58" s="6"/>
      <c r="W58" s="6"/>
      <c r="X58" s="6"/>
      <c r="Y58" s="6"/>
    </row>
    <row r="59" spans="2:50" s="3" customFormat="1" x14ac:dyDescent="0.2">
      <c r="B59" s="3" t="s">
        <v>53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>
        <f t="shared" ref="N59:O59" si="163">SUM(N52:N58)</f>
        <v>159316</v>
      </c>
      <c r="O59" s="6">
        <f t="shared" si="163"/>
        <v>163523</v>
      </c>
      <c r="P59" s="6">
        <f t="shared" ref="P59:Q59" si="164">SUM(P52:P58)</f>
        <v>170609</v>
      </c>
      <c r="Q59" s="6">
        <f t="shared" si="164"/>
        <v>169585</v>
      </c>
      <c r="R59" s="6">
        <f t="shared" ref="R59" si="165">SUM(R52:R58)</f>
        <v>165987</v>
      </c>
      <c r="S59" s="6">
        <f>SUM(S52:S58)</f>
        <v>164218</v>
      </c>
      <c r="T59" s="6">
        <f>SUM(T52:T58)</f>
        <v>169779</v>
      </c>
      <c r="U59" s="6">
        <f>SUM(U52:U58)</f>
        <v>178894</v>
      </c>
      <c r="V59" s="6"/>
      <c r="W59" s="6"/>
      <c r="X59" s="6"/>
      <c r="Y59" s="6"/>
    </row>
    <row r="60" spans="2:50" x14ac:dyDescent="0.2">
      <c r="S60" s="6"/>
    </row>
    <row r="61" spans="2:50" x14ac:dyDescent="0.2">
      <c r="B61" t="s">
        <v>56</v>
      </c>
      <c r="N61" s="6">
        <v>1331</v>
      </c>
      <c r="O61" s="6">
        <v>878</v>
      </c>
      <c r="P61" s="6">
        <v>973</v>
      </c>
      <c r="Q61" s="6">
        <v>2195</v>
      </c>
      <c r="R61" s="6">
        <v>4083</v>
      </c>
      <c r="S61" s="6">
        <v>3246</v>
      </c>
      <c r="T61" s="6">
        <v>4008</v>
      </c>
      <c r="U61" s="6">
        <v>3871</v>
      </c>
    </row>
    <row r="62" spans="2:50" x14ac:dyDescent="0.2">
      <c r="B62" t="s">
        <v>57</v>
      </c>
      <c r="N62" s="6">
        <v>1093</v>
      </c>
      <c r="O62" s="6">
        <v>1006</v>
      </c>
      <c r="P62" s="6">
        <v>949</v>
      </c>
      <c r="Q62" s="6">
        <v>909</v>
      </c>
      <c r="R62" s="6">
        <v>1052</v>
      </c>
      <c r="S62" s="6">
        <v>935</v>
      </c>
      <c r="T62" s="6">
        <v>982</v>
      </c>
      <c r="U62" s="6">
        <v>975</v>
      </c>
    </row>
    <row r="63" spans="2:50" x14ac:dyDescent="0.2">
      <c r="B63" t="s">
        <v>58</v>
      </c>
      <c r="N63" s="6">
        <f>1023+9631</f>
        <v>10654</v>
      </c>
      <c r="O63" s="6">
        <f>1040+10574</f>
        <v>11614</v>
      </c>
      <c r="P63" s="6">
        <f>1051+10956</f>
        <v>12007</v>
      </c>
      <c r="Q63" s="6">
        <f>1086+11554</f>
        <v>12640</v>
      </c>
      <c r="R63" s="6">
        <f>1127+12746</f>
        <v>13873</v>
      </c>
      <c r="S63" s="6">
        <f>1159+12894</f>
        <v>14053</v>
      </c>
      <c r="T63" s="6">
        <f>1275+14792</f>
        <v>16067</v>
      </c>
      <c r="U63" s="6">
        <f>1291+14687</f>
        <v>15978</v>
      </c>
    </row>
    <row r="64" spans="2:50" x14ac:dyDescent="0.2">
      <c r="B64" t="s">
        <v>59</v>
      </c>
      <c r="N64" s="6">
        <v>11152</v>
      </c>
      <c r="O64" s="6">
        <v>9411</v>
      </c>
      <c r="P64" s="6">
        <v>11510</v>
      </c>
      <c r="Q64" s="6">
        <v>13158</v>
      </c>
      <c r="R64" s="6">
        <v>14312</v>
      </c>
      <c r="S64" s="6">
        <v>15226</v>
      </c>
      <c r="T64" s="6">
        <v>15420</v>
      </c>
      <c r="U64" s="6">
        <v>16036</v>
      </c>
    </row>
    <row r="65" spans="2:26" x14ac:dyDescent="0.2">
      <c r="B65" t="s">
        <v>60</v>
      </c>
      <c r="N65" s="6">
        <v>382</v>
      </c>
      <c r="O65" s="6">
        <v>382</v>
      </c>
      <c r="P65" s="6">
        <v>391</v>
      </c>
      <c r="Q65" s="6">
        <v>464</v>
      </c>
      <c r="R65" s="6">
        <v>561</v>
      </c>
      <c r="S65" s="6">
        <v>520</v>
      </c>
      <c r="T65" s="6">
        <v>532</v>
      </c>
      <c r="U65" s="6">
        <v>514</v>
      </c>
    </row>
    <row r="66" spans="2:26" x14ac:dyDescent="0.2">
      <c r="B66" t="s">
        <v>5</v>
      </c>
      <c r="N66" s="6"/>
      <c r="O66" s="6"/>
      <c r="P66" s="6"/>
      <c r="Q66" s="6"/>
      <c r="R66" s="6"/>
      <c r="S66" s="6"/>
      <c r="T66" s="6"/>
      <c r="U66" s="6">
        <v>9922</v>
      </c>
      <c r="V66" s="6">
        <f>+U66</f>
        <v>9922</v>
      </c>
      <c r="W66" s="6">
        <f>+V66</f>
        <v>9922</v>
      </c>
      <c r="X66" s="6">
        <f>+W66</f>
        <v>9922</v>
      </c>
      <c r="Y66" s="6">
        <f>+X66</f>
        <v>9922</v>
      </c>
      <c r="Z66" s="6">
        <f>+Y66</f>
        <v>9922</v>
      </c>
    </row>
    <row r="67" spans="2:26" x14ac:dyDescent="0.2">
      <c r="B67" t="s">
        <v>65</v>
      </c>
      <c r="N67" s="6">
        <v>6414</v>
      </c>
      <c r="O67" s="6">
        <v>6575</v>
      </c>
      <c r="P67" s="6">
        <v>6552</v>
      </c>
      <c r="Q67" s="6">
        <v>6859</v>
      </c>
      <c r="R67" s="6">
        <v>7227</v>
      </c>
      <c r="S67" s="6">
        <v>7010</v>
      </c>
      <c r="T67" s="6">
        <v>7003</v>
      </c>
      <c r="U67" s="6">
        <v>7504</v>
      </c>
    </row>
    <row r="68" spans="2:26" x14ac:dyDescent="0.2">
      <c r="B68" t="s">
        <v>64</v>
      </c>
      <c r="N68" s="6">
        <v>50018</v>
      </c>
      <c r="O68" s="6">
        <v>51160</v>
      </c>
      <c r="P68" s="6">
        <v>52845</v>
      </c>
      <c r="Q68" s="6">
        <v>54334</v>
      </c>
      <c r="R68" s="6">
        <v>55811</v>
      </c>
      <c r="S68" s="6">
        <v>57512</v>
      </c>
      <c r="T68" s="6">
        <v>59929</v>
      </c>
      <c r="U68" s="6">
        <v>62092</v>
      </c>
    </row>
    <row r="69" spans="2:26" x14ac:dyDescent="0.2">
      <c r="B69" t="s">
        <v>63</v>
      </c>
      <c r="N69" s="6">
        <v>927</v>
      </c>
      <c r="O69" s="6">
        <v>154</v>
      </c>
      <c r="P69" s="6">
        <v>285</v>
      </c>
      <c r="Q69" s="6">
        <v>-207</v>
      </c>
      <c r="R69" s="6">
        <v>-693</v>
      </c>
      <c r="S69" s="6">
        <v>-1996</v>
      </c>
      <c r="T69" s="6">
        <v>-3411</v>
      </c>
      <c r="U69" s="6">
        <v>-5054</v>
      </c>
    </row>
    <row r="70" spans="2:26" x14ac:dyDescent="0.2">
      <c r="B70" t="s">
        <v>62</v>
      </c>
      <c r="N70" s="6">
        <v>77345</v>
      </c>
      <c r="O70" s="6">
        <v>82343</v>
      </c>
      <c r="P70" s="6">
        <v>85097</v>
      </c>
      <c r="Q70" s="6">
        <v>79233</v>
      </c>
      <c r="R70" s="6">
        <v>69761</v>
      </c>
      <c r="S70" s="6">
        <v>67712</v>
      </c>
      <c r="T70" s="6">
        <v>69249</v>
      </c>
      <c r="U70" s="6">
        <v>67056</v>
      </c>
    </row>
    <row r="71" spans="2:26" x14ac:dyDescent="0.2">
      <c r="B71" t="s">
        <v>61</v>
      </c>
      <c r="N71" s="6">
        <f t="shared" ref="N71:O71" si="166">SUM(N61:N70)</f>
        <v>159316</v>
      </c>
      <c r="O71" s="6">
        <f t="shared" si="166"/>
        <v>163523</v>
      </c>
      <c r="P71" s="6">
        <f t="shared" ref="P71:Q71" si="167">SUM(P61:P70)</f>
        <v>170609</v>
      </c>
      <c r="Q71" s="6">
        <f t="shared" si="167"/>
        <v>169585</v>
      </c>
      <c r="R71" s="6">
        <f t="shared" ref="R71:U71" si="168">SUM(R61:R70)</f>
        <v>165987</v>
      </c>
      <c r="S71" s="6">
        <f t="shared" si="168"/>
        <v>164218</v>
      </c>
      <c r="T71" s="6">
        <f t="shared" si="168"/>
        <v>169779</v>
      </c>
      <c r="U71" s="6">
        <f t="shared" si="168"/>
        <v>178894</v>
      </c>
    </row>
    <row r="72" spans="2:26" x14ac:dyDescent="0.2">
      <c r="S72" s="6"/>
    </row>
    <row r="73" spans="2:26" x14ac:dyDescent="0.2">
      <c r="B73" t="s">
        <v>66</v>
      </c>
      <c r="O73" s="6">
        <f>O36</f>
        <v>9497</v>
      </c>
      <c r="P73" s="6">
        <f>P36</f>
        <v>10394</v>
      </c>
      <c r="Q73" s="6">
        <f>Q36</f>
        <v>9194</v>
      </c>
      <c r="R73" s="6">
        <f>R36</f>
        <v>10285</v>
      </c>
      <c r="S73" s="6">
        <f>S36</f>
        <v>7465</v>
      </c>
      <c r="T73" s="6">
        <f>T36</f>
        <v>6687</v>
      </c>
      <c r="U73" s="6">
        <f>U36</f>
        <v>4395</v>
      </c>
    </row>
    <row r="74" spans="2:26" x14ac:dyDescent="0.2">
      <c r="B74" t="s">
        <v>67</v>
      </c>
      <c r="O74" s="6">
        <v>9497</v>
      </c>
      <c r="P74" s="6">
        <f>19892-O74</f>
        <v>10395</v>
      </c>
      <c r="Q74" s="6">
        <f>29085-P74-O74</f>
        <v>9193</v>
      </c>
      <c r="R74" s="6">
        <v>10285</v>
      </c>
      <c r="S74" s="6">
        <v>7465</v>
      </c>
      <c r="T74" s="6">
        <v>6687</v>
      </c>
      <c r="U74" s="6">
        <f>18547-T74-S74</f>
        <v>4395</v>
      </c>
    </row>
    <row r="75" spans="2:26" x14ac:dyDescent="0.2">
      <c r="B75" t="s">
        <v>69</v>
      </c>
      <c r="O75" s="6">
        <v>1972</v>
      </c>
      <c r="P75" s="6">
        <f>3958-O75</f>
        <v>1986</v>
      </c>
      <c r="Q75" s="6">
        <f>5953-P75-O75</f>
        <v>1995</v>
      </c>
      <c r="R75" s="6">
        <v>2014</v>
      </c>
      <c r="S75" s="6">
        <v>2156</v>
      </c>
      <c r="T75" s="6">
        <v>1979</v>
      </c>
      <c r="U75" s="6">
        <f>6310-T75-S75</f>
        <v>2175</v>
      </c>
    </row>
    <row r="76" spans="2:26" x14ac:dyDescent="0.2">
      <c r="B76" t="s">
        <v>70</v>
      </c>
      <c r="O76" s="6">
        <v>1830</v>
      </c>
      <c r="P76" s="6">
        <f>4379-O76</f>
        <v>2549</v>
      </c>
      <c r="Q76" s="6">
        <f>6757-P76-O76</f>
        <v>2378</v>
      </c>
      <c r="R76" s="6">
        <v>2406</v>
      </c>
      <c r="S76" s="6">
        <v>2498</v>
      </c>
      <c r="T76" s="6">
        <v>3351</v>
      </c>
      <c r="U76" s="6">
        <f>8984-T76-S76</f>
        <v>3135</v>
      </c>
    </row>
    <row r="77" spans="2:26" x14ac:dyDescent="0.2">
      <c r="B77" t="s">
        <v>71</v>
      </c>
      <c r="O77" s="6">
        <v>418</v>
      </c>
      <c r="P77" s="6">
        <f>647-O77</f>
        <v>229</v>
      </c>
      <c r="Q77" s="6">
        <f>-139-P77-O77</f>
        <v>-786</v>
      </c>
      <c r="R77" s="6">
        <v>748</v>
      </c>
      <c r="S77" s="6">
        <v>-563</v>
      </c>
      <c r="T77" s="6">
        <v>-453</v>
      </c>
      <c r="U77" s="6">
        <f>-2113-T77-S77</f>
        <v>-1097</v>
      </c>
    </row>
    <row r="78" spans="2:26" x14ac:dyDescent="0.2">
      <c r="B78" t="s">
        <v>55</v>
      </c>
      <c r="O78" s="6">
        <v>-66</v>
      </c>
      <c r="P78" s="6">
        <f>-88-O78</f>
        <v>-22</v>
      </c>
      <c r="Q78" s="6">
        <f>-161-P78-O78</f>
        <v>-73</v>
      </c>
      <c r="R78" s="6">
        <v>34</v>
      </c>
      <c r="S78" s="6">
        <v>-221</v>
      </c>
      <c r="T78" s="6">
        <v>189</v>
      </c>
      <c r="U78" s="6">
        <f>413-T78-S78+71</f>
        <v>516</v>
      </c>
    </row>
    <row r="79" spans="2:26" x14ac:dyDescent="0.2">
      <c r="B79" t="s">
        <v>72</v>
      </c>
      <c r="O79" s="6">
        <f>849-461-10-250-72-1681+6+210</f>
        <v>-1409</v>
      </c>
      <c r="P79" s="6">
        <f>-517-2313-195-134-133-200+9+184-O79</f>
        <v>-1890</v>
      </c>
      <c r="Q79" s="6">
        <f>-1072-2566-184+560-163+895+87+527-P79-O79</f>
        <v>1383</v>
      </c>
      <c r="R79" s="6">
        <f>-2038+817-165+876+151+2462+100+414</f>
        <v>2617</v>
      </c>
      <c r="S79" s="6">
        <f>2557+573-108-882-105+763-52-5</f>
        <v>2741</v>
      </c>
      <c r="T79" s="6">
        <f>-522-435-25+237+73+1180+24-88</f>
        <v>444</v>
      </c>
      <c r="U79" s="6">
        <f>1930-693-160-666-12+2942-35+446-T79-S79</f>
        <v>567</v>
      </c>
    </row>
    <row r="80" spans="2:26" x14ac:dyDescent="0.2">
      <c r="B80" t="s">
        <v>68</v>
      </c>
      <c r="O80" s="6">
        <f t="shared" ref="O80:U80" si="169">SUM(O74:O79)</f>
        <v>12242</v>
      </c>
      <c r="P80" s="6">
        <f t="shared" si="169"/>
        <v>13247</v>
      </c>
      <c r="Q80" s="6">
        <f t="shared" si="169"/>
        <v>14090</v>
      </c>
      <c r="R80" s="6">
        <f t="shared" si="169"/>
        <v>18104</v>
      </c>
      <c r="S80" s="6">
        <f t="shared" si="169"/>
        <v>14076</v>
      </c>
      <c r="T80" s="6">
        <f t="shared" si="169"/>
        <v>12197</v>
      </c>
      <c r="U80" s="6">
        <f t="shared" si="169"/>
        <v>9691</v>
      </c>
    </row>
    <row r="81" spans="2:25" x14ac:dyDescent="0.2">
      <c r="S81" s="6"/>
      <c r="T81" s="6"/>
    </row>
    <row r="82" spans="2:25" s="3" customFormat="1" x14ac:dyDescent="0.2">
      <c r="B82" s="3" t="s">
        <v>73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>
        <v>-4272</v>
      </c>
      <c r="P82" s="6">
        <f>-8884-O82</f>
        <v>-4612</v>
      </c>
      <c r="Q82" s="6">
        <f>-13198-P82-O82</f>
        <v>-4314</v>
      </c>
      <c r="R82" s="6">
        <v>-5370</v>
      </c>
      <c r="S82" s="6">
        <f>-5441+126</f>
        <v>-5315</v>
      </c>
      <c r="T82" s="6">
        <f>-7572+44</f>
        <v>-7528</v>
      </c>
      <c r="U82" s="6">
        <f>-22388-T82-S82+190</f>
        <v>-9355</v>
      </c>
      <c r="V82" s="6"/>
      <c r="W82" s="6"/>
      <c r="X82" s="6"/>
      <c r="Y82" s="6"/>
    </row>
    <row r="83" spans="2:25" s="3" customFormat="1" x14ac:dyDescent="0.2">
      <c r="B83" s="3" t="s">
        <v>74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>
        <f>-6231+1650+3981-2</f>
        <v>-602</v>
      </c>
      <c r="P83" s="6">
        <f>-16528+6337+6327-O83-62</f>
        <v>-3324</v>
      </c>
      <c r="Q83" s="6">
        <f>-24314+15331+9318-46-160-P83-O83</f>
        <v>4055</v>
      </c>
      <c r="R83" s="6">
        <f>-6093+16340+1598-2-123</f>
        <v>11720</v>
      </c>
      <c r="S83" s="6">
        <f>-4068+5065+402-10</f>
        <v>1389</v>
      </c>
      <c r="T83" s="6">
        <f>-2220+2648+511-7</f>
        <v>932</v>
      </c>
      <c r="U83" s="6">
        <f>-8885+9333+1562-T83-S83</f>
        <v>-311</v>
      </c>
      <c r="V83" s="6"/>
      <c r="W83" s="6"/>
      <c r="X83" s="6"/>
      <c r="Y83" s="6"/>
    </row>
    <row r="84" spans="2:25" s="3" customFormat="1" x14ac:dyDescent="0.2">
      <c r="B84" s="3" t="s">
        <v>75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>
        <v>0</v>
      </c>
      <c r="P84" s="6">
        <f>-259-O84</f>
        <v>-259</v>
      </c>
      <c r="Q84" s="6">
        <f>-330-P84-O84</f>
        <v>-71</v>
      </c>
      <c r="R84" s="6">
        <v>-521</v>
      </c>
      <c r="S84" s="6">
        <v>-853</v>
      </c>
      <c r="T84" s="6">
        <v>-363</v>
      </c>
      <c r="U84" s="6">
        <f>-1250-1-T84-S84</f>
        <v>-35</v>
      </c>
      <c r="V84" s="6"/>
      <c r="W84" s="6"/>
      <c r="X84" s="6"/>
      <c r="Y84" s="6"/>
    </row>
    <row r="85" spans="2:25" s="3" customFormat="1" x14ac:dyDescent="0.2">
      <c r="B85" s="3" t="s">
        <v>76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>
        <f t="shared" ref="O85:U85" si="170">SUM(O82:O84)</f>
        <v>-4874</v>
      </c>
      <c r="P85" s="6">
        <f t="shared" si="170"/>
        <v>-8195</v>
      </c>
      <c r="Q85" s="6">
        <f t="shared" si="170"/>
        <v>-330</v>
      </c>
      <c r="R85" s="6">
        <f t="shared" si="170"/>
        <v>5829</v>
      </c>
      <c r="S85" s="6">
        <f t="shared" si="170"/>
        <v>-4779</v>
      </c>
      <c r="T85" s="6">
        <f t="shared" si="170"/>
        <v>-6959</v>
      </c>
      <c r="U85" s="6">
        <f t="shared" si="170"/>
        <v>-9701</v>
      </c>
      <c r="V85" s="6"/>
      <c r="W85" s="6"/>
      <c r="X85" s="6"/>
      <c r="Y85" s="6"/>
    </row>
    <row r="86" spans="2:25" s="3" customFormat="1" x14ac:dyDescent="0.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2:25" s="3" customFormat="1" x14ac:dyDescent="0.2">
      <c r="B87" s="3" t="s">
        <v>77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>
        <v>-1077</v>
      </c>
      <c r="P87" s="6">
        <f>-2432-O87</f>
        <v>-1355</v>
      </c>
      <c r="Q87" s="6">
        <f>-4007-P87-O87</f>
        <v>-1575</v>
      </c>
      <c r="R87" s="6">
        <v>-1507</v>
      </c>
      <c r="S87" s="6">
        <v>-925</v>
      </c>
      <c r="T87" s="6">
        <v>-1002</v>
      </c>
      <c r="U87" s="6">
        <f>-2938-T87-S87</f>
        <v>-1011</v>
      </c>
      <c r="V87" s="6"/>
      <c r="W87" s="6"/>
      <c r="X87" s="6"/>
      <c r="Y87" s="6"/>
    </row>
    <row r="88" spans="2:25" s="7" customFormat="1" x14ac:dyDescent="0.2">
      <c r="B88" s="7" t="s">
        <v>78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>
        <v>-3939</v>
      </c>
      <c r="P88" s="8">
        <f>-11018-O88</f>
        <v>-7079</v>
      </c>
      <c r="Q88" s="8">
        <f>-24476-P88-O88</f>
        <v>-13458</v>
      </c>
      <c r="R88" s="8">
        <v>-20063</v>
      </c>
      <c r="S88" s="8">
        <v>-9506</v>
      </c>
      <c r="T88" s="8">
        <v>-5233</v>
      </c>
      <c r="U88" s="8">
        <f>-21093-T88-S88</f>
        <v>-6354</v>
      </c>
      <c r="V88" s="8"/>
      <c r="W88" s="8"/>
      <c r="X88" s="8"/>
      <c r="Y88" s="8"/>
    </row>
    <row r="89" spans="2:25" s="21" customFormat="1" x14ac:dyDescent="0.2">
      <c r="B89" s="21" t="s">
        <v>5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>
        <v>0</v>
      </c>
      <c r="T89" s="22">
        <v>0</v>
      </c>
      <c r="U89" s="22">
        <f>9921-T89-S89</f>
        <v>9921</v>
      </c>
      <c r="V89" s="22"/>
      <c r="W89" s="22"/>
      <c r="X89" s="22"/>
      <c r="Y89" s="22"/>
    </row>
    <row r="90" spans="2:25" s="3" customFormat="1" x14ac:dyDescent="0.2">
      <c r="B90" s="3" t="s">
        <v>55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>
        <f>-151+32-50</f>
        <v>-169</v>
      </c>
      <c r="P90" s="6">
        <f>-274-O90+3-13</f>
        <v>-115</v>
      </c>
      <c r="Q90" s="6">
        <f>-505+15-13-P90-O90</f>
        <v>-219</v>
      </c>
      <c r="R90" s="6">
        <v>-172</v>
      </c>
      <c r="S90" s="6">
        <f>-233+20-16</f>
        <v>-229</v>
      </c>
      <c r="T90" s="6">
        <f>-219-79-30</f>
        <v>-328</v>
      </c>
      <c r="U90" s="6">
        <f>-615-250-101-T90-S90</f>
        <v>-409</v>
      </c>
      <c r="V90" s="6"/>
      <c r="W90" s="6"/>
      <c r="X90" s="6"/>
      <c r="Y90" s="6"/>
    </row>
    <row r="91" spans="2:25" s="3" customFormat="1" x14ac:dyDescent="0.2">
      <c r="B91" s="3" t="s">
        <v>79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>
        <f t="shared" ref="O91:Q91" si="171">SUM(O87:O90)</f>
        <v>-5185</v>
      </c>
      <c r="P91" s="6">
        <f t="shared" si="171"/>
        <v>-8549</v>
      </c>
      <c r="Q91" s="6">
        <f t="shared" si="171"/>
        <v>-15252</v>
      </c>
      <c r="R91" s="6">
        <f t="shared" ref="R91" si="172">SUM(R87:R90)</f>
        <v>-21742</v>
      </c>
      <c r="S91" s="6">
        <f>SUM(S87:S90)</f>
        <v>-10660</v>
      </c>
      <c r="T91" s="6">
        <f>SUM(T87:T90)</f>
        <v>-6563</v>
      </c>
      <c r="U91" s="6">
        <f>SUM(U87:U90)</f>
        <v>2147</v>
      </c>
      <c r="V91" s="6"/>
      <c r="W91" s="6"/>
      <c r="X91" s="6"/>
      <c r="Y91" s="6"/>
    </row>
    <row r="92" spans="2:25" x14ac:dyDescent="0.2">
      <c r="B92" t="s">
        <v>80</v>
      </c>
      <c r="O92" s="1">
        <v>-246</v>
      </c>
      <c r="P92" s="1">
        <f>-129-O92</f>
        <v>117</v>
      </c>
      <c r="Q92" s="1">
        <f>-344-P92-O92</f>
        <v>-215</v>
      </c>
      <c r="R92" s="1">
        <v>-130</v>
      </c>
      <c r="S92" s="6">
        <v>-149</v>
      </c>
      <c r="T92" s="1">
        <v>-550</v>
      </c>
      <c r="U92" s="6">
        <f>-1063-T92-S92</f>
        <v>-364</v>
      </c>
    </row>
    <row r="93" spans="2:25" x14ac:dyDescent="0.2">
      <c r="B93" t="s">
        <v>81</v>
      </c>
      <c r="O93" s="6">
        <f t="shared" ref="O93:U93" si="173">+O92+O91+O85+O80</f>
        <v>1937</v>
      </c>
      <c r="P93" s="6">
        <f t="shared" si="173"/>
        <v>-3380</v>
      </c>
      <c r="Q93" s="6">
        <f t="shared" si="173"/>
        <v>-1707</v>
      </c>
      <c r="R93" s="6">
        <f t="shared" si="173"/>
        <v>2061</v>
      </c>
      <c r="S93" s="6">
        <f t="shared" si="173"/>
        <v>-1512</v>
      </c>
      <c r="T93" s="6">
        <f t="shared" si="173"/>
        <v>-1875</v>
      </c>
      <c r="U93" s="6">
        <f t="shared" si="173"/>
        <v>1773</v>
      </c>
    </row>
    <row r="94" spans="2:25" x14ac:dyDescent="0.2">
      <c r="S94" s="6"/>
    </row>
    <row r="95" spans="2:25" s="3" customFormat="1" x14ac:dyDescent="0.2">
      <c r="B95" s="3" t="s">
        <v>35</v>
      </c>
      <c r="C95" s="6"/>
      <c r="D95" s="6"/>
      <c r="E95" s="6"/>
      <c r="F95" s="6"/>
      <c r="G95" s="6"/>
      <c r="H95" s="6"/>
      <c r="I95" s="6">
        <v>43030</v>
      </c>
      <c r="J95" s="6">
        <v>44942</v>
      </c>
      <c r="K95" s="6"/>
      <c r="L95" s="6"/>
      <c r="M95" s="6"/>
      <c r="N95" s="6"/>
      <c r="O95" s="6"/>
      <c r="P95" s="6"/>
      <c r="Q95" s="6"/>
      <c r="R95" s="6">
        <v>71970</v>
      </c>
      <c r="S95" s="6">
        <v>77805</v>
      </c>
      <c r="T95" s="6">
        <v>83553</v>
      </c>
      <c r="U95" s="6">
        <v>87314</v>
      </c>
      <c r="V95" s="6"/>
      <c r="W95" s="6"/>
      <c r="X95" s="6"/>
      <c r="Y95" s="6"/>
    </row>
    <row r="96" spans="2:25" x14ac:dyDescent="0.2">
      <c r="B96" t="s">
        <v>200</v>
      </c>
      <c r="S96" s="6">
        <f>+S95-R95</f>
        <v>5835</v>
      </c>
      <c r="T96" s="6">
        <f>+T95-S95</f>
        <v>5748</v>
      </c>
      <c r="U96" s="6">
        <f>+U95-T95</f>
        <v>3761</v>
      </c>
    </row>
    <row r="97" spans="2:25" x14ac:dyDescent="0.2">
      <c r="S97" s="6"/>
      <c r="T97" s="6"/>
    </row>
    <row r="98" spans="2:25" x14ac:dyDescent="0.2">
      <c r="B98" t="s">
        <v>127</v>
      </c>
      <c r="O98" s="6">
        <f>+O80+O82</f>
        <v>7970</v>
      </c>
      <c r="P98" s="6">
        <f t="shared" ref="P98:S98" si="174">+P80+P82</f>
        <v>8635</v>
      </c>
      <c r="Q98" s="6">
        <f t="shared" si="174"/>
        <v>9776</v>
      </c>
      <c r="R98" s="6">
        <f t="shared" si="174"/>
        <v>12734</v>
      </c>
      <c r="S98" s="6">
        <f t="shared" si="174"/>
        <v>8761</v>
      </c>
      <c r="T98" s="6">
        <f>+T80+T82</f>
        <v>4669</v>
      </c>
      <c r="U98" s="6">
        <f>+U80+U82</f>
        <v>336</v>
      </c>
    </row>
    <row r="99" spans="2:25" x14ac:dyDescent="0.2">
      <c r="B99" t="s">
        <v>128</v>
      </c>
      <c r="R99" s="6">
        <f t="shared" ref="R99:S99" si="175">SUM(O98:R98)</f>
        <v>39115</v>
      </c>
      <c r="S99" s="6">
        <f t="shared" si="175"/>
        <v>39906</v>
      </c>
      <c r="T99" s="6">
        <f>SUM(Q98:T98)</f>
        <v>35940</v>
      </c>
      <c r="U99" s="6">
        <f>SUM(R98:U98)</f>
        <v>26500</v>
      </c>
    </row>
    <row r="101" spans="2:25" s="3" customFormat="1" x14ac:dyDescent="0.2">
      <c r="B101" s="3" t="s">
        <v>195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>
        <v>-2631</v>
      </c>
      <c r="R101" s="6"/>
      <c r="S101" s="6"/>
      <c r="T101" s="6"/>
      <c r="U101" s="6">
        <v>-3672</v>
      </c>
      <c r="V101" s="6"/>
      <c r="W101" s="6"/>
      <c r="X101" s="6"/>
      <c r="Y101" s="6"/>
    </row>
    <row r="102" spans="2:25" x14ac:dyDescent="0.2">
      <c r="B102" t="s">
        <v>198</v>
      </c>
      <c r="Q102" s="10"/>
      <c r="R102" s="10">
        <f>SUM(Q23:R23)/SUM(M23:N23)-1</f>
        <v>1.0013947001394699</v>
      </c>
      <c r="S102" s="10">
        <f>SUM(R23:S23)/SUM(N23:O23)-1</f>
        <v>0.25659472422062346</v>
      </c>
      <c r="T102" s="10">
        <f>SUM(S23:T23)/SUM(O23:P23)-1</f>
        <v>0.36710369487485095</v>
      </c>
      <c r="U102" s="10">
        <f>SUM(T23:U23)/SUM(P23:Q23)-1</f>
        <v>-0.14600231749710313</v>
      </c>
    </row>
    <row r="104" spans="2:25" x14ac:dyDescent="0.2">
      <c r="B104" t="s">
        <v>199</v>
      </c>
      <c r="Q104" s="6">
        <v>13054</v>
      </c>
      <c r="R104" s="6"/>
      <c r="S104" s="6"/>
      <c r="T104" s="6"/>
      <c r="U104" s="6">
        <v>9336</v>
      </c>
    </row>
    <row r="105" spans="2:25" x14ac:dyDescent="0.2">
      <c r="B105" t="s">
        <v>203</v>
      </c>
      <c r="U105" s="10">
        <f>+U104/U25</f>
        <v>0.33686945226239445</v>
      </c>
    </row>
    <row r="107" spans="2:25" x14ac:dyDescent="0.2">
      <c r="B107" t="s">
        <v>204</v>
      </c>
    </row>
  </sheetData>
  <hyperlinks>
    <hyperlink ref="A1" location="Main!A1" display="Main" xr:uid="{2BEFFC4D-3A75-4DC4-9B53-54835175238C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3622-E2D2-4236-A05B-563099E7C6CE}">
  <dimension ref="A1:H29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0" sqref="B30"/>
    </sheetView>
  </sheetViews>
  <sheetFormatPr defaultRowHeight="12.75" x14ac:dyDescent="0.2"/>
  <cols>
    <col min="1" max="1" width="5" bestFit="1" customWidth="1"/>
    <col min="2" max="2" width="9.28515625" bestFit="1" customWidth="1"/>
    <col min="3" max="3" width="10.42578125" bestFit="1" customWidth="1"/>
  </cols>
  <sheetData>
    <row r="1" spans="1:8" x14ac:dyDescent="0.2">
      <c r="A1" t="s">
        <v>7</v>
      </c>
    </row>
    <row r="2" spans="1:8" x14ac:dyDescent="0.2">
      <c r="B2" t="s">
        <v>129</v>
      </c>
      <c r="C2" t="s">
        <v>131</v>
      </c>
      <c r="D2" t="s">
        <v>132</v>
      </c>
      <c r="E2" t="s">
        <v>134</v>
      </c>
      <c r="F2" t="s">
        <v>136</v>
      </c>
      <c r="G2" t="s">
        <v>138</v>
      </c>
      <c r="H2" t="s">
        <v>130</v>
      </c>
    </row>
    <row r="3" spans="1:8" x14ac:dyDescent="0.2">
      <c r="B3">
        <v>11449606</v>
      </c>
      <c r="C3" s="20">
        <v>44215</v>
      </c>
      <c r="D3" s="20">
        <v>44824</v>
      </c>
      <c r="E3" s="20" t="s">
        <v>135</v>
      </c>
      <c r="F3" s="20" t="s">
        <v>137</v>
      </c>
      <c r="G3">
        <v>3</v>
      </c>
      <c r="H3" t="s">
        <v>133</v>
      </c>
    </row>
    <row r="4" spans="1:8" x14ac:dyDescent="0.2">
      <c r="B4">
        <v>11449189</v>
      </c>
      <c r="C4" s="20">
        <v>43740</v>
      </c>
      <c r="D4" s="20">
        <v>44824</v>
      </c>
      <c r="E4" t="s">
        <v>135</v>
      </c>
      <c r="F4" t="s">
        <v>140</v>
      </c>
      <c r="G4">
        <v>4</v>
      </c>
      <c r="H4" t="s">
        <v>139</v>
      </c>
    </row>
    <row r="5" spans="1:8" x14ac:dyDescent="0.2">
      <c r="B5">
        <v>11448803</v>
      </c>
      <c r="C5" s="20">
        <v>43836</v>
      </c>
      <c r="D5" s="20">
        <v>44824</v>
      </c>
      <c r="E5" t="s">
        <v>141</v>
      </c>
      <c r="F5" t="s">
        <v>142</v>
      </c>
      <c r="G5">
        <v>3</v>
      </c>
      <c r="H5" t="s">
        <v>143</v>
      </c>
    </row>
    <row r="6" spans="1:8" x14ac:dyDescent="0.2">
      <c r="B6">
        <v>11442272</v>
      </c>
      <c r="C6" s="20">
        <v>43902</v>
      </c>
      <c r="D6" s="20">
        <v>44817</v>
      </c>
      <c r="E6" t="s">
        <v>135</v>
      </c>
      <c r="F6" t="s">
        <v>144</v>
      </c>
      <c r="G6">
        <v>3</v>
      </c>
      <c r="H6" t="s">
        <v>145</v>
      </c>
    </row>
    <row r="7" spans="1:8" x14ac:dyDescent="0.2">
      <c r="B7">
        <v>11441702</v>
      </c>
      <c r="C7" s="20">
        <v>43594</v>
      </c>
      <c r="D7" s="20">
        <v>44817</v>
      </c>
      <c r="E7" t="s">
        <v>146</v>
      </c>
      <c r="G7">
        <v>3</v>
      </c>
      <c r="H7" t="s">
        <v>147</v>
      </c>
    </row>
    <row r="8" spans="1:8" x14ac:dyDescent="0.2">
      <c r="B8">
        <v>11436793</v>
      </c>
      <c r="C8" s="20">
        <v>44239</v>
      </c>
      <c r="D8" s="20">
        <v>44810</v>
      </c>
      <c r="E8" t="s">
        <v>148</v>
      </c>
      <c r="F8" t="s">
        <v>149</v>
      </c>
      <c r="G8">
        <v>3</v>
      </c>
      <c r="H8" t="s">
        <v>150</v>
      </c>
    </row>
    <row r="9" spans="1:8" x14ac:dyDescent="0.2">
      <c r="B9">
        <v>11435820</v>
      </c>
      <c r="C9" s="20">
        <v>43601</v>
      </c>
      <c r="D9" s="20">
        <v>44810</v>
      </c>
      <c r="E9" t="s">
        <v>135</v>
      </c>
      <c r="F9" t="s">
        <v>151</v>
      </c>
      <c r="G9">
        <v>3</v>
      </c>
      <c r="H9" t="s">
        <v>152</v>
      </c>
    </row>
    <row r="10" spans="1:8" x14ac:dyDescent="0.2">
      <c r="B10">
        <v>11435448</v>
      </c>
      <c r="C10" s="20">
        <v>44071</v>
      </c>
      <c r="D10" s="20">
        <v>44810</v>
      </c>
      <c r="E10" t="s">
        <v>148</v>
      </c>
      <c r="F10" t="s">
        <v>153</v>
      </c>
      <c r="G10">
        <v>3</v>
      </c>
      <c r="H10" t="s">
        <v>154</v>
      </c>
    </row>
    <row r="11" spans="1:8" x14ac:dyDescent="0.2">
      <c r="B11">
        <v>11431955</v>
      </c>
      <c r="C11" s="20">
        <v>43802</v>
      </c>
      <c r="D11" s="20">
        <v>44803</v>
      </c>
      <c r="E11" t="s">
        <v>146</v>
      </c>
      <c r="F11" t="s">
        <v>156</v>
      </c>
      <c r="G11">
        <v>3</v>
      </c>
      <c r="H11" t="s">
        <v>155</v>
      </c>
    </row>
    <row r="12" spans="1:8" x14ac:dyDescent="0.2">
      <c r="B12">
        <v>11430398</v>
      </c>
      <c r="C12" s="20">
        <v>44455</v>
      </c>
      <c r="D12" s="20">
        <v>44803</v>
      </c>
      <c r="E12" t="s">
        <v>157</v>
      </c>
      <c r="F12" t="s">
        <v>158</v>
      </c>
      <c r="G12">
        <v>3</v>
      </c>
      <c r="H12" t="s">
        <v>159</v>
      </c>
    </row>
    <row r="13" spans="1:8" x14ac:dyDescent="0.2">
      <c r="B13">
        <v>11430141</v>
      </c>
      <c r="C13" s="20">
        <v>43844</v>
      </c>
      <c r="D13" s="20">
        <v>44803</v>
      </c>
      <c r="E13" t="s">
        <v>135</v>
      </c>
      <c r="F13" t="s">
        <v>161</v>
      </c>
      <c r="G13">
        <v>4</v>
      </c>
      <c r="H13" t="s">
        <v>160</v>
      </c>
    </row>
    <row r="14" spans="1:8" x14ac:dyDescent="0.2">
      <c r="B14">
        <v>11430085</v>
      </c>
      <c r="C14" s="20">
        <v>44096</v>
      </c>
      <c r="D14" s="20">
        <v>44803</v>
      </c>
      <c r="E14" t="s">
        <v>146</v>
      </c>
      <c r="F14" t="s">
        <v>162</v>
      </c>
      <c r="G14">
        <v>3</v>
      </c>
      <c r="H14" t="s">
        <v>163</v>
      </c>
    </row>
    <row r="15" spans="1:8" x14ac:dyDescent="0.2">
      <c r="B15">
        <v>11425523</v>
      </c>
      <c r="C15" s="20">
        <v>43931</v>
      </c>
      <c r="D15" s="20">
        <v>44796</v>
      </c>
      <c r="E15" t="s">
        <v>141</v>
      </c>
      <c r="F15" t="s">
        <v>164</v>
      </c>
      <c r="G15">
        <v>3</v>
      </c>
      <c r="H15" t="s">
        <v>165</v>
      </c>
    </row>
    <row r="16" spans="1:8" x14ac:dyDescent="0.2">
      <c r="B16">
        <v>11423621</v>
      </c>
      <c r="C16" s="20">
        <v>43972</v>
      </c>
      <c r="D16" s="20">
        <v>44796</v>
      </c>
      <c r="E16" t="s">
        <v>166</v>
      </c>
      <c r="F16" t="s">
        <v>167</v>
      </c>
      <c r="G16">
        <v>3</v>
      </c>
      <c r="H16" t="s">
        <v>168</v>
      </c>
    </row>
    <row r="17" spans="2:8" x14ac:dyDescent="0.2">
      <c r="B17">
        <v>11423616</v>
      </c>
      <c r="C17" s="20">
        <v>43917</v>
      </c>
      <c r="D17" s="20">
        <v>44796</v>
      </c>
      <c r="E17" t="s">
        <v>157</v>
      </c>
      <c r="F17" t="s">
        <v>169</v>
      </c>
      <c r="G17">
        <v>4</v>
      </c>
      <c r="H17" t="s">
        <v>170</v>
      </c>
    </row>
    <row r="18" spans="2:8" x14ac:dyDescent="0.2">
      <c r="B18">
        <v>11423520</v>
      </c>
      <c r="C18" s="20">
        <v>44134</v>
      </c>
      <c r="D18" s="20">
        <v>44796</v>
      </c>
      <c r="E18" t="s">
        <v>166</v>
      </c>
      <c r="F18" t="s">
        <v>171</v>
      </c>
      <c r="G18">
        <v>3</v>
      </c>
      <c r="H18" t="s">
        <v>172</v>
      </c>
    </row>
    <row r="19" spans="2:8" x14ac:dyDescent="0.2">
      <c r="B19">
        <v>11423152</v>
      </c>
      <c r="C19" s="20">
        <v>43690</v>
      </c>
      <c r="D19" s="20">
        <v>44796</v>
      </c>
      <c r="E19" t="s">
        <v>148</v>
      </c>
      <c r="G19">
        <v>3</v>
      </c>
      <c r="H19" t="s">
        <v>173</v>
      </c>
    </row>
    <row r="20" spans="2:8" x14ac:dyDescent="0.2">
      <c r="B20">
        <v>11422669</v>
      </c>
      <c r="C20" s="20">
        <v>43623</v>
      </c>
      <c r="D20" s="20">
        <v>44796</v>
      </c>
      <c r="E20" t="s">
        <v>135</v>
      </c>
      <c r="F20" t="s">
        <v>174</v>
      </c>
      <c r="G20">
        <v>4</v>
      </c>
      <c r="H20" t="s">
        <v>175</v>
      </c>
    </row>
    <row r="21" spans="2:8" x14ac:dyDescent="0.2">
      <c r="B21">
        <v>11422373</v>
      </c>
      <c r="C21" s="20">
        <v>43868</v>
      </c>
      <c r="D21" s="20">
        <v>44796</v>
      </c>
      <c r="E21" t="s">
        <v>148</v>
      </c>
      <c r="F21" t="s">
        <v>177</v>
      </c>
      <c r="G21">
        <v>3</v>
      </c>
      <c r="H21" t="s">
        <v>176</v>
      </c>
    </row>
    <row r="22" spans="2:8" x14ac:dyDescent="0.2">
      <c r="B22">
        <v>11417054</v>
      </c>
      <c r="C22" s="20">
        <v>44272</v>
      </c>
      <c r="D22" s="20">
        <v>44789</v>
      </c>
      <c r="E22" t="s">
        <v>157</v>
      </c>
      <c r="F22" t="s">
        <v>178</v>
      </c>
      <c r="G22">
        <v>3</v>
      </c>
      <c r="H22" t="s">
        <v>179</v>
      </c>
    </row>
    <row r="23" spans="2:8" x14ac:dyDescent="0.2">
      <c r="B23">
        <v>11416239</v>
      </c>
      <c r="C23" s="20">
        <v>44195</v>
      </c>
      <c r="D23" s="20">
        <v>44789</v>
      </c>
      <c r="E23" t="s">
        <v>166</v>
      </c>
      <c r="F23" t="s">
        <v>180</v>
      </c>
      <c r="G23">
        <v>3</v>
      </c>
      <c r="H23" t="s">
        <v>181</v>
      </c>
    </row>
    <row r="24" spans="2:8" x14ac:dyDescent="0.2">
      <c r="B24">
        <v>11416075</v>
      </c>
      <c r="C24" s="20">
        <v>43915</v>
      </c>
      <c r="D24" s="20">
        <v>44789</v>
      </c>
      <c r="E24" t="s">
        <v>148</v>
      </c>
      <c r="F24" t="s">
        <v>182</v>
      </c>
      <c r="G24">
        <v>5</v>
      </c>
      <c r="H24" t="s">
        <v>183</v>
      </c>
    </row>
    <row r="25" spans="2:8" x14ac:dyDescent="0.2">
      <c r="B25">
        <v>11416067</v>
      </c>
      <c r="C25" s="20">
        <v>44452</v>
      </c>
      <c r="D25" s="20">
        <v>44789</v>
      </c>
      <c r="E25" t="s">
        <v>141</v>
      </c>
      <c r="F25" t="s">
        <v>184</v>
      </c>
      <c r="G25">
        <v>3</v>
      </c>
      <c r="H25" t="s">
        <v>185</v>
      </c>
    </row>
    <row r="26" spans="2:8" x14ac:dyDescent="0.2">
      <c r="B26">
        <v>11415880</v>
      </c>
      <c r="C26" s="20">
        <v>43483</v>
      </c>
      <c r="D26" s="20">
        <v>44789</v>
      </c>
      <c r="E26" t="s">
        <v>146</v>
      </c>
      <c r="F26" t="s">
        <v>186</v>
      </c>
      <c r="G26">
        <v>3</v>
      </c>
      <c r="H26" t="s">
        <v>187</v>
      </c>
    </row>
    <row r="27" spans="2:8" x14ac:dyDescent="0.2">
      <c r="B27">
        <v>11415808</v>
      </c>
      <c r="C27" s="20">
        <v>43818</v>
      </c>
      <c r="D27" s="20">
        <v>44789</v>
      </c>
      <c r="E27" t="s">
        <v>146</v>
      </c>
      <c r="F27" t="s">
        <v>189</v>
      </c>
      <c r="G27">
        <v>3</v>
      </c>
      <c r="H27" t="s">
        <v>188</v>
      </c>
    </row>
    <row r="28" spans="2:8" x14ac:dyDescent="0.2">
      <c r="B28" t="s">
        <v>190</v>
      </c>
      <c r="C28" s="20">
        <v>44537</v>
      </c>
      <c r="D28" s="20">
        <v>44782</v>
      </c>
      <c r="E28" t="s">
        <v>148</v>
      </c>
      <c r="F28" t="s">
        <v>191</v>
      </c>
      <c r="G28">
        <v>3</v>
      </c>
      <c r="H28" t="s">
        <v>192</v>
      </c>
    </row>
    <row r="29" spans="2:8" x14ac:dyDescent="0.2">
      <c r="B29">
        <v>11412511</v>
      </c>
      <c r="C29" s="20">
        <v>43956</v>
      </c>
      <c r="D29" s="20">
        <v>44782</v>
      </c>
      <c r="E29" t="s">
        <v>141</v>
      </c>
      <c r="F29" t="s">
        <v>193</v>
      </c>
      <c r="G29">
        <v>3</v>
      </c>
      <c r="H2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2022-06-11T17:53:18Z</dcterms:created>
  <dcterms:modified xsi:type="dcterms:W3CDTF">2022-11-22T15:03:20Z</dcterms:modified>
</cp:coreProperties>
</file>