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A292AAC9-8A5E-014D-AA19-32D0D0AE4A6E}" xr6:coauthVersionLast="47" xr6:coauthVersionMax="47" xr10:uidLastSave="{00000000-0000-0000-0000-000000000000}"/>
  <bookViews>
    <workbookView xWindow="0" yWindow="760" windowWidth="34560" windowHeight="20640" activeTab="1" xr2:uid="{A60D6F5D-C7AD-4CE4-9596-6485E651EC61}"/>
  </bookViews>
  <sheets>
    <sheet name="Main" sheetId="1" r:id="rId1"/>
    <sheet name="Model" sheetId="9" r:id="rId2"/>
    <sheet name="Dupixent" sheetId="8" r:id="rId3"/>
    <sheet name="Eylea" sheetId="3" r:id="rId4"/>
    <sheet name="Arcalyst" sheetId="2" r:id="rId5"/>
    <sheet name="Zaltrap" sheetId="4" r:id="rId6"/>
    <sheet name="VEGF Trap" sheetId="5" r:id="rId7"/>
    <sheet name="Praluent" sheetId="6" r:id="rId8"/>
    <sheet name="Kevzara"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39" i="9" l="1"/>
  <c r="W39" i="9"/>
  <c r="X37" i="9"/>
  <c r="W37" i="9"/>
  <c r="X36" i="9"/>
  <c r="W36" i="9"/>
  <c r="X35" i="9"/>
  <c r="W35" i="9"/>
  <c r="X34" i="9"/>
  <c r="W34" i="9"/>
  <c r="X31" i="9"/>
  <c r="W31" i="9"/>
  <c r="X32" i="9"/>
  <c r="W32" i="9"/>
  <c r="X30" i="9"/>
  <c r="W30" i="9"/>
  <c r="W22" i="9"/>
  <c r="X28" i="9"/>
  <c r="X25" i="9"/>
  <c r="X26" i="9" s="1"/>
  <c r="W25" i="9"/>
  <c r="W26" i="9" s="1"/>
  <c r="W28" i="9" s="1"/>
  <c r="X22" i="9"/>
  <c r="X20" i="9"/>
  <c r="W20" i="9"/>
  <c r="R58" i="9"/>
  <c r="R63" i="9" s="1"/>
  <c r="R46" i="9"/>
  <c r="R54" i="9" s="1"/>
  <c r="R27" i="9"/>
  <c r="R24" i="9"/>
  <c r="R23" i="9"/>
  <c r="R21" i="9"/>
  <c r="R37" i="9"/>
  <c r="R35" i="9"/>
  <c r="R10" i="9"/>
  <c r="R36" i="9" s="1"/>
  <c r="R5" i="9"/>
  <c r="AR32" i="9"/>
  <c r="AQ32" i="9"/>
  <c r="AP32" i="9"/>
  <c r="AQ29" i="9"/>
  <c r="AP29" i="9"/>
  <c r="AS27" i="9"/>
  <c r="AQ24" i="9"/>
  <c r="AS23" i="9"/>
  <c r="AQ23" i="9"/>
  <c r="AP23" i="9"/>
  <c r="AS16" i="9"/>
  <c r="AS15" i="9"/>
  <c r="AS14" i="9"/>
  <c r="AS13" i="9"/>
  <c r="AS12" i="9"/>
  <c r="AS11" i="9"/>
  <c r="AS9" i="9"/>
  <c r="AR19" i="9"/>
  <c r="AR18" i="9"/>
  <c r="AR17" i="9"/>
  <c r="AR16" i="9"/>
  <c r="AR15" i="9"/>
  <c r="AR14" i="9"/>
  <c r="AR12" i="9"/>
  <c r="AR11" i="9"/>
  <c r="AR9" i="9"/>
  <c r="AR8" i="9"/>
  <c r="AR7" i="9"/>
  <c r="AR6" i="9"/>
  <c r="AR3" i="9"/>
  <c r="AQ19" i="9"/>
  <c r="AQ18" i="9"/>
  <c r="AQ17" i="9"/>
  <c r="AQ16" i="9"/>
  <c r="AQ15" i="9"/>
  <c r="AQ14" i="9"/>
  <c r="AQ12" i="9"/>
  <c r="AQ11" i="9"/>
  <c r="AQ9" i="9"/>
  <c r="AQ8" i="9"/>
  <c r="AQ7" i="9"/>
  <c r="AQ6" i="9"/>
  <c r="AQ5" i="9"/>
  <c r="AQ3" i="9"/>
  <c r="AP19" i="9"/>
  <c r="AP18" i="9"/>
  <c r="AP17" i="9"/>
  <c r="AP16" i="9"/>
  <c r="AP15" i="9"/>
  <c r="AP14" i="9"/>
  <c r="AP12" i="9"/>
  <c r="AP11" i="9"/>
  <c r="AP9" i="9"/>
  <c r="AP8" i="9"/>
  <c r="AP7" i="9"/>
  <c r="AP6" i="9"/>
  <c r="AP5" i="9"/>
  <c r="AP3" i="9"/>
  <c r="G27" i="9"/>
  <c r="G24" i="9"/>
  <c r="AP24" i="9" s="1"/>
  <c r="G21" i="9"/>
  <c r="G13" i="9"/>
  <c r="G10" i="9" s="1"/>
  <c r="D10" i="9"/>
  <c r="C10" i="9"/>
  <c r="K37" i="9"/>
  <c r="K35" i="9"/>
  <c r="C20" i="9"/>
  <c r="D20" i="9"/>
  <c r="H27" i="9"/>
  <c r="H25" i="9"/>
  <c r="H21" i="9"/>
  <c r="H13" i="9"/>
  <c r="H10" i="9" s="1"/>
  <c r="L37" i="9"/>
  <c r="L35" i="9"/>
  <c r="Q35" i="9"/>
  <c r="P35" i="9"/>
  <c r="O35" i="9"/>
  <c r="N35" i="9"/>
  <c r="M35" i="9"/>
  <c r="V37" i="9"/>
  <c r="U37" i="9"/>
  <c r="T37" i="9"/>
  <c r="S37" i="9"/>
  <c r="U3" i="9"/>
  <c r="U35" i="9" s="1"/>
  <c r="T35" i="9"/>
  <c r="S35" i="9"/>
  <c r="U7" i="9"/>
  <c r="V7" i="9" s="1"/>
  <c r="U17" i="9"/>
  <c r="V17" i="9"/>
  <c r="AS17" i="9" s="1"/>
  <c r="U24" i="9"/>
  <c r="U25" i="9" s="1"/>
  <c r="S25" i="9"/>
  <c r="V24" i="9"/>
  <c r="V25" i="9" s="1"/>
  <c r="Q10" i="9"/>
  <c r="U10" i="9" s="1"/>
  <c r="U36" i="9" s="1"/>
  <c r="Q5" i="9"/>
  <c r="AG2" i="9"/>
  <c r="AH2" i="9" s="1"/>
  <c r="AI2" i="9" s="1"/>
  <c r="AJ2" i="9" s="1"/>
  <c r="AK2" i="9" s="1"/>
  <c r="AL2" i="9" s="1"/>
  <c r="AM2" i="9" s="1"/>
  <c r="AN2" i="9" s="1"/>
  <c r="AO2" i="9" s="1"/>
  <c r="AP2" i="9" s="1"/>
  <c r="AQ2" i="9" s="1"/>
  <c r="AR2" i="9" s="1"/>
  <c r="AS2" i="9" s="1"/>
  <c r="AT2" i="9" s="1"/>
  <c r="AU2" i="9" s="1"/>
  <c r="AV2" i="9" s="1"/>
  <c r="AW2" i="9" s="1"/>
  <c r="AX2" i="9" s="1"/>
  <c r="AY2" i="9" s="1"/>
  <c r="AZ2" i="9" s="1"/>
  <c r="BA2" i="9" s="1"/>
  <c r="BB2" i="9" s="1"/>
  <c r="BC2" i="9" s="1"/>
  <c r="BD2" i="9" s="1"/>
  <c r="BE2" i="9" s="1"/>
  <c r="BF2" i="9" s="1"/>
  <c r="BG2" i="9" s="1"/>
  <c r="BH2" i="9" s="1"/>
  <c r="BI2" i="9" s="1"/>
  <c r="BJ2" i="9" s="1"/>
  <c r="BK2" i="9" s="1"/>
  <c r="BL2" i="9" s="1"/>
  <c r="BM2" i="9" s="1"/>
  <c r="BN2" i="9" s="1"/>
  <c r="S32" i="9"/>
  <c r="T32" i="9" s="1"/>
  <c r="Q25" i="9"/>
  <c r="Q37" i="9"/>
  <c r="P37" i="9"/>
  <c r="O37" i="9"/>
  <c r="N37" i="9"/>
  <c r="M37" i="9"/>
  <c r="I13" i="9"/>
  <c r="I10" i="9" s="1"/>
  <c r="I20" i="9" s="1"/>
  <c r="I22" i="9" s="1"/>
  <c r="I39" i="9" s="1"/>
  <c r="M13" i="9"/>
  <c r="M10" i="9" s="1"/>
  <c r="M25" i="9"/>
  <c r="L25" i="9"/>
  <c r="K25" i="9"/>
  <c r="J25" i="9"/>
  <c r="I25" i="9"/>
  <c r="U8" i="9"/>
  <c r="V8" i="9" s="1"/>
  <c r="U6" i="9"/>
  <c r="V6" i="9" s="1"/>
  <c r="V3" i="9"/>
  <c r="V35" i="9" s="1"/>
  <c r="N27" i="9"/>
  <c r="J21" i="9"/>
  <c r="N21" i="9"/>
  <c r="J13" i="9"/>
  <c r="J10" i="9" s="1"/>
  <c r="J20" i="9" s="1"/>
  <c r="J22" i="9" s="1"/>
  <c r="J39" i="9" s="1"/>
  <c r="N13" i="9"/>
  <c r="N10" i="9" s="1"/>
  <c r="N25" i="9"/>
  <c r="K13" i="9"/>
  <c r="K10" i="9" s="1"/>
  <c r="K20" i="9" s="1"/>
  <c r="O13" i="9"/>
  <c r="O10" i="9" s="1"/>
  <c r="O20" i="9" s="1"/>
  <c r="K27" i="9"/>
  <c r="K21" i="9"/>
  <c r="O27" i="9"/>
  <c r="O25" i="9"/>
  <c r="O21" i="9"/>
  <c r="L13" i="9"/>
  <c r="L10" i="9" s="1"/>
  <c r="P13" i="9"/>
  <c r="P10" i="9" s="1"/>
  <c r="P20" i="9" s="1"/>
  <c r="P24" i="9"/>
  <c r="T25" i="9" s="1"/>
  <c r="P23" i="9"/>
  <c r="L27" i="9"/>
  <c r="L21" i="9"/>
  <c r="P27" i="9"/>
  <c r="P21" i="9"/>
  <c r="AQ27" i="9" l="1"/>
  <c r="O34" i="9"/>
  <c r="U5" i="9"/>
  <c r="V5" i="9" s="1"/>
  <c r="AR23" i="9"/>
  <c r="AQ13" i="9"/>
  <c r="AQ25" i="9"/>
  <c r="AR24" i="9"/>
  <c r="AP27" i="9"/>
  <c r="R25" i="9"/>
  <c r="AP25" i="9"/>
  <c r="AR27" i="9"/>
  <c r="AP21" i="9"/>
  <c r="AR13" i="9"/>
  <c r="AQ21" i="9"/>
  <c r="AR5" i="9"/>
  <c r="AS7" i="9"/>
  <c r="AP10" i="9"/>
  <c r="AP20" i="9" s="1"/>
  <c r="AR10" i="9"/>
  <c r="AS3" i="9"/>
  <c r="AP13" i="9"/>
  <c r="AQ10" i="9"/>
  <c r="AQ20" i="9" s="1"/>
  <c r="AS8" i="9"/>
  <c r="G25" i="9"/>
  <c r="AR25" i="9"/>
  <c r="AS24" i="9"/>
  <c r="AS25" i="9" s="1"/>
  <c r="AS6" i="9"/>
  <c r="AS5" i="9"/>
  <c r="K36" i="9"/>
  <c r="G20" i="9"/>
  <c r="L36" i="9"/>
  <c r="H20" i="9"/>
  <c r="P36" i="9"/>
  <c r="Q36" i="9"/>
  <c r="M36" i="9"/>
  <c r="S36" i="9"/>
  <c r="O36" i="9"/>
  <c r="V10" i="9"/>
  <c r="N36" i="9"/>
  <c r="T36" i="9"/>
  <c r="S20" i="9"/>
  <c r="S34" i="9" s="1"/>
  <c r="U19" i="9"/>
  <c r="U20" i="9" s="1"/>
  <c r="U32" i="9"/>
  <c r="O22" i="9"/>
  <c r="O39" i="9" s="1"/>
  <c r="N20" i="9"/>
  <c r="R20" i="9"/>
  <c r="R34" i="9" s="1"/>
  <c r="M20" i="9"/>
  <c r="M34" i="9" s="1"/>
  <c r="L20" i="9"/>
  <c r="P34" i="9" s="1"/>
  <c r="I26" i="9"/>
  <c r="I28" i="9" s="1"/>
  <c r="I30" i="9" s="1"/>
  <c r="I31" i="9" s="1"/>
  <c r="J26" i="9"/>
  <c r="Q20" i="9"/>
  <c r="Q22" i="9" s="1"/>
  <c r="J28" i="9"/>
  <c r="J30" i="9" s="1"/>
  <c r="J31" i="9" s="1"/>
  <c r="K22" i="9"/>
  <c r="K39" i="9" s="1"/>
  <c r="P22" i="9"/>
  <c r="P39" i="9" s="1"/>
  <c r="P25" i="9"/>
  <c r="J4" i="1"/>
  <c r="AR20" i="9" l="1"/>
  <c r="AP22" i="9"/>
  <c r="AP26" i="9" s="1"/>
  <c r="AP28" i="9" s="1"/>
  <c r="AP30" i="9" s="1"/>
  <c r="AP31" i="9" s="1"/>
  <c r="AQ22" i="9"/>
  <c r="AQ26" i="9" s="1"/>
  <c r="AQ28" i="9" s="1"/>
  <c r="AQ30" i="9" s="1"/>
  <c r="AQ31" i="9" s="1"/>
  <c r="K34" i="9"/>
  <c r="G22" i="9"/>
  <c r="G39" i="9" s="1"/>
  <c r="G26" i="9"/>
  <c r="G28" i="9" s="1"/>
  <c r="G30" i="9" s="1"/>
  <c r="G31" i="9" s="1"/>
  <c r="R22" i="9"/>
  <c r="L34" i="9"/>
  <c r="H22" i="9"/>
  <c r="M22" i="9"/>
  <c r="V19" i="9"/>
  <c r="T20" i="9"/>
  <c r="V36" i="9"/>
  <c r="AS10" i="9"/>
  <c r="O26" i="9"/>
  <c r="O28" i="9" s="1"/>
  <c r="O30" i="9" s="1"/>
  <c r="O31" i="9" s="1"/>
  <c r="L22" i="9"/>
  <c r="L39" i="9" s="1"/>
  <c r="AR21" i="9"/>
  <c r="AR22" i="9" s="1"/>
  <c r="AR26" i="9" s="1"/>
  <c r="AR28" i="9" s="1"/>
  <c r="U34" i="9"/>
  <c r="V32" i="9"/>
  <c r="AS32" i="9" s="1"/>
  <c r="Q26" i="9"/>
  <c r="Q28" i="9" s="1"/>
  <c r="Q30" i="9" s="1"/>
  <c r="Q31" i="9" s="1"/>
  <c r="N22" i="9"/>
  <c r="N34" i="9"/>
  <c r="Q34" i="9"/>
  <c r="M26" i="9"/>
  <c r="M28" i="9" s="1"/>
  <c r="M30" i="9" s="1"/>
  <c r="M31" i="9" s="1"/>
  <c r="M39" i="9"/>
  <c r="K26" i="9"/>
  <c r="K28" i="9" s="1"/>
  <c r="K30" i="9" s="1"/>
  <c r="K31" i="9" s="1"/>
  <c r="J7" i="1"/>
  <c r="P26" i="9"/>
  <c r="P28" i="9" s="1"/>
  <c r="P30" i="9" s="1"/>
  <c r="P31" i="9" s="1"/>
  <c r="AS19" i="9" l="1"/>
  <c r="V20" i="9"/>
  <c r="V34" i="9" s="1"/>
  <c r="T34" i="9"/>
  <c r="T22" i="9"/>
  <c r="H39" i="9"/>
  <c r="H26" i="9"/>
  <c r="H28" i="9" s="1"/>
  <c r="H30" i="9" s="1"/>
  <c r="H31" i="9" s="1"/>
  <c r="R39" i="9"/>
  <c r="R26" i="9"/>
  <c r="R28" i="9" s="1"/>
  <c r="L26" i="9"/>
  <c r="L28" i="9" s="1"/>
  <c r="L30" i="9" s="1"/>
  <c r="L31" i="9" s="1"/>
  <c r="AS18" i="9"/>
  <c r="AS20" i="9" s="1"/>
  <c r="V22" i="9"/>
  <c r="U22" i="9"/>
  <c r="Q39" i="9"/>
  <c r="N39" i="9"/>
  <c r="N26" i="9"/>
  <c r="N28" i="9" s="1"/>
  <c r="N30" i="9" s="1"/>
  <c r="N31" i="9" s="1"/>
  <c r="T26" i="9" l="1"/>
  <c r="T28" i="9" s="1"/>
  <c r="T29" i="9" s="1"/>
  <c r="T30" i="9" s="1"/>
  <c r="T31" i="9" s="1"/>
  <c r="T39" i="9"/>
  <c r="V21" i="9"/>
  <c r="V39" i="9"/>
  <c r="U26" i="9"/>
  <c r="U28" i="9" s="1"/>
  <c r="U29" i="9" s="1"/>
  <c r="U30" i="9" s="1"/>
  <c r="U31" i="9" s="1"/>
  <c r="U39" i="9"/>
  <c r="V26" i="9"/>
  <c r="V28" i="9" s="1"/>
  <c r="V29" i="9" s="1"/>
  <c r="R30" i="9"/>
  <c r="R31" i="9" s="1"/>
  <c r="AR29" i="9"/>
  <c r="AR30" i="9" s="1"/>
  <c r="AR31" i="9" s="1"/>
  <c r="U21" i="9"/>
  <c r="V30" i="9" l="1"/>
  <c r="V31" i="9" s="1"/>
  <c r="AS21" i="9" l="1"/>
  <c r="AS22" i="9" s="1"/>
  <c r="AS26" i="9" s="1"/>
  <c r="AS28" i="9" s="1"/>
  <c r="S26" i="9"/>
  <c r="S28" i="9"/>
  <c r="S29" i="9" s="1"/>
  <c r="AS29" i="9" s="1"/>
  <c r="S22" i="9"/>
  <c r="S39" i="9"/>
  <c r="AS30" i="9" l="1"/>
  <c r="AS31" i="9" s="1"/>
  <c r="S30" i="9"/>
  <c r="S3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s>
  <commentList>
    <comment ref="J30"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N30"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List>
</comments>
</file>

<file path=xl/sharedStrings.xml><?xml version="1.0" encoding="utf-8"?>
<sst xmlns="http://schemas.openxmlformats.org/spreadsheetml/2006/main" count="435" uniqueCount="337">
  <si>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</si>
  <si>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</si>
  <si>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</si>
  <si>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</si>
  <si>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</si>
  <si>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</si>
  <si>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</si>
  <si>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</si>
  <si>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</si>
  <si>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</si>
  <si>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</si>
  <si>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</si>
  <si>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</si>
  <si>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</si>
  <si>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</si>
  <si>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</si>
  <si>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</si>
  <si>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</si>
  <si>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</si>
  <si>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</si>
  <si>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</si>
  <si>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</si>
  <si>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</si>
  <si>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</si>
  <si>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</si>
  <si>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</si>
  <si>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</si>
  <si>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</si>
  <si>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</si>
  <si>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</si>
  <si>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Antibody</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</si>
  <si>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</si>
  <si>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</si>
  <si>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</si>
  <si>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</si>
  <si>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</si>
  <si>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</si>
  <si>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</si>
  <si>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</si>
  <si>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</si>
  <si>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</si>
  <si>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</si>
  <si>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</si>
  <si>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</si>
  <si>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</si>
  <si>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</si>
  <si>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</si>
  <si>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</si>
  <si>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</si>
  <si>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</si>
  <si>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</si>
  <si>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</si>
  <si>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</si>
  <si>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</si>
  <si>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</si>
  <si>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</si>
  <si>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</si>
  <si>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</si>
  <si>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</si>
  <si>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</si>
  <si>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</si>
  <si>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</si>
  <si>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</si>
  <si>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</si>
  <si>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</si>
  <si>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</si>
  <si>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</si>
  <si>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</si>
  <si>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</si>
  <si>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</si>
  <si>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</si>
  <si>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</si>
  <si>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</si>
  <si>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</si>
  <si>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</si>
  <si>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</si>
  <si>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</si>
  <si>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</si>
  <si>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</si>
  <si>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</si>
  <si>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</si>
  <si>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</si>
  <si>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</si>
  <si>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</si>
  <si>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</si>
  <si>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</si>
  <si>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</si>
  <si>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</si>
  <si>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</si>
  <si>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</si>
  <si>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</si>
  <si>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</si>
  <si>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</si>
  <si>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</si>
  <si>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</si>
  <si>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</si>
  <si>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</si>
  <si>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</si>
  <si>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</si>
  <si>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</si>
  <si>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</si>
  <si>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</si>
  <si>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</si>
  <si>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</si>
  <si>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</si>
  <si>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</si>
  <si>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</si>
  <si>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</si>
  <si>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</si>
  <si>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</si>
  <si>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</si>
  <si>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</si>
  <si>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</si>
  <si>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</si>
  <si>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</si>
  <si>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</si>
  <si>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</si>
  <si>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</si>
  <si>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</si>
  <si>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</si>
  <si>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</si>
  <si>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</si>
  <si>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</si>
  <si>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</si>
  <si>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</si>
  <si>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</si>
  <si>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</si>
  <si>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</si>
  <si>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</si>
  <si>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</si>
  <si>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</si>
  <si>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</si>
  <si>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Phase III head-to-head vs Lucentis in 1H07?</t>
  </si>
  <si>
    <t>Uses a direct formulation specifically designed for direct injection into a patients eye</t>
  </si>
  <si>
    <t>Administration</t>
  </si>
  <si>
    <t>Bayer 50/50 outside US, all Regeneron in the US.</t>
  </si>
  <si>
    <t>Lucentis, Avastin, Macugen.</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</si>
  <si>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</si>
  <si>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</si>
  <si>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</si>
  <si>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</si>
  <si>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</si>
  <si>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</si>
  <si>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</si>
  <si>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</si>
  <si>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</si>
  <si>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</si>
  <si>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</si>
  <si>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</si>
  <si>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</si>
  <si>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</si>
  <si>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</si>
  <si>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</si>
  <si>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</si>
  <si>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</si>
  <si>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</si>
  <si>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</si>
  <si>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</si>
  <si>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</si>
  <si>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</si>
  <si>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</si>
  <si>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</si>
  <si>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</si>
  <si>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</si>
  <si>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</si>
  <si>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</si>
  <si>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</si>
  <si>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</si>
  <si>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</si>
  <si>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</si>
  <si>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</si>
  <si>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</si>
  <si>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</si>
  <si>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</si>
  <si>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</si>
  <si>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</si>
  <si>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</si>
  <si>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</si>
  <si>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</si>
  <si>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</si>
  <si>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</si>
  <si>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</si>
  <si>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</si>
  <si>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</si>
  <si>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</si>
  <si>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</si>
  <si>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</si>
  <si>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</si>
  <si>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</si>
  <si>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</si>
  <si>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</si>
  <si>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</si>
  <si>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Phase 2 in ankylosing spondylitis -- initial results expected mid-2011</t>
  </si>
  <si>
    <t>Phase 2/3 in RA -- initial results expected mid-2011</t>
  </si>
  <si>
    <t>Actemra (IL-6R antibody tocilizumab fr DNA), TNFs, etc</t>
  </si>
  <si>
    <t>RA, ankylosing spondylitis</t>
  </si>
  <si>
    <t>fully human monoclonal antibody against IL-R6</t>
  </si>
  <si>
    <t>REGN88</t>
  </si>
  <si>
    <t>Phase 1 in asthma</t>
  </si>
  <si>
    <t>Phase 2 in eosinophilic asthma</t>
  </si>
  <si>
    <t>allergic and immune conditions</t>
  </si>
  <si>
    <t>IR-4R antibody</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</si>
  <si>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</si>
  <si>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</si>
  <si>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</si>
  <si>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</si>
  <si>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</si>
  <si>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</si>
  <si>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</si>
  <si>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</si>
  <si>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</si>
  <si>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</si>
  <si>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</si>
  <si>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</si>
  <si>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</si>
  <si>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</si>
  <si>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</si>
  <si>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</si>
  <si>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</si>
  <si>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</si>
  <si>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</si>
  <si>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</si>
  <si>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</si>
  <si>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</si>
  <si>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</si>
  <si>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</si>
  <si>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</si>
  <si>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</si>
  <si>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</si>
  <si>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</si>
  <si>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</si>
  <si>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</si>
  <si>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</si>
  <si>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</si>
  <si>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</si>
  <si>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</si>
  <si>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</si>
  <si>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</si>
  <si>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</si>
  <si>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</si>
  <si>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</si>
  <si>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</si>
  <si>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</si>
  <si>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</si>
  <si>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</si>
  <si>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</si>
  <si>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</si>
  <si>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100%?</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</si>
  <si>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</si>
  <si>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</si>
  <si>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</si>
  <si>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</si>
  <si>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</si>
  <si>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</si>
  <si>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</si>
  <si>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</si>
  <si>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</si>
  <si>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</si>
  <si>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</si>
  <si>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</si>
  <si>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</si>
  <si>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</si>
  <si>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</si>
  <si>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</si>
  <si>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</si>
  <si>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</si>
  <si>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</si>
  <si>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</si>
  <si>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</si>
  <si>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</si>
  <si>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</si>
  <si>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</si>
  <si>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</si>
  <si>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</si>
  <si>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</si>
  <si>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</si>
  <si>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</si>
  <si>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</si>
  <si>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linvoseltamab</t>
  </si>
  <si>
    <t>BCMAxCD3</t>
  </si>
  <si>
    <t>MM</t>
  </si>
  <si>
    <t>Zaltrap (aflibercept)</t>
  </si>
  <si>
    <t>Eylea (aflibercept)</t>
  </si>
  <si>
    <t>mibavademab</t>
  </si>
  <si>
    <t>Lipodystrophy</t>
  </si>
  <si>
    <t>LEPR agonist</t>
  </si>
  <si>
    <t>garetosmab</t>
  </si>
  <si>
    <t>FOP</t>
  </si>
  <si>
    <t>Activin A</t>
  </si>
  <si>
    <t>Evkeeza (evinacumab)</t>
  </si>
  <si>
    <t>ANGPTL3</t>
  </si>
  <si>
    <t>REGN7508</t>
  </si>
  <si>
    <t>Thrombosis</t>
  </si>
  <si>
    <t>Factor XI</t>
  </si>
  <si>
    <t>REGN7999</t>
  </si>
  <si>
    <t>Iron Overload</t>
  </si>
  <si>
    <t>TMPRSS6</t>
  </si>
  <si>
    <t>NTLA-2001</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</si>
  <si>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</si>
  <si>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</si>
  <si>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</si>
  <si>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</si>
  <si>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</si>
  <si>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</si>
  <si>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</si>
  <si>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</si>
  <si>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</si>
  <si>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</si>
  <si>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</si>
  <si>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</si>
  <si>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</si>
  <si>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</si>
  <si>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</si>
  <si>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</si>
  <si>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</si>
  <si>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</si>
  <si>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</si>
  <si>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</si>
  <si>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</si>
  <si>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</si>
  <si>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</si>
  <si>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</si>
  <si>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</si>
  <si>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</si>
  <si>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</si>
  <si>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</si>
  <si>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</si>
  <si>
    <t>CFO: Chris Fenimore</t>
  </si>
  <si>
    <t>Eylea HD</t>
  </si>
  <si>
    <t>Q124</t>
  </si>
  <si>
    <t>Q224</t>
  </si>
  <si>
    <t>Q324</t>
  </si>
  <si>
    <t>Q424</t>
  </si>
  <si>
    <t>Q125</t>
  </si>
  <si>
    <t>Q225</t>
  </si>
  <si>
    <t>Q325</t>
  </si>
  <si>
    <t>Q425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</si>
</sst>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s>
  <fills count="3">
    <fill>
      <patternFill patternType="none"/>
    </fill>
    <fill>
      <patternFill patternType="gray125"/>
    </fill>
    <fill>
      <patternFill patternType="solid">
        <fgColor indexed="9"/>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55">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2" borderId="0" xfId="2" applyFill="1" applyAlignment="1">
      <alignment horizontal="center"/>
    </xf>
    <xf numFmtId="9" fontId="2" fillId="2" borderId="0" xfId="2" applyNumberFormat="1" applyFill="1" applyAlignment="1">
      <alignment horizontal="center"/>
    </xf>
    <xf numFmtId="9" fontId="2" fillId="2" borderId="0" xfId="2" applyNumberFormat="1" applyFill="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17" fontId="0" fillId="0" borderId="10" xfId="0" applyNumberFormat="1"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4" fillId="0" borderId="3" xfId="1" applyFill="1" applyBorder="1" applyAlignment="1" applyProtection="1"/>
    <xf numFmtId="0" fontId="0" fillId="0" borderId="2" xfId="0"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2" fillId="0" borderId="4" xfId="0" applyFont="1" applyBorder="1" applyAlignment="1">
      <alignment horizontal="center"/>
    </xf>
    <xf numFmtId="0" fontId="2" fillId="0" borderId="3" xfId="1" applyFont="1" applyFill="1" applyBorder="1" applyAlignment="1" applyProtection="1"/>
  </cellXfs>
  <cellStyles count="3">
    <cellStyle name="Hyperlink" xfId="1" builtinId="8"/>
    <cellStyle name="Normal" xfId="0" builtinId="0"/>
    <cellStyle name="Normal 2" xfId="2" xr:uid="{E14D3674-039E-4586-B983-DD274F8F71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18</xdr:col>
      <xdr:colOff>18393</xdr:colOff>
      <xdr:row>0</xdr:row>
      <xdr:rowOff>0</xdr:rowOff>
    </xdr:from>
    <xdr:to>
      <xdr:col>18</xdr:col>
      <xdr:colOff>18393</xdr:colOff>
      <xdr:row>89</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11146221" y="0"/>
          <a:ext cx="0" cy="145502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24962</xdr:colOff>
      <xdr:row>0</xdr:row>
      <xdr:rowOff>0</xdr:rowOff>
    </xdr:from>
    <xdr:to>
      <xdr:col>43</xdr:col>
      <xdr:colOff>24962</xdr:colOff>
      <xdr:row>45</xdr:row>
      <xdr:rowOff>47625</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22760152" y="0"/>
          <a:ext cx="0" cy="72734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30" dT="2022-09-16T10:03:00.58" personId="{6AE02F28-EECC-4040-93BD-26CB9CF8932E}" id="{CFF3BC2E-892D-4995-B558-D2A9395BF1AF}">
    <text>NGNI 1080.2</text>
  </threadedComment>
  <threadedComment ref="N30" dT="2022-09-16T10:02:53.72" personId="{6AE02F28-EECC-4040-93BD-26CB9CF8932E}" id="{E621A5CA-53E8-48F9-80F2-12D076620DD9}">
    <text>NGNI 2711.5</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47"/>
  <sheetViews>
    <sheetView zoomScale="137" zoomScaleNormal="160" workbookViewId="0">
      <selection activeCell="K3" sqref="K3"/>
    </sheetView>
  </sheetViews>
  <sheetFormatPr baseColWidth="10" defaultColWidth="8.83203125" defaultRowHeight="13" x14ac:dyDescent="0.15"/>
  <cols>
    <col min="1" max="1" width="3.6640625" customWidth="1"/>
    <col min="2" max="2" width="19.83203125" bestFit="1" customWidth="1"/>
    <col min="3" max="3" width="20" customWidth="1"/>
    <col min="5" max="5" width="11.6640625" customWidth="1"/>
    <col min="6" max="6" width="13.83203125" customWidth="1"/>
  </cols>
  <sheetData>
    <row r="2" spans="2:11" x14ac:dyDescent="0.15">
      <c r="B2" s="22" t="s">
        <v>49</v>
      </c>
      <c r="C2" s="23" t="s">
        <v>48</v>
      </c>
      <c r="D2" s="23" t="s">
        <v>47</v>
      </c>
      <c r="E2" s="23" t="s">
        <v>45</v>
      </c>
      <c r="F2" s="23" t="s">
        <v>44</v>
      </c>
      <c r="G2" s="24" t="s">
        <v>43</v>
      </c>
      <c r="I2" t="s">
        <v>42</v>
      </c>
      <c r="J2" s="25">
        <v>1199</v>
      </c>
      <c r="K2" s="26"/>
    </row>
    <row r="3" spans="2:11" x14ac:dyDescent="0.15">
      <c r="B3" s="27" t="s">
        <v>41</v>
      </c>
      <c r="C3" s="28" t="s">
        <v>40</v>
      </c>
      <c r="D3" s="29">
        <v>39479</v>
      </c>
      <c r="E3" s="30">
        <v>1</v>
      </c>
      <c r="F3" s="31" t="s">
        <v>39</v>
      </c>
      <c r="G3" s="32" t="s">
        <v>30</v>
      </c>
      <c r="I3" t="s">
        <v>38</v>
      </c>
      <c r="J3" s="33">
        <v>115.4</v>
      </c>
      <c r="K3" s="26" t="s">
        <v>330</v>
      </c>
    </row>
    <row r="4" spans="2:11" x14ac:dyDescent="0.15">
      <c r="B4" s="34" t="s">
        <v>281</v>
      </c>
      <c r="C4" s="35" t="s">
        <v>240</v>
      </c>
      <c r="D4" s="35"/>
      <c r="E4" s="35" t="s">
        <v>241</v>
      </c>
      <c r="F4" s="35" t="s">
        <v>246</v>
      </c>
      <c r="G4" s="36"/>
      <c r="I4" t="s">
        <v>35</v>
      </c>
      <c r="J4" s="1">
        <f>J2*J3</f>
        <v>138364.6</v>
      </c>
      <c r="K4" s="17"/>
    </row>
    <row r="5" spans="2:11" x14ac:dyDescent="0.15">
      <c r="B5" s="34" t="s">
        <v>34</v>
      </c>
      <c r="C5" s="35" t="s">
        <v>243</v>
      </c>
      <c r="D5" s="35"/>
      <c r="E5" s="35" t="s">
        <v>241</v>
      </c>
      <c r="F5" s="35" t="s">
        <v>242</v>
      </c>
      <c r="G5" s="36"/>
      <c r="I5" t="s">
        <v>33</v>
      </c>
      <c r="J5" s="1">
        <v>17531</v>
      </c>
      <c r="K5" s="26" t="s">
        <v>330</v>
      </c>
    </row>
    <row r="6" spans="2:11" x14ac:dyDescent="0.15">
      <c r="B6" s="34" t="s">
        <v>244</v>
      </c>
      <c r="C6" s="35" t="s">
        <v>268</v>
      </c>
      <c r="D6" s="35"/>
      <c r="E6" s="35" t="s">
        <v>247</v>
      </c>
      <c r="F6" s="35" t="s">
        <v>245</v>
      </c>
      <c r="G6" s="36"/>
      <c r="I6" t="s">
        <v>29</v>
      </c>
      <c r="J6" s="1">
        <v>1984</v>
      </c>
      <c r="K6" s="26" t="s">
        <v>330</v>
      </c>
    </row>
    <row r="7" spans="2:11" x14ac:dyDescent="0.15">
      <c r="B7" s="34" t="s">
        <v>282</v>
      </c>
      <c r="C7" s="42" t="s">
        <v>31</v>
      </c>
      <c r="D7" s="35"/>
      <c r="E7" s="35" t="s">
        <v>267</v>
      </c>
      <c r="F7" s="35" t="s">
        <v>246</v>
      </c>
      <c r="G7" s="53" t="s">
        <v>30</v>
      </c>
      <c r="I7" s="41" t="s">
        <v>26</v>
      </c>
      <c r="J7" s="1">
        <f>J4-J5+J6</f>
        <v>122817.60000000001</v>
      </c>
    </row>
    <row r="8" spans="2:11" x14ac:dyDescent="0.15">
      <c r="B8" s="34" t="s">
        <v>265</v>
      </c>
      <c r="C8" s="42" t="s">
        <v>25</v>
      </c>
      <c r="D8" s="35"/>
      <c r="E8" s="35"/>
      <c r="F8" s="35" t="s">
        <v>266</v>
      </c>
      <c r="G8" s="53" t="s">
        <v>30</v>
      </c>
      <c r="I8" s="41"/>
      <c r="J8" s="1"/>
    </row>
    <row r="9" spans="2:11" x14ac:dyDescent="0.15">
      <c r="B9" s="44" t="s">
        <v>289</v>
      </c>
      <c r="C9" s="42" t="s">
        <v>263</v>
      </c>
      <c r="D9" s="35"/>
      <c r="E9" s="35"/>
      <c r="F9" s="35" t="s">
        <v>290</v>
      </c>
      <c r="G9" s="53"/>
      <c r="I9" s="41"/>
      <c r="J9" s="1"/>
    </row>
    <row r="10" spans="2:11" x14ac:dyDescent="0.15">
      <c r="B10" s="37" t="s">
        <v>262</v>
      </c>
      <c r="C10" s="38" t="s">
        <v>263</v>
      </c>
      <c r="D10" s="39"/>
      <c r="E10" s="39" t="s">
        <v>241</v>
      </c>
      <c r="F10" s="39" t="s">
        <v>264</v>
      </c>
      <c r="G10" s="40" t="s">
        <v>30</v>
      </c>
      <c r="I10" s="41" t="s">
        <v>327</v>
      </c>
      <c r="J10" s="1"/>
    </row>
    <row r="11" spans="2:11" x14ac:dyDescent="0.15">
      <c r="B11" s="22"/>
      <c r="C11" s="23"/>
      <c r="D11" s="23" t="s">
        <v>27</v>
      </c>
      <c r="E11" s="23"/>
      <c r="F11" s="23"/>
      <c r="G11" s="24"/>
      <c r="I11" s="41"/>
      <c r="J11" s="43"/>
    </row>
    <row r="12" spans="2:11" x14ac:dyDescent="0.15">
      <c r="B12" s="44" t="s">
        <v>274</v>
      </c>
      <c r="C12" s="42" t="s">
        <v>277</v>
      </c>
      <c r="D12" s="35" t="s">
        <v>276</v>
      </c>
      <c r="E12" s="42"/>
      <c r="F12" s="35" t="s">
        <v>275</v>
      </c>
      <c r="G12" s="36"/>
    </row>
    <row r="13" spans="2:11" x14ac:dyDescent="0.15">
      <c r="B13" s="44" t="s">
        <v>278</v>
      </c>
      <c r="C13" s="42" t="s">
        <v>280</v>
      </c>
      <c r="D13" s="35"/>
      <c r="E13" s="42"/>
      <c r="F13" s="35" t="s">
        <v>279</v>
      </c>
      <c r="G13" s="36"/>
    </row>
    <row r="14" spans="2:11" x14ac:dyDescent="0.15">
      <c r="B14" s="44" t="s">
        <v>297</v>
      </c>
      <c r="C14" s="42" t="s">
        <v>300</v>
      </c>
      <c r="D14" s="35"/>
      <c r="E14" s="42" t="s">
        <v>298</v>
      </c>
      <c r="F14" s="35" t="s">
        <v>299</v>
      </c>
      <c r="G14" s="36"/>
    </row>
    <row r="15" spans="2:11" x14ac:dyDescent="0.15">
      <c r="B15" s="44" t="s">
        <v>248</v>
      </c>
      <c r="C15" s="35" t="s">
        <v>270</v>
      </c>
      <c r="D15" s="35" t="s">
        <v>272</v>
      </c>
      <c r="E15" s="42"/>
      <c r="F15" s="35" t="s">
        <v>271</v>
      </c>
      <c r="G15" s="36"/>
    </row>
    <row r="16" spans="2:11" x14ac:dyDescent="0.15">
      <c r="B16" s="44" t="s">
        <v>24</v>
      </c>
      <c r="C16" s="35" t="s">
        <v>23</v>
      </c>
      <c r="D16" s="35" t="s">
        <v>22</v>
      </c>
      <c r="E16" s="42"/>
      <c r="F16" s="35" t="s">
        <v>21</v>
      </c>
      <c r="G16" s="36"/>
    </row>
    <row r="17" spans="2:7" x14ac:dyDescent="0.15">
      <c r="B17" s="44" t="s">
        <v>301</v>
      </c>
      <c r="C17" s="35" t="s">
        <v>302</v>
      </c>
      <c r="D17" s="35"/>
      <c r="E17" s="42"/>
      <c r="F17" s="35" t="s">
        <v>303</v>
      </c>
      <c r="G17" s="36"/>
    </row>
    <row r="18" spans="2:7" x14ac:dyDescent="0.15">
      <c r="B18" s="44" t="s">
        <v>273</v>
      </c>
      <c r="C18" s="35"/>
      <c r="D18" s="35"/>
      <c r="E18" s="42"/>
      <c r="F18" s="35"/>
      <c r="G18" s="36"/>
    </row>
    <row r="19" spans="2:7" x14ac:dyDescent="0.15">
      <c r="B19" s="44" t="s">
        <v>286</v>
      </c>
      <c r="C19" s="35" t="s">
        <v>287</v>
      </c>
      <c r="D19" s="35"/>
      <c r="E19" s="42"/>
      <c r="F19" s="35" t="s">
        <v>288</v>
      </c>
      <c r="G19" s="36"/>
    </row>
    <row r="20" spans="2:7" x14ac:dyDescent="0.15">
      <c r="B20" s="44" t="s">
        <v>304</v>
      </c>
      <c r="C20" s="35" t="s">
        <v>268</v>
      </c>
      <c r="D20" s="35"/>
      <c r="E20" s="42"/>
      <c r="F20" s="35" t="s">
        <v>305</v>
      </c>
      <c r="G20" s="36"/>
    </row>
    <row r="21" spans="2:7" x14ac:dyDescent="0.15">
      <c r="B21" s="44" t="s">
        <v>294</v>
      </c>
      <c r="C21" s="35" t="s">
        <v>295</v>
      </c>
      <c r="D21" s="35"/>
      <c r="E21" s="42"/>
      <c r="F21" s="35" t="s">
        <v>296</v>
      </c>
      <c r="G21" s="36"/>
    </row>
    <row r="22" spans="2:7" x14ac:dyDescent="0.15">
      <c r="B22" s="44" t="s">
        <v>306</v>
      </c>
      <c r="C22" s="35"/>
      <c r="D22" s="35"/>
      <c r="E22" s="42"/>
      <c r="F22" s="35" t="s">
        <v>307</v>
      </c>
      <c r="G22" s="36"/>
    </row>
    <row r="23" spans="2:7" x14ac:dyDescent="0.15">
      <c r="B23" s="44" t="s">
        <v>308</v>
      </c>
      <c r="C23" s="35"/>
      <c r="D23" s="35"/>
      <c r="E23" s="42"/>
      <c r="F23" s="35" t="s">
        <v>309</v>
      </c>
      <c r="G23" s="36"/>
    </row>
    <row r="24" spans="2:7" x14ac:dyDescent="0.15">
      <c r="B24" s="44" t="s">
        <v>310</v>
      </c>
      <c r="C24" s="35" t="s">
        <v>311</v>
      </c>
      <c r="D24" s="35"/>
      <c r="E24" s="42"/>
      <c r="F24" s="35" t="s">
        <v>312</v>
      </c>
      <c r="G24" s="36"/>
    </row>
    <row r="25" spans="2:7" x14ac:dyDescent="0.15">
      <c r="B25" s="44" t="s">
        <v>291</v>
      </c>
      <c r="C25" s="35" t="s">
        <v>292</v>
      </c>
      <c r="D25" s="35"/>
      <c r="E25" s="42"/>
      <c r="F25" s="35" t="s">
        <v>293</v>
      </c>
      <c r="G25" s="36"/>
    </row>
    <row r="26" spans="2:7" x14ac:dyDescent="0.15">
      <c r="B26" s="54" t="s">
        <v>283</v>
      </c>
      <c r="C26" s="39" t="s">
        <v>284</v>
      </c>
      <c r="D26" s="39"/>
      <c r="E26" s="39"/>
      <c r="F26" s="39" t="s">
        <v>285</v>
      </c>
      <c r="G26" s="45"/>
    </row>
    <row r="27" spans="2:7" x14ac:dyDescent="0.15">
      <c r="C27" s="42"/>
      <c r="D27" s="42"/>
      <c r="E27" s="42"/>
      <c r="F27" s="42"/>
      <c r="G27" s="42"/>
    </row>
    <row r="28" spans="2:7" x14ac:dyDescent="0.15">
      <c r="B28" s="41"/>
      <c r="C28" s="42"/>
      <c r="D28" s="42"/>
      <c r="E28" s="42"/>
      <c r="F28" s="46" t="s">
        <v>19</v>
      </c>
      <c r="G28" s="42"/>
    </row>
    <row r="29" spans="2:7" x14ac:dyDescent="0.15">
      <c r="B29" s="41"/>
      <c r="C29" s="42"/>
      <c r="D29" s="42"/>
      <c r="E29" s="47"/>
      <c r="F29" s="46" t="s">
        <v>18</v>
      </c>
      <c r="G29" s="42"/>
    </row>
    <row r="30" spans="2:7" x14ac:dyDescent="0.15">
      <c r="B30" s="41"/>
      <c r="C30" s="42"/>
      <c r="D30" s="42"/>
      <c r="E30" s="47"/>
      <c r="F30" s="46" t="s">
        <v>17</v>
      </c>
      <c r="G30" s="42"/>
    </row>
    <row r="31" spans="2:7" x14ac:dyDescent="0.15">
      <c r="B31" s="41"/>
      <c r="C31" s="42"/>
      <c r="D31" s="42"/>
      <c r="E31" s="47"/>
      <c r="F31" s="46" t="s">
        <v>16</v>
      </c>
      <c r="G31" s="42"/>
    </row>
    <row r="32" spans="2:7" x14ac:dyDescent="0.15">
      <c r="C32" s="42"/>
      <c r="D32" s="42"/>
      <c r="E32" s="42"/>
      <c r="F32" s="46" t="s">
        <v>15</v>
      </c>
      <c r="G32" s="42"/>
    </row>
    <row r="33" spans="3:7" x14ac:dyDescent="0.15">
      <c r="C33" s="42"/>
      <c r="D33" s="42"/>
      <c r="E33" s="42"/>
      <c r="F33" s="46" t="s">
        <v>14</v>
      </c>
      <c r="G33" s="42"/>
    </row>
    <row r="34" spans="3:7" x14ac:dyDescent="0.15">
      <c r="C34" s="42"/>
      <c r="D34" s="42"/>
      <c r="E34" s="42"/>
      <c r="F34" s="46" t="s">
        <v>13</v>
      </c>
      <c r="G34" s="42"/>
    </row>
    <row r="35" spans="3:7" x14ac:dyDescent="0.15">
      <c r="C35" s="42"/>
      <c r="D35" s="42"/>
      <c r="E35" s="42"/>
      <c r="F35" s="46" t="s">
        <v>12</v>
      </c>
      <c r="G35" s="42"/>
    </row>
    <row r="36" spans="3:7" x14ac:dyDescent="0.15">
      <c r="C36" s="42"/>
      <c r="D36" s="42"/>
      <c r="E36" s="42"/>
      <c r="F36" s="46" t="s">
        <v>11</v>
      </c>
      <c r="G36" s="42"/>
    </row>
    <row r="37" spans="3:7" x14ac:dyDescent="0.15">
      <c r="C37" s="42"/>
      <c r="D37" s="42"/>
      <c r="E37" s="42"/>
      <c r="F37" s="48" t="s">
        <v>10</v>
      </c>
      <c r="G37" s="42"/>
    </row>
    <row r="38" spans="3:7" x14ac:dyDescent="0.15">
      <c r="C38" s="42"/>
      <c r="D38" s="42"/>
      <c r="E38" s="42"/>
      <c r="F38" s="48" t="s">
        <v>9</v>
      </c>
      <c r="G38" s="42"/>
    </row>
    <row r="39" spans="3:7" x14ac:dyDescent="0.15">
      <c r="C39" s="42"/>
      <c r="D39" s="42"/>
      <c r="E39" s="42"/>
      <c r="F39" s="48" t="s">
        <v>8</v>
      </c>
      <c r="G39" s="42"/>
    </row>
    <row r="40" spans="3:7" x14ac:dyDescent="0.15">
      <c r="C40" s="42"/>
      <c r="D40" s="42"/>
      <c r="E40" s="42"/>
      <c r="F40" s="48" t="s">
        <v>7</v>
      </c>
      <c r="G40" s="42"/>
    </row>
    <row r="41" spans="3:7" x14ac:dyDescent="0.15">
      <c r="C41" s="42"/>
      <c r="D41" s="42"/>
      <c r="E41" s="42"/>
      <c r="F41" s="48" t="s">
        <v>6</v>
      </c>
      <c r="G41" s="42"/>
    </row>
    <row r="42" spans="3:7" x14ac:dyDescent="0.15">
      <c r="C42" s="42"/>
      <c r="D42" s="42"/>
      <c r="E42" s="42"/>
      <c r="F42" s="48" t="s">
        <v>5</v>
      </c>
      <c r="G42" s="42"/>
    </row>
    <row r="43" spans="3:7" x14ac:dyDescent="0.15">
      <c r="C43" s="42"/>
      <c r="D43" s="42"/>
      <c r="E43" s="42"/>
      <c r="F43" s="48" t="s">
        <v>4</v>
      </c>
      <c r="G43" s="42"/>
    </row>
    <row r="44" spans="3:7" x14ac:dyDescent="0.15">
      <c r="C44" s="42"/>
      <c r="D44" s="42"/>
      <c r="E44" s="42"/>
      <c r="F44" s="48" t="s">
        <v>3</v>
      </c>
      <c r="G44" s="42"/>
    </row>
    <row r="45" spans="3:7" x14ac:dyDescent="0.15">
      <c r="C45" s="42"/>
      <c r="D45" s="42"/>
      <c r="E45" s="42"/>
      <c r="F45" s="48" t="s">
        <v>2</v>
      </c>
      <c r="G45" s="42"/>
    </row>
    <row r="46" spans="3:7" x14ac:dyDescent="0.15">
      <c r="C46" s="42"/>
      <c r="D46" s="42"/>
      <c r="E46" s="42"/>
      <c r="F46" s="48" t="s">
        <v>1</v>
      </c>
      <c r="G46" s="42"/>
    </row>
    <row r="47" spans="3:7" x14ac:dyDescent="0.15">
      <c r="C47" s="42"/>
      <c r="D47" s="42"/>
      <c r="E47" s="42"/>
      <c r="F47" s="48" t="s">
        <v>0</v>
      </c>
      <c r="G47" s="42"/>
    </row>
  </sheetData>
  <hyperlinks>
    <hyperlink ref="B3" location="Arcalyst!A1" display="Arcalyst" xr:uid="{BDF22BBF-5632-43C4-825A-494559AE5BB9}"/>
    <hyperlink ref="B4" location="Zaltrap!A1" display="Zaltrap" xr:uid="{B1A779BE-0169-48CB-AB42-981661C5EA87}"/>
    <hyperlink ref="B7" location="'VEGF Trap-Eye'!A1" display="VEGF Trap-Eye" xr:uid="{632465B5-10C7-43D8-A04F-89D049587F0F}"/>
    <hyperlink ref="B5" location="Dupixent!A1" display="Dupixent (dupilumab)" xr:uid="{4B303E05-22EB-4F26-B307-EFDE28905187}"/>
    <hyperlink ref="B10" location="Praluent!A1" display="Praluent (alirocumab)" xr:uid="{1FBBB777-8F0A-401F-910F-1D5972FED37A}"/>
    <hyperlink ref="B8" location="Kevzara!A1" display="Kevzara (sarilumab)" xr:uid="{87937E02-CEC4-452E-83BE-A472FFD8A1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BN63"/>
  <sheetViews>
    <sheetView tabSelected="1" zoomScale="236" zoomScaleNormal="145" workbookViewId="0">
      <pane xSplit="2" ySplit="2" topLeftCell="O19" activePane="bottomRight" state="frozen"/>
      <selection pane="topRight" activeCell="C1" sqref="C1"/>
      <selection pane="bottomLeft" activeCell="A3" sqref="A3"/>
      <selection pane="bottomRight" activeCell="W26" sqref="W26"/>
    </sheetView>
  </sheetViews>
  <sheetFormatPr baseColWidth="10" defaultColWidth="8.83203125" defaultRowHeight="13" x14ac:dyDescent="0.15"/>
  <cols>
    <col min="1" max="1" width="5" bestFit="1" customWidth="1"/>
    <col min="2" max="2" width="15.33203125" bestFit="1" customWidth="1"/>
    <col min="3" max="18" width="9.1640625" style="17"/>
  </cols>
  <sheetData>
    <row r="1" spans="1:66" x14ac:dyDescent="0.15">
      <c r="A1" s="16" t="s">
        <v>79</v>
      </c>
    </row>
    <row r="2" spans="1:66" x14ac:dyDescent="0.15">
      <c r="C2" s="17" t="s">
        <v>258</v>
      </c>
      <c r="D2" s="17" t="s">
        <v>259</v>
      </c>
      <c r="E2" s="17" t="s">
        <v>260</v>
      </c>
      <c r="F2" s="17" t="s">
        <v>261</v>
      </c>
      <c r="G2" s="17" t="s">
        <v>204</v>
      </c>
      <c r="H2" s="17" t="s">
        <v>205</v>
      </c>
      <c r="I2" s="17" t="s">
        <v>206</v>
      </c>
      <c r="J2" s="17" t="s">
        <v>207</v>
      </c>
      <c r="K2" s="17" t="s">
        <v>208</v>
      </c>
      <c r="L2" s="17" t="s">
        <v>209</v>
      </c>
      <c r="M2" s="17" t="s">
        <v>210</v>
      </c>
      <c r="N2" s="17" t="s">
        <v>211</v>
      </c>
      <c r="O2" s="17" t="s">
        <v>212</v>
      </c>
      <c r="P2" s="17" t="s">
        <v>28</v>
      </c>
      <c r="Q2" s="17" t="s">
        <v>213</v>
      </c>
      <c r="R2" s="17" t="s">
        <v>214</v>
      </c>
      <c r="S2" s="17" t="s">
        <v>252</v>
      </c>
      <c r="T2" s="17" t="s">
        <v>253</v>
      </c>
      <c r="U2" s="17" t="s">
        <v>254</v>
      </c>
      <c r="V2" s="17" t="s">
        <v>255</v>
      </c>
      <c r="W2" s="17" t="s">
        <v>329</v>
      </c>
      <c r="X2" s="17" t="s">
        <v>330</v>
      </c>
      <c r="Y2" s="17" t="s">
        <v>331</v>
      </c>
      <c r="Z2" s="17" t="s">
        <v>332</v>
      </c>
      <c r="AA2" s="17" t="s">
        <v>333</v>
      </c>
      <c r="AB2" s="17" t="s">
        <v>334</v>
      </c>
      <c r="AC2" s="17" t="s">
        <v>335</v>
      </c>
      <c r="AD2" s="17" t="s">
        <v>336</v>
      </c>
      <c r="AF2">
        <v>2010</v>
      </c>
      <c r="AG2">
        <f>+AF2+1</f>
        <v>2011</v>
      </c>
      <c r="AH2">
        <f t="shared" ref="AH2:BN2" si="0">+AG2+1</f>
        <v>2012</v>
      </c>
      <c r="AI2">
        <f t="shared" si="0"/>
        <v>2013</v>
      </c>
      <c r="AJ2">
        <f t="shared" si="0"/>
        <v>2014</v>
      </c>
      <c r="AK2">
        <f t="shared" si="0"/>
        <v>2015</v>
      </c>
      <c r="AL2">
        <f t="shared" si="0"/>
        <v>2016</v>
      </c>
      <c r="AM2">
        <f t="shared" si="0"/>
        <v>2017</v>
      </c>
      <c r="AN2">
        <f t="shared" si="0"/>
        <v>2018</v>
      </c>
      <c r="AO2">
        <f t="shared" si="0"/>
        <v>2019</v>
      </c>
      <c r="AP2">
        <f t="shared" si="0"/>
        <v>2020</v>
      </c>
      <c r="AQ2">
        <f t="shared" si="0"/>
        <v>2021</v>
      </c>
      <c r="AR2">
        <f t="shared" si="0"/>
        <v>2022</v>
      </c>
      <c r="AS2">
        <f t="shared" si="0"/>
        <v>2023</v>
      </c>
      <c r="AT2">
        <f t="shared" si="0"/>
        <v>2024</v>
      </c>
      <c r="AU2">
        <f t="shared" si="0"/>
        <v>2025</v>
      </c>
      <c r="AV2">
        <f t="shared" si="0"/>
        <v>2026</v>
      </c>
      <c r="AW2">
        <f t="shared" si="0"/>
        <v>2027</v>
      </c>
      <c r="AX2">
        <f t="shared" si="0"/>
        <v>2028</v>
      </c>
      <c r="AY2">
        <f t="shared" si="0"/>
        <v>2029</v>
      </c>
      <c r="AZ2">
        <f t="shared" si="0"/>
        <v>2030</v>
      </c>
      <c r="BA2">
        <f t="shared" si="0"/>
        <v>2031</v>
      </c>
      <c r="BB2">
        <f t="shared" si="0"/>
        <v>2032</v>
      </c>
      <c r="BC2">
        <f t="shared" si="0"/>
        <v>2033</v>
      </c>
      <c r="BD2">
        <f t="shared" si="0"/>
        <v>2034</v>
      </c>
      <c r="BE2">
        <f t="shared" si="0"/>
        <v>2035</v>
      </c>
      <c r="BF2">
        <f t="shared" si="0"/>
        <v>2036</v>
      </c>
      <c r="BG2">
        <f t="shared" si="0"/>
        <v>2037</v>
      </c>
      <c r="BH2">
        <f t="shared" si="0"/>
        <v>2038</v>
      </c>
      <c r="BI2">
        <f t="shared" si="0"/>
        <v>2039</v>
      </c>
      <c r="BJ2">
        <f t="shared" si="0"/>
        <v>2040</v>
      </c>
      <c r="BK2">
        <f t="shared" si="0"/>
        <v>2041</v>
      </c>
      <c r="BL2">
        <f t="shared" si="0"/>
        <v>2042</v>
      </c>
      <c r="BM2">
        <f t="shared" si="0"/>
        <v>2043</v>
      </c>
      <c r="BN2">
        <f t="shared" si="0"/>
        <v>2044</v>
      </c>
    </row>
    <row r="3" spans="1:66" s="1" customFormat="1" x14ac:dyDescent="0.15">
      <c r="B3" s="1" t="s">
        <v>32</v>
      </c>
      <c r="C3" s="18">
        <v>1074.0999999999999</v>
      </c>
      <c r="D3" s="18">
        <v>1160</v>
      </c>
      <c r="E3" s="18"/>
      <c r="F3" s="18"/>
      <c r="G3" s="18">
        <v>1172</v>
      </c>
      <c r="H3" s="18">
        <v>1114</v>
      </c>
      <c r="I3" s="18">
        <v>1318</v>
      </c>
      <c r="J3" s="18">
        <v>1343</v>
      </c>
      <c r="K3" s="18">
        <v>1347</v>
      </c>
      <c r="L3" s="18">
        <v>1425</v>
      </c>
      <c r="M3" s="18">
        <v>1473</v>
      </c>
      <c r="N3" s="18">
        <v>1547</v>
      </c>
      <c r="O3" s="18">
        <v>1518</v>
      </c>
      <c r="P3" s="18">
        <v>1621</v>
      </c>
      <c r="Q3" s="18">
        <v>1629</v>
      </c>
      <c r="R3" s="18">
        <v>1496</v>
      </c>
      <c r="S3" s="18">
        <v>1434</v>
      </c>
      <c r="T3" s="18">
        <v>1500</v>
      </c>
      <c r="U3" s="18">
        <f t="shared" ref="S3:V3" si="1">+Q3*1.1</f>
        <v>1791.9</v>
      </c>
      <c r="V3" s="18">
        <f t="shared" si="1"/>
        <v>1645.6000000000001</v>
      </c>
      <c r="W3" s="18">
        <v>1202</v>
      </c>
      <c r="X3" s="18">
        <v>1231</v>
      </c>
      <c r="Y3" s="18"/>
      <c r="Z3" s="18"/>
      <c r="AA3" s="18"/>
      <c r="AB3" s="18"/>
      <c r="AP3" s="1">
        <f>SUM(G3:J3)</f>
        <v>4947</v>
      </c>
      <c r="AQ3" s="1">
        <f>SUM(K3:N3)</f>
        <v>5792</v>
      </c>
      <c r="AR3" s="1">
        <f>SUM(O3:R3)</f>
        <v>6264</v>
      </c>
      <c r="AS3" s="1">
        <f>SUM(S3:V3)</f>
        <v>6371.5</v>
      </c>
    </row>
    <row r="4" spans="1:66" s="1" customFormat="1" x14ac:dyDescent="0.15">
      <c r="B4" s="1" t="s">
        <v>328</v>
      </c>
      <c r="C4" s="18"/>
      <c r="D4" s="18"/>
      <c r="E4" s="18"/>
      <c r="F4" s="18"/>
      <c r="G4" s="18"/>
      <c r="H4" s="18"/>
      <c r="I4" s="18"/>
      <c r="J4" s="18"/>
      <c r="K4" s="18"/>
      <c r="L4" s="18"/>
      <c r="M4" s="18"/>
      <c r="N4" s="18"/>
      <c r="O4" s="18"/>
      <c r="P4" s="18"/>
      <c r="Q4" s="18"/>
      <c r="R4" s="18"/>
      <c r="S4" s="18">
        <v>0</v>
      </c>
      <c r="T4" s="18">
        <v>0</v>
      </c>
      <c r="U4" s="18"/>
      <c r="V4" s="18"/>
      <c r="W4" s="18">
        <v>200</v>
      </c>
      <c r="X4" s="18">
        <v>304</v>
      </c>
      <c r="Y4" s="18"/>
      <c r="Z4" s="18"/>
      <c r="AA4" s="18"/>
      <c r="AB4" s="18"/>
    </row>
    <row r="5" spans="1:66" s="1" customFormat="1" x14ac:dyDescent="0.15">
      <c r="B5" s="1" t="s">
        <v>215</v>
      </c>
      <c r="C5" s="18">
        <v>26.8</v>
      </c>
      <c r="D5" s="18">
        <v>40.799999999999997</v>
      </c>
      <c r="E5" s="18"/>
      <c r="F5" s="18"/>
      <c r="G5" s="18">
        <v>61.7</v>
      </c>
      <c r="H5" s="18">
        <v>63.3</v>
      </c>
      <c r="I5" s="18">
        <v>72</v>
      </c>
      <c r="J5" s="18">
        <v>74</v>
      </c>
      <c r="K5" s="18">
        <v>69</v>
      </c>
      <c r="L5" s="18">
        <v>78</v>
      </c>
      <c r="M5" s="18">
        <v>78</v>
      </c>
      <c r="N5" s="18">
        <v>81</v>
      </c>
      <c r="O5" s="18">
        <v>79</v>
      </c>
      <c r="P5" s="18">
        <v>91</v>
      </c>
      <c r="Q5" s="18">
        <f>95+31</f>
        <v>126</v>
      </c>
      <c r="R5" s="18">
        <f>110+42</f>
        <v>152</v>
      </c>
      <c r="S5" s="1">
        <v>177</v>
      </c>
      <c r="T5" s="1">
        <v>210</v>
      </c>
      <c r="U5" s="1">
        <f>+T5+5</f>
        <v>215</v>
      </c>
      <c r="V5" s="1">
        <f>+U5+5</f>
        <v>220</v>
      </c>
      <c r="W5" s="1">
        <v>264</v>
      </c>
      <c r="X5" s="1">
        <v>297</v>
      </c>
      <c r="AP5" s="1">
        <f t="shared" ref="AP5:AP19" si="2">SUM(G5:J5)</f>
        <v>271</v>
      </c>
      <c r="AQ5" s="1">
        <f t="shared" ref="AQ5:AQ19" si="3">SUM(K5:N5)</f>
        <v>306</v>
      </c>
      <c r="AR5" s="1">
        <f t="shared" ref="AR5:AR19" si="4">SUM(O5:R5)</f>
        <v>448</v>
      </c>
      <c r="AS5" s="1">
        <f t="shared" ref="AS5:AS19" si="5">SUM(S5:V5)</f>
        <v>822</v>
      </c>
    </row>
    <row r="6" spans="1:66" s="1" customFormat="1" x14ac:dyDescent="0.15">
      <c r="B6" s="1" t="s">
        <v>216</v>
      </c>
      <c r="C6" s="18">
        <v>0</v>
      </c>
      <c r="D6" s="18">
        <v>26.5</v>
      </c>
      <c r="E6" s="18"/>
      <c r="F6" s="18"/>
      <c r="G6" s="18">
        <v>0</v>
      </c>
      <c r="H6" s="18">
        <v>47.2</v>
      </c>
      <c r="I6" s="18">
        <v>49</v>
      </c>
      <c r="J6" s="18">
        <v>55</v>
      </c>
      <c r="K6" s="18">
        <v>43</v>
      </c>
      <c r="L6" s="18">
        <v>42</v>
      </c>
      <c r="M6" s="18">
        <v>45</v>
      </c>
      <c r="N6" s="18">
        <v>40</v>
      </c>
      <c r="O6" s="18">
        <v>34</v>
      </c>
      <c r="P6" s="18">
        <v>31</v>
      </c>
      <c r="Q6" s="18">
        <v>30</v>
      </c>
      <c r="R6" s="18">
        <v>36</v>
      </c>
      <c r="S6" s="1">
        <v>40</v>
      </c>
      <c r="T6" s="1">
        <v>41</v>
      </c>
      <c r="U6" s="1">
        <f>+T6+1</f>
        <v>42</v>
      </c>
      <c r="V6" s="1">
        <f>+U6+1</f>
        <v>43</v>
      </c>
      <c r="W6" s="1">
        <v>70</v>
      </c>
      <c r="X6" s="1">
        <v>56</v>
      </c>
      <c r="AP6" s="1">
        <f t="shared" si="2"/>
        <v>151.19999999999999</v>
      </c>
      <c r="AQ6" s="1">
        <f t="shared" si="3"/>
        <v>170</v>
      </c>
      <c r="AR6" s="1">
        <f t="shared" si="4"/>
        <v>131</v>
      </c>
      <c r="AS6" s="1">
        <f t="shared" si="5"/>
        <v>166</v>
      </c>
    </row>
    <row r="7" spans="1:66" s="1" customFormat="1" x14ac:dyDescent="0.15">
      <c r="B7" s="1" t="s">
        <v>256</v>
      </c>
      <c r="C7" s="18">
        <v>0</v>
      </c>
      <c r="D7" s="18">
        <v>0</v>
      </c>
      <c r="E7" s="18"/>
      <c r="F7" s="18"/>
      <c r="G7" s="18">
        <v>0</v>
      </c>
      <c r="H7" s="18">
        <v>0</v>
      </c>
      <c r="I7" s="18">
        <v>40</v>
      </c>
      <c r="J7" s="18">
        <v>146</v>
      </c>
      <c r="K7" s="18">
        <v>262</v>
      </c>
      <c r="L7" s="18">
        <v>2591</v>
      </c>
      <c r="M7" s="18">
        <v>677</v>
      </c>
      <c r="N7" s="18">
        <v>2298</v>
      </c>
      <c r="O7" s="18">
        <v>0</v>
      </c>
      <c r="P7" s="18">
        <v>0</v>
      </c>
      <c r="Q7" s="18">
        <v>3</v>
      </c>
      <c r="R7" s="18">
        <v>0</v>
      </c>
      <c r="S7" s="18">
        <v>2</v>
      </c>
      <c r="T7" s="18">
        <v>2</v>
      </c>
      <c r="U7" s="18">
        <f>+T7</f>
        <v>2</v>
      </c>
      <c r="V7" s="18">
        <f>+U7</f>
        <v>2</v>
      </c>
      <c r="W7" s="18">
        <v>1</v>
      </c>
      <c r="X7" s="18">
        <v>0</v>
      </c>
      <c r="Y7" s="18"/>
      <c r="Z7" s="18"/>
      <c r="AA7" s="18"/>
      <c r="AB7" s="18"/>
      <c r="AP7" s="1">
        <f t="shared" si="2"/>
        <v>186</v>
      </c>
      <c r="AQ7" s="1">
        <f t="shared" si="3"/>
        <v>5828</v>
      </c>
      <c r="AR7" s="1">
        <f t="shared" si="4"/>
        <v>3</v>
      </c>
      <c r="AS7" s="1">
        <f t="shared" si="5"/>
        <v>8</v>
      </c>
    </row>
    <row r="8" spans="1:66" s="1" customFormat="1" x14ac:dyDescent="0.15">
      <c r="B8" s="1" t="s">
        <v>217</v>
      </c>
      <c r="C8" s="18">
        <v>0</v>
      </c>
      <c r="D8" s="18">
        <v>0</v>
      </c>
      <c r="E8" s="18"/>
      <c r="F8" s="18"/>
      <c r="G8" s="18">
        <v>0</v>
      </c>
      <c r="H8" s="18">
        <v>0</v>
      </c>
      <c r="I8" s="18">
        <v>0</v>
      </c>
      <c r="J8" s="18">
        <v>0</v>
      </c>
      <c r="K8" s="18">
        <v>1</v>
      </c>
      <c r="L8" s="18">
        <v>2</v>
      </c>
      <c r="M8" s="18">
        <v>7</v>
      </c>
      <c r="N8" s="18">
        <v>9</v>
      </c>
      <c r="O8" s="18">
        <v>8</v>
      </c>
      <c r="P8" s="18">
        <v>11</v>
      </c>
      <c r="Q8" s="18">
        <v>14</v>
      </c>
      <c r="R8" s="18">
        <v>15</v>
      </c>
      <c r="S8" s="1">
        <v>15</v>
      </c>
      <c r="T8" s="1">
        <v>19</v>
      </c>
      <c r="U8" s="1">
        <f>+T8+1</f>
        <v>20</v>
      </c>
      <c r="V8" s="1">
        <f>+U8+1</f>
        <v>21</v>
      </c>
      <c r="W8" s="1">
        <v>24</v>
      </c>
      <c r="X8" s="1">
        <v>31</v>
      </c>
      <c r="AP8" s="1">
        <f t="shared" si="2"/>
        <v>0</v>
      </c>
      <c r="AQ8" s="1">
        <f t="shared" si="3"/>
        <v>19</v>
      </c>
      <c r="AR8" s="1">
        <f t="shared" si="4"/>
        <v>48</v>
      </c>
      <c r="AS8" s="1">
        <f t="shared" si="5"/>
        <v>75</v>
      </c>
    </row>
    <row r="9" spans="1:66" s="1" customFormat="1" x14ac:dyDescent="0.15">
      <c r="B9" s="1" t="s">
        <v>239</v>
      </c>
      <c r="C9" s="18">
        <v>3.5</v>
      </c>
      <c r="D9" s="18">
        <v>4.2</v>
      </c>
      <c r="E9" s="18"/>
      <c r="F9" s="18"/>
      <c r="G9" s="18">
        <v>3</v>
      </c>
      <c r="H9" s="18">
        <v>2.7</v>
      </c>
      <c r="I9" s="18">
        <v>3</v>
      </c>
      <c r="J9" s="18">
        <v>4</v>
      </c>
      <c r="K9" s="18">
        <v>3</v>
      </c>
      <c r="L9" s="18">
        <v>0</v>
      </c>
      <c r="M9" s="18">
        <v>0</v>
      </c>
      <c r="N9" s="18">
        <v>0</v>
      </c>
      <c r="O9" s="18">
        <v>0</v>
      </c>
      <c r="P9" s="18">
        <v>0</v>
      </c>
      <c r="Q9" s="18">
        <v>0</v>
      </c>
      <c r="R9" s="18">
        <v>0</v>
      </c>
      <c r="S9" s="18">
        <v>0</v>
      </c>
      <c r="T9" s="18">
        <v>0</v>
      </c>
      <c r="U9" s="18">
        <v>0</v>
      </c>
      <c r="V9" s="18">
        <v>0</v>
      </c>
      <c r="W9" s="18">
        <v>0</v>
      </c>
      <c r="X9" s="18"/>
      <c r="Y9" s="18"/>
      <c r="Z9" s="18"/>
      <c r="AA9" s="18"/>
      <c r="AB9" s="18"/>
      <c r="AP9" s="1">
        <f t="shared" si="2"/>
        <v>12.7</v>
      </c>
      <c r="AQ9" s="1">
        <f t="shared" si="3"/>
        <v>3</v>
      </c>
      <c r="AR9" s="1">
        <f t="shared" si="4"/>
        <v>0</v>
      </c>
      <c r="AS9" s="1">
        <f t="shared" si="5"/>
        <v>0</v>
      </c>
    </row>
    <row r="10" spans="1:66" s="1" customFormat="1" x14ac:dyDescent="0.15">
      <c r="B10" s="1" t="s">
        <v>20</v>
      </c>
      <c r="C10" s="18">
        <f t="shared" ref="C10:D10" si="6">SUM(C11:C13)</f>
        <v>0</v>
      </c>
      <c r="D10" s="18">
        <f t="shared" si="6"/>
        <v>0</v>
      </c>
      <c r="E10" s="18"/>
      <c r="F10" s="18"/>
      <c r="G10" s="18">
        <f t="shared" ref="G10:M10" si="7">SUM(G11:G13)</f>
        <v>246.9</v>
      </c>
      <c r="H10" s="18">
        <f t="shared" si="7"/>
        <v>269.10000000000002</v>
      </c>
      <c r="I10" s="18">
        <f t="shared" si="7"/>
        <v>353.3</v>
      </c>
      <c r="J10" s="18">
        <f t="shared" si="7"/>
        <v>317.10000000000002</v>
      </c>
      <c r="K10" s="18">
        <f t="shared" si="7"/>
        <v>364.80000000000007</v>
      </c>
      <c r="L10" s="18">
        <f t="shared" si="7"/>
        <v>437.7</v>
      </c>
      <c r="M10" s="18">
        <f t="shared" si="7"/>
        <v>581.80000000000007</v>
      </c>
      <c r="N10" s="18">
        <f>SUM(N11:N13)</f>
        <v>517.9</v>
      </c>
      <c r="O10" s="18">
        <f>SUM(O11:O13)</f>
        <v>630.9</v>
      </c>
      <c r="P10" s="18">
        <f>SUM(P11:P13)</f>
        <v>677.5</v>
      </c>
      <c r="Q10" s="18">
        <f>SUM(Q11:Q13)</f>
        <v>711.4</v>
      </c>
      <c r="R10" s="18">
        <f>SUM(R11:R13)</f>
        <v>835.9</v>
      </c>
      <c r="S10" s="18">
        <v>798</v>
      </c>
      <c r="T10" s="18">
        <v>944</v>
      </c>
      <c r="U10" s="18">
        <f>+Q10*1.2</f>
        <v>853.68</v>
      </c>
      <c r="V10" s="18">
        <f>+R10*1.2</f>
        <v>1003.0799999999999</v>
      </c>
      <c r="W10" s="18">
        <v>910</v>
      </c>
      <c r="X10" s="18">
        <v>1146</v>
      </c>
      <c r="Y10" s="18"/>
      <c r="Z10" s="18"/>
      <c r="AA10" s="18"/>
      <c r="AB10" s="18"/>
      <c r="AP10" s="1">
        <f t="shared" si="2"/>
        <v>1186.4000000000001</v>
      </c>
      <c r="AQ10" s="1">
        <f t="shared" si="3"/>
        <v>1902.2000000000003</v>
      </c>
      <c r="AR10" s="1">
        <f t="shared" si="4"/>
        <v>2855.7000000000003</v>
      </c>
      <c r="AS10" s="1">
        <f t="shared" si="5"/>
        <v>3598.7599999999998</v>
      </c>
    </row>
    <row r="11" spans="1:66" s="1" customFormat="1" x14ac:dyDescent="0.15">
      <c r="B11" s="1" t="s">
        <v>233</v>
      </c>
      <c r="C11" s="18"/>
      <c r="D11" s="18"/>
      <c r="E11" s="18"/>
      <c r="F11" s="18"/>
      <c r="G11" s="18">
        <v>170.9</v>
      </c>
      <c r="H11" s="18">
        <v>171.9</v>
      </c>
      <c r="I11" s="18">
        <v>212.8</v>
      </c>
      <c r="J11" s="18">
        <v>229.6</v>
      </c>
      <c r="K11" s="18">
        <v>260.60000000000002</v>
      </c>
      <c r="L11" s="18">
        <v>327.60000000000002</v>
      </c>
      <c r="M11" s="18">
        <v>387</v>
      </c>
      <c r="N11" s="18">
        <v>387.8</v>
      </c>
      <c r="O11" s="18">
        <v>415.3</v>
      </c>
      <c r="P11" s="18">
        <v>496.6</v>
      </c>
      <c r="Q11" s="18">
        <v>551.1</v>
      </c>
      <c r="R11" s="18">
        <v>619</v>
      </c>
      <c r="AP11" s="1">
        <f t="shared" si="2"/>
        <v>785.2</v>
      </c>
      <c r="AQ11" s="1">
        <f t="shared" si="3"/>
        <v>1363</v>
      </c>
      <c r="AR11" s="1">
        <f t="shared" si="4"/>
        <v>2082</v>
      </c>
      <c r="AS11" s="1">
        <f t="shared" si="5"/>
        <v>0</v>
      </c>
    </row>
    <row r="12" spans="1:66" s="1" customFormat="1" x14ac:dyDescent="0.15">
      <c r="B12" s="1" t="s">
        <v>234</v>
      </c>
      <c r="C12" s="18"/>
      <c r="D12" s="18"/>
      <c r="E12" s="18"/>
      <c r="F12" s="18"/>
      <c r="G12" s="18">
        <v>80.099999999999994</v>
      </c>
      <c r="H12" s="18">
        <v>100.6</v>
      </c>
      <c r="I12" s="18">
        <v>94.3</v>
      </c>
      <c r="J12" s="18">
        <v>93</v>
      </c>
      <c r="K12" s="18">
        <v>105.6</v>
      </c>
      <c r="L12" s="18">
        <v>110.9</v>
      </c>
      <c r="M12" s="18">
        <v>144.69999999999999</v>
      </c>
      <c r="N12" s="18">
        <v>127.6</v>
      </c>
      <c r="O12" s="18">
        <v>160.80000000000001</v>
      </c>
      <c r="P12" s="18">
        <v>145.5</v>
      </c>
      <c r="Q12" s="18">
        <v>160.5</v>
      </c>
      <c r="R12" s="18">
        <v>166.9</v>
      </c>
      <c r="AP12" s="1">
        <f t="shared" si="2"/>
        <v>368</v>
      </c>
      <c r="AQ12" s="1">
        <f t="shared" si="3"/>
        <v>488.79999999999995</v>
      </c>
      <c r="AR12" s="1">
        <f t="shared" si="4"/>
        <v>633.70000000000005</v>
      </c>
      <c r="AS12" s="1">
        <f t="shared" si="5"/>
        <v>0</v>
      </c>
    </row>
    <row r="13" spans="1:66" s="1" customFormat="1" x14ac:dyDescent="0.15">
      <c r="B13" s="1" t="s">
        <v>235</v>
      </c>
      <c r="C13" s="18"/>
      <c r="D13" s="18"/>
      <c r="E13" s="18"/>
      <c r="F13" s="18"/>
      <c r="G13" s="18">
        <f>-6.2+2.1</f>
        <v>-4.0999999999999996</v>
      </c>
      <c r="H13" s="18">
        <f>-6.4+3</f>
        <v>-3.4000000000000004</v>
      </c>
      <c r="I13" s="18">
        <f>50-4.7+0.9</f>
        <v>46.199999999999996</v>
      </c>
      <c r="J13" s="18">
        <f>-8.4+2.9</f>
        <v>-5.5</v>
      </c>
      <c r="K13" s="18">
        <f>-6.1+4.7</f>
        <v>-1.3999999999999995</v>
      </c>
      <c r="L13" s="18">
        <f>-3.5+2.7</f>
        <v>-0.79999999999999982</v>
      </c>
      <c r="M13" s="18">
        <f>50+3.1-3</f>
        <v>50.1</v>
      </c>
      <c r="N13" s="18">
        <f>-1+3.5</f>
        <v>2.5</v>
      </c>
      <c r="O13" s="18">
        <f>50+2.8+2</f>
        <v>54.8</v>
      </c>
      <c r="P13" s="18">
        <f>28.9+3.9+2.6</f>
        <v>35.4</v>
      </c>
      <c r="Q13" s="18">
        <v>-0.2</v>
      </c>
      <c r="R13" s="18">
        <v>50</v>
      </c>
      <c r="AP13" s="1">
        <f t="shared" si="2"/>
        <v>33.199999999999996</v>
      </c>
      <c r="AQ13" s="1">
        <f t="shared" si="3"/>
        <v>50.400000000000006</v>
      </c>
      <c r="AR13" s="1">
        <f t="shared" si="4"/>
        <v>140</v>
      </c>
      <c r="AS13" s="1">
        <f t="shared" si="5"/>
        <v>0</v>
      </c>
    </row>
    <row r="14" spans="1:66" s="1" customFormat="1" x14ac:dyDescent="0.15">
      <c r="B14" s="1" t="s">
        <v>236</v>
      </c>
      <c r="C14" s="18"/>
      <c r="D14" s="18">
        <v>557.29999999999995</v>
      </c>
      <c r="E14" s="18"/>
      <c r="F14" s="18"/>
      <c r="G14" s="18">
        <v>855</v>
      </c>
      <c r="H14" s="18">
        <v>945</v>
      </c>
      <c r="I14" s="18">
        <v>1072.5999999999999</v>
      </c>
      <c r="J14" s="18">
        <v>1172</v>
      </c>
      <c r="K14" s="18">
        <v>1262.9000000000001</v>
      </c>
      <c r="L14" s="18">
        <v>1499</v>
      </c>
      <c r="M14" s="18">
        <v>1662.9</v>
      </c>
      <c r="N14" s="18">
        <v>1773.8</v>
      </c>
      <c r="O14" s="18">
        <v>1810.4</v>
      </c>
      <c r="P14" s="18">
        <v>2091.8000000000002</v>
      </c>
      <c r="Q14" s="18">
        <v>2330.1</v>
      </c>
      <c r="R14" s="18">
        <v>2448.9</v>
      </c>
      <c r="T14" s="1">
        <v>2789.4</v>
      </c>
      <c r="X14" s="1">
        <v>3556.4</v>
      </c>
      <c r="AP14" s="1">
        <f t="shared" si="2"/>
        <v>4044.6</v>
      </c>
      <c r="AQ14" s="1">
        <f t="shared" si="3"/>
        <v>6198.6</v>
      </c>
      <c r="AR14" s="1">
        <f t="shared" si="4"/>
        <v>8681.2000000000007</v>
      </c>
      <c r="AS14" s="1">
        <f t="shared" si="5"/>
        <v>2789.4</v>
      </c>
    </row>
    <row r="15" spans="1:66" s="1" customFormat="1" x14ac:dyDescent="0.15">
      <c r="B15" s="1" t="s">
        <v>237</v>
      </c>
      <c r="C15" s="18"/>
      <c r="D15" s="18">
        <v>73.7</v>
      </c>
      <c r="E15" s="18"/>
      <c r="F15" s="18"/>
      <c r="G15" s="18"/>
      <c r="H15" s="18">
        <v>86.6</v>
      </c>
      <c r="I15" s="18">
        <v>91.5</v>
      </c>
      <c r="J15" s="18">
        <v>100.9</v>
      </c>
      <c r="K15" s="18">
        <v>104.6</v>
      </c>
      <c r="L15" s="18">
        <v>99.4</v>
      </c>
      <c r="M15" s="18">
        <v>114.5</v>
      </c>
      <c r="N15" s="18">
        <v>102.6</v>
      </c>
      <c r="O15" s="18">
        <v>111.4</v>
      </c>
      <c r="P15" s="18">
        <v>108.9</v>
      </c>
      <c r="Q15" s="18">
        <v>113.7</v>
      </c>
      <c r="R15" s="18">
        <v>133.4</v>
      </c>
      <c r="T15" s="1">
        <v>140.30000000000001</v>
      </c>
      <c r="X15" s="1">
        <v>191.9</v>
      </c>
      <c r="AP15" s="1">
        <f t="shared" si="2"/>
        <v>279</v>
      </c>
      <c r="AQ15" s="1">
        <f t="shared" si="3"/>
        <v>421.1</v>
      </c>
      <c r="AR15" s="1">
        <f t="shared" si="4"/>
        <v>467.4</v>
      </c>
      <c r="AS15" s="1">
        <f t="shared" si="5"/>
        <v>140.30000000000001</v>
      </c>
    </row>
    <row r="16" spans="1:66" s="1" customFormat="1" x14ac:dyDescent="0.15">
      <c r="B16" s="1" t="s">
        <v>238</v>
      </c>
      <c r="C16" s="18"/>
      <c r="D16" s="18">
        <v>58.5</v>
      </c>
      <c r="E16" s="18"/>
      <c r="F16" s="18"/>
      <c r="G16" s="18"/>
      <c r="H16" s="18">
        <v>68.3</v>
      </c>
      <c r="I16" s="18">
        <v>70</v>
      </c>
      <c r="J16" s="18">
        <v>71.5</v>
      </c>
      <c r="K16" s="18">
        <v>69.099999999999994</v>
      </c>
      <c r="L16" s="18">
        <v>66.7</v>
      </c>
      <c r="M16" s="18">
        <v>97.8</v>
      </c>
      <c r="N16" s="18">
        <v>103.9</v>
      </c>
      <c r="O16" s="18">
        <v>106.4</v>
      </c>
      <c r="P16" s="18">
        <v>82.3</v>
      </c>
      <c r="Q16" s="18">
        <v>88.1</v>
      </c>
      <c r="R16" s="18">
        <v>81.2</v>
      </c>
      <c r="T16" s="1">
        <v>99.5</v>
      </c>
      <c r="X16" s="1">
        <v>109.7</v>
      </c>
      <c r="AP16" s="1">
        <f t="shared" si="2"/>
        <v>209.8</v>
      </c>
      <c r="AQ16" s="1">
        <f t="shared" si="3"/>
        <v>337.5</v>
      </c>
      <c r="AR16" s="1">
        <f t="shared" si="4"/>
        <v>357.99999999999994</v>
      </c>
      <c r="AS16" s="1">
        <f t="shared" si="5"/>
        <v>99.5</v>
      </c>
    </row>
    <row r="17" spans="2:45" s="1" customFormat="1" x14ac:dyDescent="0.15">
      <c r="B17" s="1" t="s">
        <v>218</v>
      </c>
      <c r="C17" s="18">
        <v>264</v>
      </c>
      <c r="D17" s="18"/>
      <c r="E17" s="18"/>
      <c r="F17" s="18"/>
      <c r="G17" s="18">
        <v>281.39999999999998</v>
      </c>
      <c r="H17" s="18">
        <v>244.2</v>
      </c>
      <c r="I17" s="18">
        <v>299.89999999999998</v>
      </c>
      <c r="J17" s="18">
        <v>360.6</v>
      </c>
      <c r="K17" s="18">
        <v>322.8</v>
      </c>
      <c r="L17" s="18">
        <v>349</v>
      </c>
      <c r="M17" s="18">
        <v>365</v>
      </c>
      <c r="N17" s="18">
        <v>372.4</v>
      </c>
      <c r="O17" s="18">
        <v>385.3</v>
      </c>
      <c r="P17" s="18">
        <v>358</v>
      </c>
      <c r="Q17" s="18">
        <v>333</v>
      </c>
      <c r="R17" s="18">
        <v>355.1</v>
      </c>
      <c r="S17" s="18">
        <v>357</v>
      </c>
      <c r="T17" s="18">
        <v>377</v>
      </c>
      <c r="U17" s="18">
        <f t="shared" ref="S17:V17" si="8">+Q17*1.01</f>
        <v>336.33</v>
      </c>
      <c r="V17" s="18">
        <f t="shared" si="8"/>
        <v>358.65100000000001</v>
      </c>
      <c r="W17" s="18">
        <v>356</v>
      </c>
      <c r="X17" s="18">
        <v>375</v>
      </c>
      <c r="Y17" s="18"/>
      <c r="Z17" s="18"/>
      <c r="AA17" s="18"/>
      <c r="AB17" s="18"/>
      <c r="AP17" s="1">
        <f t="shared" si="2"/>
        <v>1186.0999999999999</v>
      </c>
      <c r="AQ17" s="1">
        <f t="shared" si="3"/>
        <v>1409.1999999999998</v>
      </c>
      <c r="AR17" s="1">
        <f t="shared" si="4"/>
        <v>1431.4</v>
      </c>
      <c r="AS17" s="1">
        <f t="shared" si="5"/>
        <v>1428.981</v>
      </c>
    </row>
    <row r="18" spans="2:45" s="1" customFormat="1" x14ac:dyDescent="0.15">
      <c r="B18" s="1" t="s">
        <v>219</v>
      </c>
      <c r="C18" s="18">
        <v>0</v>
      </c>
      <c r="D18" s="18">
        <v>0</v>
      </c>
      <c r="E18" s="18">
        <v>0</v>
      </c>
      <c r="F18" s="18">
        <v>0</v>
      </c>
      <c r="G18" s="18">
        <v>0</v>
      </c>
      <c r="H18" s="18">
        <v>0</v>
      </c>
      <c r="I18" s="18">
        <v>0</v>
      </c>
      <c r="J18" s="18">
        <v>0</v>
      </c>
      <c r="K18" s="18">
        <v>66.8</v>
      </c>
      <c r="L18" s="18">
        <v>168</v>
      </c>
      <c r="M18" s="18">
        <v>127.1</v>
      </c>
      <c r="N18" s="18">
        <v>0</v>
      </c>
      <c r="O18" s="18">
        <v>216.3</v>
      </c>
      <c r="P18" s="18">
        <v>8</v>
      </c>
      <c r="Q18" s="18">
        <v>6</v>
      </c>
      <c r="R18" s="18">
        <v>396.4</v>
      </c>
      <c r="S18" s="1">
        <v>223</v>
      </c>
      <c r="T18" s="1">
        <v>-4</v>
      </c>
      <c r="W18" s="1">
        <v>1</v>
      </c>
      <c r="X18" s="1">
        <v>3</v>
      </c>
      <c r="AP18" s="1">
        <f t="shared" si="2"/>
        <v>0</v>
      </c>
      <c r="AQ18" s="1">
        <f t="shared" si="3"/>
        <v>361.9</v>
      </c>
      <c r="AR18" s="1">
        <f t="shared" si="4"/>
        <v>626.70000000000005</v>
      </c>
      <c r="AS18" s="1">
        <f t="shared" si="5"/>
        <v>219</v>
      </c>
    </row>
    <row r="19" spans="2:45" s="1" customFormat="1" x14ac:dyDescent="0.15">
      <c r="B19" s="1" t="s">
        <v>220</v>
      </c>
      <c r="C19" s="18">
        <v>22.2</v>
      </c>
      <c r="D19" s="18"/>
      <c r="E19" s="18"/>
      <c r="F19" s="18"/>
      <c r="G19" s="18">
        <v>63.2</v>
      </c>
      <c r="H19" s="18">
        <v>211.8</v>
      </c>
      <c r="I19" s="18">
        <v>158.6</v>
      </c>
      <c r="J19" s="18"/>
      <c r="K19" s="18">
        <v>50</v>
      </c>
      <c r="L19" s="18">
        <v>46</v>
      </c>
      <c r="M19" s="18">
        <v>99</v>
      </c>
      <c r="N19" s="18">
        <v>86.2</v>
      </c>
      <c r="O19" s="18">
        <v>94</v>
      </c>
      <c r="P19" s="18">
        <v>59</v>
      </c>
      <c r="Q19" s="18">
        <v>84</v>
      </c>
      <c r="R19" s="18">
        <v>127.7</v>
      </c>
      <c r="S19" s="1">
        <v>116</v>
      </c>
      <c r="T19" s="1">
        <v>69</v>
      </c>
      <c r="U19" s="1">
        <f t="shared" ref="T19:V19" si="9">AVERAGE(Q19:T19)</f>
        <v>99.174999999999997</v>
      </c>
      <c r="V19" s="1">
        <f t="shared" si="9"/>
        <v>102.96875</v>
      </c>
      <c r="W19" s="1">
        <v>117</v>
      </c>
      <c r="X19" s="1">
        <v>104</v>
      </c>
      <c r="AP19" s="1">
        <f t="shared" si="2"/>
        <v>433.6</v>
      </c>
      <c r="AQ19" s="1">
        <f t="shared" si="3"/>
        <v>281.2</v>
      </c>
      <c r="AR19" s="1">
        <f t="shared" si="4"/>
        <v>364.7</v>
      </c>
      <c r="AS19" s="1">
        <f t="shared" si="5"/>
        <v>387.14375000000001</v>
      </c>
    </row>
    <row r="20" spans="2:45" s="20" customFormat="1" x14ac:dyDescent="0.15">
      <c r="B20" s="20" t="s">
        <v>221</v>
      </c>
      <c r="C20" s="21">
        <f t="shared" ref="C20:D20" si="10">SUM(C3:C10)+C17+C18+C19</f>
        <v>1390.6</v>
      </c>
      <c r="D20" s="21">
        <f t="shared" si="10"/>
        <v>1231.5</v>
      </c>
      <c r="E20" s="21"/>
      <c r="F20" s="21"/>
      <c r="G20" s="21">
        <f t="shared" ref="G20:J20" si="11">SUM(G3:G10)+G17+G18+G19</f>
        <v>1828.2</v>
      </c>
      <c r="H20" s="21">
        <f t="shared" si="11"/>
        <v>1952.3000000000002</v>
      </c>
      <c r="I20" s="21">
        <f t="shared" si="11"/>
        <v>2293.7999999999997</v>
      </c>
      <c r="J20" s="21">
        <f t="shared" si="11"/>
        <v>2299.6999999999998</v>
      </c>
      <c r="K20" s="21">
        <f t="shared" ref="K20:P20" si="12">SUM(K3:K10)+K17+K18+K19</f>
        <v>2529.4000000000005</v>
      </c>
      <c r="L20" s="21">
        <f t="shared" si="12"/>
        <v>5138.7</v>
      </c>
      <c r="M20" s="21">
        <f>SUM(M3:M10)+M17+M18+M19</f>
        <v>3452.9</v>
      </c>
      <c r="N20" s="21">
        <f t="shared" si="12"/>
        <v>4951.4999999999991</v>
      </c>
      <c r="O20" s="21">
        <f t="shared" si="12"/>
        <v>2965.5000000000005</v>
      </c>
      <c r="P20" s="21">
        <f t="shared" si="12"/>
        <v>2856.5</v>
      </c>
      <c r="Q20" s="21">
        <f t="shared" ref="Q20:X20" si="13">SUM(Q3:Q10)+Q17+Q18+Q19</f>
        <v>2936.4</v>
      </c>
      <c r="R20" s="21">
        <f t="shared" si="13"/>
        <v>3414.1</v>
      </c>
      <c r="S20" s="21">
        <f t="shared" si="13"/>
        <v>3162</v>
      </c>
      <c r="T20" s="21">
        <f t="shared" si="13"/>
        <v>3158</v>
      </c>
      <c r="U20" s="21">
        <f t="shared" si="13"/>
        <v>3360.085</v>
      </c>
      <c r="V20" s="21">
        <f t="shared" si="13"/>
        <v>3396.2997500000001</v>
      </c>
      <c r="W20" s="21">
        <f t="shared" si="13"/>
        <v>3145</v>
      </c>
      <c r="X20" s="21">
        <f t="shared" si="13"/>
        <v>3547</v>
      </c>
      <c r="Y20" s="21"/>
      <c r="Z20" s="21"/>
      <c r="AA20" s="21"/>
      <c r="AB20" s="21"/>
      <c r="AP20" s="21">
        <f t="shared" ref="AP20:AS20" si="14">SUM(AP3:AP10)+AP17+AP18+AP19</f>
        <v>8374</v>
      </c>
      <c r="AQ20" s="21">
        <f t="shared" si="14"/>
        <v>16072.500000000002</v>
      </c>
      <c r="AR20" s="21">
        <f t="shared" si="14"/>
        <v>12172.500000000002</v>
      </c>
      <c r="AS20" s="21">
        <f t="shared" si="14"/>
        <v>13076.384749999999</v>
      </c>
    </row>
    <row r="21" spans="2:45" s="1" customFormat="1" x14ac:dyDescent="0.15">
      <c r="B21" s="1" t="s">
        <v>222</v>
      </c>
      <c r="C21" s="18"/>
      <c r="D21" s="18">
        <v>58.2</v>
      </c>
      <c r="E21" s="18"/>
      <c r="F21" s="18"/>
      <c r="G21" s="18">
        <f>78.8+138.5</f>
        <v>217.3</v>
      </c>
      <c r="H21" s="18">
        <f>93.2+173</f>
        <v>266.2</v>
      </c>
      <c r="I21" s="18">
        <v>122</v>
      </c>
      <c r="J21" s="18">
        <f>166+173.5</f>
        <v>339.5</v>
      </c>
      <c r="K21" s="18">
        <f>183.2+124.8</f>
        <v>308</v>
      </c>
      <c r="L21" s="18">
        <f>539.4+154.3</f>
        <v>693.7</v>
      </c>
      <c r="M21" s="18">
        <v>224</v>
      </c>
      <c r="N21" s="18">
        <f>559+170.9</f>
        <v>729.9</v>
      </c>
      <c r="O21" s="18">
        <f>207.3+197.6</f>
        <v>404.9</v>
      </c>
      <c r="P21" s="18">
        <f>149.2+147.9</f>
        <v>297.10000000000002</v>
      </c>
      <c r="Q21" s="18">
        <v>109</v>
      </c>
      <c r="R21" s="18">
        <f>302.2+238.4-133.7-19.7</f>
        <v>387.20000000000005</v>
      </c>
      <c r="S21" s="18">
        <v>168</v>
      </c>
      <c r="T21" s="18">
        <v>163</v>
      </c>
      <c r="U21" s="18">
        <f t="shared" ref="S21:V21" si="15">+U20-U22</f>
        <v>336.00849999999991</v>
      </c>
      <c r="V21" s="18">
        <f t="shared" si="15"/>
        <v>339.62997499999983</v>
      </c>
      <c r="W21" s="18">
        <v>196</v>
      </c>
      <c r="X21" s="18">
        <v>214</v>
      </c>
      <c r="Y21" s="18"/>
      <c r="Z21" s="18"/>
      <c r="AA21" s="18"/>
      <c r="AB21" s="18"/>
      <c r="AP21" s="1">
        <f t="shared" ref="AP21" si="16">SUM(G21:J21)</f>
        <v>945</v>
      </c>
      <c r="AQ21" s="1">
        <f t="shared" ref="AQ21" si="17">SUM(K21:N21)</f>
        <v>1955.6</v>
      </c>
      <c r="AR21" s="1">
        <f t="shared" ref="AR21" si="18">SUM(O21:R21)</f>
        <v>1198.2</v>
      </c>
      <c r="AS21" s="1">
        <f t="shared" ref="AS21" si="19">SUM(S21:V21)</f>
        <v>1006.6384749999997</v>
      </c>
    </row>
    <row r="22" spans="2:45" s="1" customFormat="1" x14ac:dyDescent="0.15">
      <c r="B22" s="1" t="s">
        <v>223</v>
      </c>
      <c r="C22" s="18"/>
      <c r="D22" s="18"/>
      <c r="E22" s="18"/>
      <c r="F22" s="18"/>
      <c r="G22" s="18">
        <f t="shared" ref="G22" si="20">+G20-G21</f>
        <v>1610.9</v>
      </c>
      <c r="H22" s="18">
        <f t="shared" ref="H22:P22" si="21">+H20-H21</f>
        <v>1686.1000000000001</v>
      </c>
      <c r="I22" s="18">
        <f t="shared" si="21"/>
        <v>2171.7999999999997</v>
      </c>
      <c r="J22" s="18">
        <f t="shared" si="21"/>
        <v>1960.1999999999998</v>
      </c>
      <c r="K22" s="18">
        <f t="shared" si="21"/>
        <v>2221.4000000000005</v>
      </c>
      <c r="L22" s="18">
        <f t="shared" si="21"/>
        <v>4445</v>
      </c>
      <c r="M22" s="18">
        <f t="shared" si="21"/>
        <v>3228.9</v>
      </c>
      <c r="N22" s="18">
        <f t="shared" si="21"/>
        <v>4221.5999999999995</v>
      </c>
      <c r="O22" s="18">
        <f t="shared" si="21"/>
        <v>2560.6000000000004</v>
      </c>
      <c r="P22" s="18">
        <f t="shared" si="21"/>
        <v>2559.4</v>
      </c>
      <c r="Q22" s="18">
        <f>+Q20-Q21</f>
        <v>2827.4</v>
      </c>
      <c r="R22" s="18">
        <f>+R20-R21</f>
        <v>3026.8999999999996</v>
      </c>
      <c r="S22" s="18">
        <f>S20-S21</f>
        <v>2994</v>
      </c>
      <c r="T22" s="18">
        <f>T20-T21</f>
        <v>2995</v>
      </c>
      <c r="U22" s="18">
        <f t="shared" ref="S22:V22" si="22">+U20*0.9</f>
        <v>3024.0765000000001</v>
      </c>
      <c r="V22" s="18">
        <f t="shared" si="22"/>
        <v>3056.6697750000003</v>
      </c>
      <c r="W22" s="18">
        <f>W20-W21</f>
        <v>2949</v>
      </c>
      <c r="X22" s="18">
        <f>X20-X21</f>
        <v>3333</v>
      </c>
      <c r="Y22" s="18"/>
      <c r="Z22" s="18"/>
      <c r="AA22" s="18"/>
      <c r="AB22" s="18"/>
      <c r="AP22" s="1">
        <f>+AP20-AP21</f>
        <v>7429</v>
      </c>
      <c r="AQ22" s="1">
        <f t="shared" ref="AQ22:AS22" si="23">+AQ20-AQ21</f>
        <v>14116.900000000001</v>
      </c>
      <c r="AR22" s="1">
        <f t="shared" si="23"/>
        <v>10974.300000000001</v>
      </c>
      <c r="AS22" s="1">
        <f t="shared" si="23"/>
        <v>12069.746275</v>
      </c>
    </row>
    <row r="23" spans="2:45" s="1" customFormat="1" x14ac:dyDescent="0.15">
      <c r="B23" s="1" t="s">
        <v>224</v>
      </c>
      <c r="C23" s="18"/>
      <c r="D23" s="18">
        <v>426.2</v>
      </c>
      <c r="E23" s="18"/>
      <c r="F23" s="18"/>
      <c r="G23" s="18">
        <v>583.9</v>
      </c>
      <c r="H23" s="18">
        <v>580.1</v>
      </c>
      <c r="I23" s="18">
        <v>629</v>
      </c>
      <c r="J23" s="18">
        <v>675</v>
      </c>
      <c r="K23" s="18">
        <v>742.9</v>
      </c>
      <c r="L23" s="18">
        <v>714.2</v>
      </c>
      <c r="M23" s="18">
        <v>592</v>
      </c>
      <c r="N23" s="18">
        <v>639</v>
      </c>
      <c r="O23" s="18">
        <v>843.8</v>
      </c>
      <c r="P23" s="18">
        <f>794.3-14.6</f>
        <v>779.69999999999993</v>
      </c>
      <c r="Q23" s="18">
        <v>817</v>
      </c>
      <c r="R23" s="18">
        <f>1043.1-1.4</f>
        <v>1041.6999999999998</v>
      </c>
      <c r="S23" s="1">
        <v>960</v>
      </c>
      <c r="T23" s="1">
        <v>974</v>
      </c>
      <c r="W23" s="1">
        <v>1122</v>
      </c>
      <c r="X23" s="1">
        <v>1072</v>
      </c>
      <c r="AP23" s="1">
        <f t="shared" ref="AP23:AP24" si="24">SUM(G23:J23)</f>
        <v>2468</v>
      </c>
      <c r="AQ23" s="1">
        <f t="shared" ref="AQ23:AQ24" si="25">SUM(K23:N23)</f>
        <v>2688.1</v>
      </c>
      <c r="AR23" s="1">
        <f t="shared" ref="AR23:AR24" si="26">SUM(O23:R23)</f>
        <v>3482.2</v>
      </c>
      <c r="AS23" s="1">
        <f t="shared" ref="AS23:AS24" si="27">SUM(S23:V23)</f>
        <v>1934</v>
      </c>
    </row>
    <row r="24" spans="2:45" s="1" customFormat="1" x14ac:dyDescent="0.15">
      <c r="B24" s="1" t="s">
        <v>225</v>
      </c>
      <c r="C24" s="18"/>
      <c r="D24" s="18">
        <v>251.9</v>
      </c>
      <c r="E24" s="18"/>
      <c r="F24" s="18"/>
      <c r="G24" s="18">
        <f>367.3-20.2</f>
        <v>347.1</v>
      </c>
      <c r="H24" s="18">
        <v>301.39999999999998</v>
      </c>
      <c r="I24" s="18">
        <v>291</v>
      </c>
      <c r="J24" s="18">
        <v>381</v>
      </c>
      <c r="K24" s="18">
        <v>405.6</v>
      </c>
      <c r="L24" s="18">
        <v>414.7</v>
      </c>
      <c r="M24" s="18">
        <v>391</v>
      </c>
      <c r="N24" s="18">
        <v>495</v>
      </c>
      <c r="O24" s="18">
        <v>450</v>
      </c>
      <c r="P24" s="18">
        <f>476.3-1.1</f>
        <v>475.2</v>
      </c>
      <c r="Q24" s="18">
        <v>467</v>
      </c>
      <c r="R24" s="18">
        <f>660.5-3.5</f>
        <v>657</v>
      </c>
      <c r="S24" s="18">
        <v>515</v>
      </c>
      <c r="T24" s="18">
        <v>562</v>
      </c>
      <c r="U24" s="18">
        <f t="shared" ref="S24:V24" si="28">+Q24</f>
        <v>467</v>
      </c>
      <c r="V24" s="18">
        <f t="shared" si="28"/>
        <v>657</v>
      </c>
      <c r="W24" s="18">
        <v>584</v>
      </c>
      <c r="X24" s="18">
        <v>667</v>
      </c>
      <c r="Y24" s="18"/>
      <c r="Z24" s="18"/>
      <c r="AA24" s="18"/>
      <c r="AB24" s="18"/>
      <c r="AP24" s="1">
        <f t="shared" si="24"/>
        <v>1320.5</v>
      </c>
      <c r="AQ24" s="1">
        <f t="shared" si="25"/>
        <v>1706.3</v>
      </c>
      <c r="AR24" s="1">
        <f t="shared" si="26"/>
        <v>2049.1999999999998</v>
      </c>
      <c r="AS24" s="1">
        <f t="shared" si="27"/>
        <v>2201</v>
      </c>
    </row>
    <row r="25" spans="2:45" s="1" customFormat="1" x14ac:dyDescent="0.15">
      <c r="B25" s="1" t="s">
        <v>226</v>
      </c>
      <c r="C25" s="18"/>
      <c r="D25" s="18"/>
      <c r="E25" s="18"/>
      <c r="F25" s="18"/>
      <c r="G25" s="18">
        <f t="shared" ref="G25" si="29">+G24+G23</f>
        <v>931</v>
      </c>
      <c r="H25" s="18">
        <f>+H24+H23</f>
        <v>881.5</v>
      </c>
      <c r="I25" s="18">
        <f t="shared" ref="I25:M25" si="30">+I24+I23</f>
        <v>920</v>
      </c>
      <c r="J25" s="18">
        <f t="shared" si="30"/>
        <v>1056</v>
      </c>
      <c r="K25" s="18">
        <f t="shared" si="30"/>
        <v>1148.5</v>
      </c>
      <c r="L25" s="18">
        <f t="shared" si="30"/>
        <v>1128.9000000000001</v>
      </c>
      <c r="M25" s="18">
        <f t="shared" si="30"/>
        <v>983</v>
      </c>
      <c r="N25" s="18">
        <f>+N24+N23</f>
        <v>1134</v>
      </c>
      <c r="O25" s="18">
        <f>+O24+O23</f>
        <v>1293.8</v>
      </c>
      <c r="P25" s="18">
        <f>+P24+P23</f>
        <v>1254.8999999999999</v>
      </c>
      <c r="Q25" s="18">
        <f>+Q24+Q23</f>
        <v>1284</v>
      </c>
      <c r="R25" s="18">
        <f>+R24+R23</f>
        <v>1698.6999999999998</v>
      </c>
      <c r="S25" s="18">
        <f t="shared" ref="S25:V25" si="31">+S24+S23</f>
        <v>1475</v>
      </c>
      <c r="T25" s="18">
        <f t="shared" si="31"/>
        <v>1536</v>
      </c>
      <c r="U25" s="18">
        <f t="shared" si="31"/>
        <v>467</v>
      </c>
      <c r="V25" s="18">
        <f t="shared" si="31"/>
        <v>657</v>
      </c>
      <c r="W25" s="18">
        <f t="shared" ref="W25:X25" si="32">+W24+W23</f>
        <v>1706</v>
      </c>
      <c r="X25" s="18">
        <f t="shared" si="32"/>
        <v>1739</v>
      </c>
      <c r="Y25" s="18"/>
      <c r="Z25" s="18"/>
      <c r="AA25" s="18"/>
      <c r="AB25" s="18"/>
      <c r="AP25" s="1">
        <f>+AP23+AP24</f>
        <v>3788.5</v>
      </c>
      <c r="AQ25" s="1">
        <f t="shared" ref="AQ25:AS25" si="33">+AQ23+AQ24</f>
        <v>4394.3999999999996</v>
      </c>
      <c r="AR25" s="1">
        <f t="shared" si="33"/>
        <v>5531.4</v>
      </c>
      <c r="AS25" s="1">
        <f t="shared" si="33"/>
        <v>4135</v>
      </c>
    </row>
    <row r="26" spans="2:45" s="1" customFormat="1" x14ac:dyDescent="0.15">
      <c r="B26" s="1" t="s">
        <v>227</v>
      </c>
      <c r="C26" s="18"/>
      <c r="D26" s="18"/>
      <c r="E26" s="18"/>
      <c r="F26" s="18"/>
      <c r="G26" s="18">
        <f>+G22-G25</f>
        <v>679.90000000000009</v>
      </c>
      <c r="H26" s="18">
        <f>+H22-H25</f>
        <v>804.60000000000014</v>
      </c>
      <c r="I26" s="18">
        <f t="shared" ref="I26:M26" si="34">+I22-I25</f>
        <v>1251.7999999999997</v>
      </c>
      <c r="J26" s="18">
        <f t="shared" si="34"/>
        <v>904.19999999999982</v>
      </c>
      <c r="K26" s="18">
        <f t="shared" si="34"/>
        <v>1072.9000000000005</v>
      </c>
      <c r="L26" s="18">
        <f t="shared" si="34"/>
        <v>3316.1</v>
      </c>
      <c r="M26" s="18">
        <f t="shared" si="34"/>
        <v>2245.9</v>
      </c>
      <c r="N26" s="18">
        <f>+N22-N25</f>
        <v>3087.5999999999995</v>
      </c>
      <c r="O26" s="18">
        <f>+O22-O25</f>
        <v>1266.8000000000004</v>
      </c>
      <c r="P26" s="18">
        <f>+P22-P25</f>
        <v>1304.5000000000002</v>
      </c>
      <c r="Q26" s="18">
        <f>+Q22-Q25</f>
        <v>1543.4</v>
      </c>
      <c r="R26" s="18">
        <f>+R22-R25</f>
        <v>1328.1999999999998</v>
      </c>
      <c r="S26" s="18">
        <f t="shared" ref="S26:V26" si="35">+S22-S25</f>
        <v>1519</v>
      </c>
      <c r="T26" s="18">
        <f t="shared" si="35"/>
        <v>1459</v>
      </c>
      <c r="U26" s="18">
        <f t="shared" si="35"/>
        <v>2557.0765000000001</v>
      </c>
      <c r="V26" s="18">
        <f t="shared" si="35"/>
        <v>2399.6697750000003</v>
      </c>
      <c r="W26" s="18">
        <f t="shared" ref="W26:X26" si="36">+W22-W25</f>
        <v>1243</v>
      </c>
      <c r="X26" s="18">
        <f t="shared" si="36"/>
        <v>1594</v>
      </c>
      <c r="Y26" s="18"/>
      <c r="Z26" s="18"/>
      <c r="AA26" s="18"/>
      <c r="AB26" s="18"/>
      <c r="AP26" s="1">
        <f>+AP22-AP25</f>
        <v>3640.5</v>
      </c>
      <c r="AQ26" s="1">
        <f t="shared" ref="AQ26:AS26" si="37">+AQ22-AQ25</f>
        <v>9722.5000000000018</v>
      </c>
      <c r="AR26" s="1">
        <f t="shared" si="37"/>
        <v>5442.9000000000015</v>
      </c>
      <c r="AS26" s="1">
        <f t="shared" si="37"/>
        <v>7934.7462749999995</v>
      </c>
    </row>
    <row r="27" spans="2:45" s="1" customFormat="1" x14ac:dyDescent="0.15">
      <c r="B27" s="1" t="s">
        <v>228</v>
      </c>
      <c r="C27" s="18"/>
      <c r="D27" s="18"/>
      <c r="E27" s="18"/>
      <c r="F27" s="18"/>
      <c r="G27" s="18">
        <f>40.4+25.3</f>
        <v>65.7</v>
      </c>
      <c r="H27" s="18">
        <f>-50.2+7.9</f>
        <v>-42.300000000000004</v>
      </c>
      <c r="I27" s="18">
        <v>-54.8</v>
      </c>
      <c r="J27" s="18">
        <v>57.6</v>
      </c>
      <c r="K27" s="18">
        <f>40.5-14.6</f>
        <v>25.9</v>
      </c>
      <c r="L27" s="18">
        <f>-14.4-31.3</f>
        <v>-45.7</v>
      </c>
      <c r="M27" s="18">
        <v>-30.6</v>
      </c>
      <c r="N27" s="18">
        <f>15.8-136.3</f>
        <v>-120.50000000000001</v>
      </c>
      <c r="O27" s="18">
        <f>20.2-197.4</f>
        <v>-177.20000000000002</v>
      </c>
      <c r="P27" s="18">
        <f>-133.6-13.1-17.4</f>
        <v>-164.1</v>
      </c>
      <c r="Q27" s="18">
        <v>32.6</v>
      </c>
      <c r="R27" s="18">
        <f>195.3-17.4-80.5</f>
        <v>97.4</v>
      </c>
      <c r="AP27" s="1">
        <f t="shared" ref="AP27" si="38">SUM(G27:J27)</f>
        <v>26.200000000000003</v>
      </c>
      <c r="AQ27" s="1">
        <f t="shared" ref="AQ27" si="39">SUM(K27:N27)</f>
        <v>-170.90000000000003</v>
      </c>
      <c r="AR27" s="1">
        <f t="shared" ref="AR27" si="40">SUM(O27:R27)</f>
        <v>-211.29999999999998</v>
      </c>
      <c r="AS27" s="1">
        <f t="shared" ref="AS27" si="41">SUM(S27:V27)</f>
        <v>0</v>
      </c>
    </row>
    <row r="28" spans="2:45" s="1" customFormat="1" x14ac:dyDescent="0.15">
      <c r="B28" s="1" t="s">
        <v>229</v>
      </c>
      <c r="C28" s="18"/>
      <c r="D28" s="18"/>
      <c r="E28" s="18"/>
      <c r="F28" s="18"/>
      <c r="G28" s="18">
        <f t="shared" ref="G28" si="42">G26+G27</f>
        <v>745.60000000000014</v>
      </c>
      <c r="H28" s="18">
        <f t="shared" ref="H28:R28" si="43">H26+H27</f>
        <v>762.30000000000018</v>
      </c>
      <c r="I28" s="18">
        <f t="shared" si="43"/>
        <v>1196.9999999999998</v>
      </c>
      <c r="J28" s="18">
        <f t="shared" si="43"/>
        <v>961.79999999999984</v>
      </c>
      <c r="K28" s="18">
        <f t="shared" si="43"/>
        <v>1098.8000000000006</v>
      </c>
      <c r="L28" s="18">
        <f t="shared" si="43"/>
        <v>3270.4</v>
      </c>
      <c r="M28" s="18">
        <f t="shared" si="43"/>
        <v>2215.3000000000002</v>
      </c>
      <c r="N28" s="18">
        <f t="shared" si="43"/>
        <v>2967.0999999999995</v>
      </c>
      <c r="O28" s="18">
        <f t="shared" si="43"/>
        <v>1089.6000000000004</v>
      </c>
      <c r="P28" s="18">
        <f t="shared" si="43"/>
        <v>1140.4000000000003</v>
      </c>
      <c r="Q28" s="18">
        <f t="shared" si="43"/>
        <v>1576</v>
      </c>
      <c r="R28" s="18">
        <f t="shared" si="43"/>
        <v>1425.6</v>
      </c>
      <c r="S28" s="18">
        <f t="shared" ref="S28" si="44">S26+S27</f>
        <v>1519</v>
      </c>
      <c r="T28" s="18">
        <f t="shared" ref="T28" si="45">T26+T27</f>
        <v>1459</v>
      </c>
      <c r="U28" s="18">
        <f t="shared" ref="U28" si="46">U26+U27</f>
        <v>2557.0765000000001</v>
      </c>
      <c r="V28" s="18">
        <f t="shared" ref="V28:X28" si="47">V26+V27</f>
        <v>2399.6697750000003</v>
      </c>
      <c r="W28" s="18">
        <f t="shared" si="47"/>
        <v>1243</v>
      </c>
      <c r="X28" s="18">
        <f t="shared" si="47"/>
        <v>1594</v>
      </c>
      <c r="Y28" s="18"/>
      <c r="Z28" s="18"/>
      <c r="AA28" s="18"/>
      <c r="AB28" s="18"/>
      <c r="AP28" s="1">
        <f>+AP26+AP27</f>
        <v>3666.7</v>
      </c>
      <c r="AQ28" s="1">
        <f t="shared" ref="AQ28:AS28" si="48">+AQ26+AQ27</f>
        <v>9551.6000000000022</v>
      </c>
      <c r="AR28" s="1">
        <f t="shared" si="48"/>
        <v>5231.6000000000013</v>
      </c>
      <c r="AS28" s="1">
        <f t="shared" si="48"/>
        <v>7934.7462749999995</v>
      </c>
    </row>
    <row r="29" spans="2:45" s="1" customFormat="1" x14ac:dyDescent="0.15">
      <c r="B29" s="1" t="s">
        <v>230</v>
      </c>
      <c r="C29" s="18"/>
      <c r="D29" s="18"/>
      <c r="E29" s="18"/>
      <c r="F29" s="18"/>
      <c r="G29" s="18">
        <v>44</v>
      </c>
      <c r="H29" s="18">
        <v>21.6</v>
      </c>
      <c r="I29" s="18">
        <v>156.19999999999999</v>
      </c>
      <c r="J29" s="18">
        <v>75.400000000000006</v>
      </c>
      <c r="K29" s="18">
        <v>137.80000000000001</v>
      </c>
      <c r="L29" s="18">
        <v>653.9</v>
      </c>
      <c r="M29" s="18">
        <v>184.4</v>
      </c>
      <c r="N29" s="18">
        <v>274.39999999999998</v>
      </c>
      <c r="O29" s="18">
        <v>87.6</v>
      </c>
      <c r="P29" s="18">
        <v>111.1</v>
      </c>
      <c r="Q29" s="18">
        <v>194.1</v>
      </c>
      <c r="R29" s="18">
        <v>127.6</v>
      </c>
      <c r="S29" s="18">
        <f t="shared" ref="S29:V29" si="49">+S28*0.15</f>
        <v>227.85</v>
      </c>
      <c r="T29" s="18">
        <f t="shared" si="49"/>
        <v>218.85</v>
      </c>
      <c r="U29" s="18">
        <f t="shared" si="49"/>
        <v>383.56147500000003</v>
      </c>
      <c r="V29" s="18">
        <f t="shared" si="49"/>
        <v>359.95046625000003</v>
      </c>
      <c r="W29" s="18"/>
      <c r="X29" s="18"/>
      <c r="Y29" s="18"/>
      <c r="Z29" s="18"/>
      <c r="AA29" s="18"/>
      <c r="AB29" s="18"/>
      <c r="AP29" s="1">
        <f t="shared" ref="AP29" si="50">SUM(G29:J29)</f>
        <v>297.2</v>
      </c>
      <c r="AQ29" s="1">
        <f t="shared" ref="AQ29" si="51">SUM(K29:N29)</f>
        <v>1250.5</v>
      </c>
      <c r="AR29" s="1">
        <f t="shared" ref="AR29" si="52">SUM(O29:R29)</f>
        <v>520.4</v>
      </c>
      <c r="AS29" s="1">
        <f t="shared" ref="AS29" si="53">SUM(S29:V29)</f>
        <v>1190.2119412500001</v>
      </c>
    </row>
    <row r="30" spans="2:45" s="1" customFormat="1" x14ac:dyDescent="0.15">
      <c r="B30" s="1" t="s">
        <v>231</v>
      </c>
      <c r="C30" s="18"/>
      <c r="D30" s="18"/>
      <c r="E30" s="18"/>
      <c r="F30" s="18"/>
      <c r="G30" s="18">
        <f t="shared" ref="G30" si="54">+G28-G29</f>
        <v>701.60000000000014</v>
      </c>
      <c r="H30" s="18">
        <f t="shared" ref="H30:R30" si="55">+H28-H29</f>
        <v>740.70000000000016</v>
      </c>
      <c r="I30" s="18">
        <f t="shared" si="55"/>
        <v>1040.7999999999997</v>
      </c>
      <c r="J30" s="18">
        <f t="shared" si="55"/>
        <v>886.39999999999986</v>
      </c>
      <c r="K30" s="18">
        <f t="shared" si="55"/>
        <v>961.00000000000068</v>
      </c>
      <c r="L30" s="18">
        <f t="shared" si="55"/>
        <v>2616.5</v>
      </c>
      <c r="M30" s="18">
        <f t="shared" si="55"/>
        <v>2030.9</v>
      </c>
      <c r="N30" s="18">
        <f t="shared" si="55"/>
        <v>2692.6999999999994</v>
      </c>
      <c r="O30" s="18">
        <f t="shared" si="55"/>
        <v>1002.0000000000003</v>
      </c>
      <c r="P30" s="18">
        <f t="shared" si="55"/>
        <v>1029.3000000000004</v>
      </c>
      <c r="Q30" s="18">
        <f t="shared" si="55"/>
        <v>1381.9</v>
      </c>
      <c r="R30" s="18">
        <f t="shared" si="55"/>
        <v>1298</v>
      </c>
      <c r="S30" s="18">
        <f t="shared" ref="S30" si="56">+S28-S29</f>
        <v>1291.1500000000001</v>
      </c>
      <c r="T30" s="18">
        <f t="shared" ref="T30" si="57">+T28-T29</f>
        <v>1240.1500000000001</v>
      </c>
      <c r="U30" s="18">
        <f t="shared" ref="U30" si="58">+U28-U29</f>
        <v>2173.5150250000002</v>
      </c>
      <c r="V30" s="18">
        <f t="shared" ref="V30:X30" si="59">+V28-V29</f>
        <v>2039.7193087500002</v>
      </c>
      <c r="W30" s="18">
        <f t="shared" si="59"/>
        <v>1243</v>
      </c>
      <c r="X30" s="18">
        <f t="shared" si="59"/>
        <v>1594</v>
      </c>
      <c r="Y30" s="18"/>
      <c r="Z30" s="18"/>
      <c r="AA30" s="18"/>
      <c r="AB30" s="18"/>
      <c r="AP30" s="1">
        <f>+AP28-AP29</f>
        <v>3369.5</v>
      </c>
      <c r="AQ30" s="1">
        <f t="shared" ref="AQ30:AS30" si="60">+AQ28-AQ29</f>
        <v>8301.1000000000022</v>
      </c>
      <c r="AR30" s="1">
        <f t="shared" si="60"/>
        <v>4711.2000000000016</v>
      </c>
      <c r="AS30" s="1">
        <f t="shared" si="60"/>
        <v>6744.5343337499999</v>
      </c>
    </row>
    <row r="31" spans="2:45" x14ac:dyDescent="0.15">
      <c r="B31" s="1" t="s">
        <v>232</v>
      </c>
      <c r="G31" s="19">
        <f t="shared" ref="G31" si="61">+G30/G32</f>
        <v>6.0955690703735899</v>
      </c>
      <c r="H31" s="19">
        <f t="shared" ref="H31:R31" si="62">+H30/H32</f>
        <v>6.2087175188600181</v>
      </c>
      <c r="I31" s="19">
        <f t="shared" si="62"/>
        <v>9.1378402107111469</v>
      </c>
      <c r="J31" s="19">
        <f t="shared" si="62"/>
        <v>7.900178253119428</v>
      </c>
      <c r="K31" s="19">
        <f t="shared" si="62"/>
        <v>8.5727029438001843</v>
      </c>
      <c r="L31" s="19">
        <f t="shared" si="62"/>
        <v>23.319964349376114</v>
      </c>
      <c r="M31" s="19">
        <f t="shared" si="62"/>
        <v>17.830553116769096</v>
      </c>
      <c r="N31" s="19">
        <f t="shared" si="62"/>
        <v>23.787102473498226</v>
      </c>
      <c r="O31" s="19">
        <f t="shared" si="62"/>
        <v>8.7358326068003507</v>
      </c>
      <c r="P31" s="19">
        <f t="shared" si="62"/>
        <v>8.9194107452339715</v>
      </c>
      <c r="Q31" s="19">
        <f t="shared" si="62"/>
        <v>12.250886524822697</v>
      </c>
      <c r="R31" s="19">
        <f t="shared" si="62"/>
        <v>11.385964912280702</v>
      </c>
      <c r="S31" s="19">
        <f t="shared" ref="S31" si="63">+S30/S32</f>
        <v>11.325877192982457</v>
      </c>
      <c r="T31" s="19">
        <f t="shared" ref="T31" si="64">+T30/T32</f>
        <v>10.878508771929825</v>
      </c>
      <c r="U31" s="19">
        <f t="shared" ref="U31" si="65">+U30/U32</f>
        <v>19.065921271929827</v>
      </c>
      <c r="V31" s="19">
        <f t="shared" ref="V31:X31" si="66">+V30/V32</f>
        <v>17.892274638157897</v>
      </c>
      <c r="W31" s="19">
        <f t="shared" si="66"/>
        <v>10.903508771929825</v>
      </c>
      <c r="X31" s="19">
        <f t="shared" si="66"/>
        <v>13.982456140350877</v>
      </c>
      <c r="Y31" s="19"/>
      <c r="Z31" s="19"/>
      <c r="AA31" s="19"/>
      <c r="AB31" s="19"/>
      <c r="AP31" s="25">
        <f>+AP30/AP32</f>
        <v>29.268186753528777</v>
      </c>
      <c r="AQ31" s="25">
        <f t="shared" ref="AQ31:AS31" si="67">+AQ30/AQ32</f>
        <v>73.558706247230845</v>
      </c>
      <c r="AR31" s="25">
        <f t="shared" si="67"/>
        <v>41.244911359159566</v>
      </c>
      <c r="AS31" s="25">
        <f t="shared" si="67"/>
        <v>59.162581875000001</v>
      </c>
    </row>
    <row r="32" spans="2:45" s="1" customFormat="1" x14ac:dyDescent="0.15">
      <c r="B32" s="1" t="s">
        <v>38</v>
      </c>
      <c r="C32" s="18"/>
      <c r="D32" s="18"/>
      <c r="E32" s="18"/>
      <c r="F32" s="18"/>
      <c r="G32" s="18">
        <v>115.1</v>
      </c>
      <c r="H32" s="18">
        <v>119.3</v>
      </c>
      <c r="I32" s="18">
        <v>113.9</v>
      </c>
      <c r="J32" s="18">
        <v>112.2</v>
      </c>
      <c r="K32" s="18">
        <v>112.1</v>
      </c>
      <c r="L32" s="18">
        <v>112.2</v>
      </c>
      <c r="M32" s="18">
        <v>113.9</v>
      </c>
      <c r="N32" s="18">
        <v>113.2</v>
      </c>
      <c r="O32" s="18">
        <v>114.7</v>
      </c>
      <c r="P32" s="18">
        <v>115.4</v>
      </c>
      <c r="Q32" s="18">
        <v>112.8</v>
      </c>
      <c r="R32" s="18">
        <v>114</v>
      </c>
      <c r="S32" s="18">
        <f t="shared" ref="S32:X32" si="68">+R32</f>
        <v>114</v>
      </c>
      <c r="T32" s="18">
        <f t="shared" si="68"/>
        <v>114</v>
      </c>
      <c r="U32" s="18">
        <f t="shared" si="68"/>
        <v>114</v>
      </c>
      <c r="V32" s="18">
        <f t="shared" si="68"/>
        <v>114</v>
      </c>
      <c r="W32" s="18">
        <f t="shared" si="68"/>
        <v>114</v>
      </c>
      <c r="X32" s="18">
        <f t="shared" si="68"/>
        <v>114</v>
      </c>
      <c r="Y32" s="18"/>
      <c r="Z32" s="18"/>
      <c r="AA32" s="18"/>
      <c r="AB32" s="18"/>
      <c r="AP32" s="1">
        <f>AVERAGE(G32:J32)</f>
        <v>115.12499999999999</v>
      </c>
      <c r="AQ32" s="1">
        <f>AVERAGE(K32:N32)</f>
        <v>112.85000000000001</v>
      </c>
      <c r="AR32" s="1">
        <f>AVERAGE(O32:R32)</f>
        <v>114.22500000000001</v>
      </c>
      <c r="AS32" s="1">
        <f>AVERAGE(S32:V32)</f>
        <v>114</v>
      </c>
    </row>
    <row r="34" spans="2:28" s="52" customFormat="1" x14ac:dyDescent="0.15">
      <c r="B34" s="20" t="s">
        <v>249</v>
      </c>
      <c r="C34" s="50"/>
      <c r="D34" s="50"/>
      <c r="E34" s="50"/>
      <c r="F34" s="50"/>
      <c r="G34" s="50"/>
      <c r="H34" s="50"/>
      <c r="I34" s="50"/>
      <c r="J34" s="50"/>
      <c r="K34" s="51">
        <f t="shared" ref="K34" si="69">K20/G20-1</f>
        <v>0.38354665791488918</v>
      </c>
      <c r="L34" s="51">
        <f t="shared" ref="L34" si="70">L20/H20-1</f>
        <v>1.6321262101111507</v>
      </c>
      <c r="M34" s="51">
        <f t="shared" ref="M34:O34" si="71">M20/I20-1</f>
        <v>0.50531868515127765</v>
      </c>
      <c r="N34" s="51">
        <f t="shared" si="71"/>
        <v>1.153106926990477</v>
      </c>
      <c r="O34" s="51">
        <f t="shared" si="71"/>
        <v>0.17241242982525495</v>
      </c>
      <c r="P34" s="51">
        <f>P20/L20-1</f>
        <v>-0.44412010819857162</v>
      </c>
      <c r="Q34" s="51">
        <f t="shared" ref="Q34" si="72">Q20/M20-1</f>
        <v>-0.14958440730979761</v>
      </c>
      <c r="R34" s="51">
        <f>R20/N20-1</f>
        <v>-0.31049177017065521</v>
      </c>
      <c r="S34" s="51">
        <f t="shared" ref="S34" si="73">S20/O20-1</f>
        <v>6.626201315123903E-2</v>
      </c>
      <c r="T34" s="51">
        <f t="shared" ref="T34" si="74">T20/P20-1</f>
        <v>0.10554874846840545</v>
      </c>
      <c r="U34" s="51">
        <f t="shared" ref="U34" si="75">U20/Q20-1</f>
        <v>0.14428722244925751</v>
      </c>
      <c r="V34" s="51">
        <f t="shared" ref="V34:X34" si="76">V20/R20-1</f>
        <v>-5.2137459359713478E-3</v>
      </c>
      <c r="W34" s="51">
        <f t="shared" si="76"/>
        <v>-5.3763440860215006E-3</v>
      </c>
      <c r="X34" s="51">
        <f t="shared" si="76"/>
        <v>0.12317922735908793</v>
      </c>
      <c r="Y34" s="51"/>
      <c r="Z34" s="51"/>
      <c r="AA34" s="51"/>
      <c r="AB34" s="51"/>
    </row>
    <row r="35" spans="2:28" s="52" customFormat="1" x14ac:dyDescent="0.15">
      <c r="B35" s="20" t="s">
        <v>257</v>
      </c>
      <c r="C35" s="50"/>
      <c r="D35" s="50"/>
      <c r="E35" s="50"/>
      <c r="F35" s="50"/>
      <c r="G35" s="50"/>
      <c r="H35" s="50"/>
      <c r="I35" s="50"/>
      <c r="J35" s="50"/>
      <c r="K35" s="49">
        <f t="shared" ref="K35" si="77">+K3/G3-1</f>
        <v>0.14931740614334466</v>
      </c>
      <c r="L35" s="49">
        <f t="shared" ref="L35" si="78">+L3/H3-1</f>
        <v>0.2791741472172351</v>
      </c>
      <c r="M35" s="49">
        <f>+M3/I3-1</f>
        <v>0.11760242792109254</v>
      </c>
      <c r="N35" s="49">
        <f t="shared" ref="N35:X35" si="79">+N3/J3-1</f>
        <v>0.15189873417721511</v>
      </c>
      <c r="O35" s="49">
        <f t="shared" si="79"/>
        <v>0.12694877505567925</v>
      </c>
      <c r="P35" s="49">
        <f t="shared" si="79"/>
        <v>0.13754385964912275</v>
      </c>
      <c r="Q35" s="49">
        <f t="shared" si="79"/>
        <v>0.10590631364562109</v>
      </c>
      <c r="R35" s="49">
        <f>+R3/N3-1</f>
        <v>-3.2967032967032961E-2</v>
      </c>
      <c r="S35" s="49">
        <f t="shared" si="79"/>
        <v>-5.5335968379446654E-2</v>
      </c>
      <c r="T35" s="49">
        <f t="shared" si="79"/>
        <v>-7.464528069093157E-2</v>
      </c>
      <c r="U35" s="49">
        <f t="shared" si="79"/>
        <v>0.10000000000000009</v>
      </c>
      <c r="V35" s="49">
        <f t="shared" si="79"/>
        <v>0.10000000000000009</v>
      </c>
      <c r="W35" s="49">
        <f t="shared" si="79"/>
        <v>-0.1617852161785216</v>
      </c>
      <c r="X35" s="49">
        <f t="shared" si="79"/>
        <v>-0.17933333333333334</v>
      </c>
      <c r="Y35" s="49"/>
      <c r="Z35" s="49"/>
      <c r="AA35" s="49"/>
      <c r="AB35" s="49"/>
    </row>
    <row r="36" spans="2:28" x14ac:dyDescent="0.15">
      <c r="B36" s="1" t="s">
        <v>250</v>
      </c>
      <c r="K36" s="49">
        <f t="shared" ref="K36" si="80">K10/G10-1</f>
        <v>0.47752126366950209</v>
      </c>
      <c r="L36" s="49">
        <f t="shared" ref="L36" si="81">L10/H10-1</f>
        <v>0.6265328874024525</v>
      </c>
      <c r="M36" s="49">
        <f>M10/I10-1</f>
        <v>0.64675912821964343</v>
      </c>
      <c r="N36" s="49">
        <f t="shared" ref="N36:Q36" si="82">N10/J10-1</f>
        <v>0.63323872595395758</v>
      </c>
      <c r="O36" s="49">
        <f t="shared" si="82"/>
        <v>0.72944078947368385</v>
      </c>
      <c r="P36" s="49">
        <f t="shared" si="82"/>
        <v>0.54786383367603375</v>
      </c>
      <c r="Q36" s="49">
        <f t="shared" si="82"/>
        <v>0.22275696115503596</v>
      </c>
      <c r="R36" s="49">
        <f>R10/N10-1</f>
        <v>0.61401815022205053</v>
      </c>
      <c r="S36" s="49">
        <f t="shared" ref="S36" si="83">S10/O10-1</f>
        <v>0.26485972420351889</v>
      </c>
      <c r="T36" s="49">
        <f t="shared" ref="T36" si="84">T10/P10-1</f>
        <v>0.39335793357933579</v>
      </c>
      <c r="U36" s="49">
        <f t="shared" ref="U36" si="85">U10/Q10-1</f>
        <v>0.19999999999999996</v>
      </c>
      <c r="V36" s="49">
        <f t="shared" ref="V36:X36" si="86">V10/R10-1</f>
        <v>0.19999999999999996</v>
      </c>
      <c r="W36" s="49">
        <f t="shared" si="86"/>
        <v>0.14035087719298245</v>
      </c>
      <c r="X36" s="49">
        <f t="shared" si="86"/>
        <v>0.21398305084745761</v>
      </c>
      <c r="Y36" s="49"/>
      <c r="Z36" s="49"/>
      <c r="AA36" s="49"/>
      <c r="AB36" s="49"/>
    </row>
    <row r="37" spans="2:28" x14ac:dyDescent="0.15">
      <c r="B37" s="1" t="s">
        <v>251</v>
      </c>
      <c r="K37" s="49">
        <f t="shared" ref="K37" si="87">K14/G14-1</f>
        <v>0.47707602339181299</v>
      </c>
      <c r="L37" s="49">
        <f t="shared" ref="L37" si="88">L14/H14-1</f>
        <v>0.58624338624338623</v>
      </c>
      <c r="M37" s="49">
        <f>M14/I14-1</f>
        <v>0.55034495618124213</v>
      </c>
      <c r="N37" s="49">
        <f t="shared" ref="N37:Q37" si="89">N14/J14-1</f>
        <v>0.51348122866894186</v>
      </c>
      <c r="O37" s="49">
        <f t="shared" si="89"/>
        <v>0.43352601156069359</v>
      </c>
      <c r="P37" s="49">
        <f t="shared" si="89"/>
        <v>0.39546364242828558</v>
      </c>
      <c r="Q37" s="49">
        <f t="shared" si="89"/>
        <v>0.40122677250586314</v>
      </c>
      <c r="R37" s="49">
        <f>R14/N14-1</f>
        <v>0.38059533205547424</v>
      </c>
      <c r="S37" s="49">
        <f t="shared" ref="S37" si="90">S14/O14-1</f>
        <v>-1</v>
      </c>
      <c r="T37" s="49">
        <f t="shared" ref="T37" si="91">T14/P14-1</f>
        <v>0.33349268572521273</v>
      </c>
      <c r="U37" s="49">
        <f t="shared" ref="U37" si="92">U14/Q14-1</f>
        <v>-1</v>
      </c>
      <c r="V37" s="49">
        <f t="shared" ref="V37:X37" si="93">V14/R14-1</f>
        <v>-1</v>
      </c>
      <c r="W37" s="49" t="e">
        <f t="shared" si="93"/>
        <v>#DIV/0!</v>
      </c>
      <c r="X37" s="49">
        <f t="shared" si="93"/>
        <v>0.2749695274969528</v>
      </c>
      <c r="Y37" s="49"/>
      <c r="Z37" s="49"/>
      <c r="AA37" s="49"/>
      <c r="AB37" s="49"/>
    </row>
    <row r="39" spans="2:28" x14ac:dyDescent="0.15">
      <c r="B39" s="1" t="s">
        <v>223</v>
      </c>
      <c r="G39" s="49">
        <f t="shared" ref="G39" si="94">+G22/G20</f>
        <v>0.88113991904605626</v>
      </c>
      <c r="H39" s="49">
        <f t="shared" ref="H39:O39" si="95">+H22/H20</f>
        <v>0.863648004917277</v>
      </c>
      <c r="I39" s="49">
        <f t="shared" si="95"/>
        <v>0.94681314848722642</v>
      </c>
      <c r="J39" s="49">
        <f t="shared" si="95"/>
        <v>0.85237204852806892</v>
      </c>
      <c r="K39" s="49">
        <f t="shared" si="95"/>
        <v>0.87823199177670597</v>
      </c>
      <c r="L39" s="49">
        <f t="shared" si="95"/>
        <v>0.86500476774281432</v>
      </c>
      <c r="M39" s="49">
        <f t="shared" si="95"/>
        <v>0.93512699470010718</v>
      </c>
      <c r="N39" s="49">
        <f t="shared" si="95"/>
        <v>0.85259012420478653</v>
      </c>
      <c r="O39" s="49">
        <f t="shared" si="95"/>
        <v>0.86346315966953291</v>
      </c>
      <c r="P39" s="49">
        <f>+P22/P20</f>
        <v>0.89599159810957474</v>
      </c>
      <c r="Q39" s="49">
        <f t="shared" ref="Q39" si="96">+Q22/Q20</f>
        <v>0.96287971665985561</v>
      </c>
      <c r="R39" s="49">
        <f>+R22/R20</f>
        <v>0.88658797340441109</v>
      </c>
      <c r="S39" s="49">
        <f>+S22/S20</f>
        <v>0.94686907020872868</v>
      </c>
      <c r="T39" s="49">
        <f>+T22/T20</f>
        <v>0.94838505383153893</v>
      </c>
      <c r="U39" s="49">
        <f>+U22/U20</f>
        <v>0.9</v>
      </c>
      <c r="V39" s="49">
        <f>+V22/V20</f>
        <v>0.9</v>
      </c>
      <c r="W39" s="49">
        <f>+W22/W20</f>
        <v>0.93767885532591411</v>
      </c>
      <c r="X39" s="49">
        <f>+X22/X20</f>
        <v>0.93966732449957713</v>
      </c>
      <c r="Y39" s="49"/>
      <c r="Z39" s="49"/>
      <c r="AA39" s="49"/>
      <c r="AB39" s="49"/>
    </row>
    <row r="46" spans="2:28" s="1" customFormat="1" x14ac:dyDescent="0.15">
      <c r="B46" s="1" t="s">
        <v>33</v>
      </c>
      <c r="C46" s="18"/>
      <c r="D46" s="18"/>
      <c r="E46" s="18"/>
      <c r="F46" s="18"/>
      <c r="G46" s="18"/>
      <c r="H46" s="18"/>
      <c r="I46" s="18"/>
      <c r="J46" s="18"/>
      <c r="K46" s="18"/>
      <c r="L46" s="18"/>
      <c r="M46" s="18"/>
      <c r="N46" s="18"/>
      <c r="O46" s="18"/>
      <c r="P46" s="18"/>
      <c r="Q46" s="18"/>
      <c r="R46" s="18">
        <f>3105.9+4636.4+6591.8</f>
        <v>14334.099999999999</v>
      </c>
      <c r="X46" s="1">
        <v>17531</v>
      </c>
    </row>
    <row r="47" spans="2:28" s="1" customFormat="1" x14ac:dyDescent="0.15">
      <c r="B47" s="1" t="s">
        <v>313</v>
      </c>
      <c r="C47" s="18"/>
      <c r="D47" s="18"/>
      <c r="E47" s="18"/>
      <c r="F47" s="18"/>
      <c r="G47" s="18"/>
      <c r="H47" s="18"/>
      <c r="I47" s="18"/>
      <c r="J47" s="18"/>
      <c r="K47" s="18"/>
      <c r="L47" s="18"/>
      <c r="M47" s="18"/>
      <c r="N47" s="18"/>
      <c r="O47" s="18"/>
      <c r="P47" s="18"/>
      <c r="Q47" s="18"/>
      <c r="R47" s="18">
        <v>5328.7</v>
      </c>
    </row>
    <row r="48" spans="2:28" s="1" customFormat="1" x14ac:dyDescent="0.15">
      <c r="B48" s="1" t="s">
        <v>314</v>
      </c>
      <c r="C48" s="18"/>
      <c r="D48" s="18"/>
      <c r="E48" s="18"/>
      <c r="F48" s="18"/>
      <c r="G48" s="18"/>
      <c r="H48" s="18"/>
      <c r="I48" s="18"/>
      <c r="J48" s="18"/>
      <c r="K48" s="18"/>
      <c r="L48" s="18"/>
      <c r="M48" s="18"/>
      <c r="N48" s="18"/>
      <c r="O48" s="18"/>
      <c r="P48" s="18"/>
      <c r="Q48" s="18"/>
      <c r="R48" s="18">
        <v>2401.9</v>
      </c>
    </row>
    <row r="49" spans="2:24" s="1" customFormat="1" x14ac:dyDescent="0.15">
      <c r="B49" s="1" t="s">
        <v>315</v>
      </c>
      <c r="C49" s="18"/>
      <c r="D49" s="18"/>
      <c r="E49" s="18"/>
      <c r="F49" s="18"/>
      <c r="G49" s="18"/>
      <c r="H49" s="18"/>
      <c r="I49" s="18"/>
      <c r="J49" s="18"/>
      <c r="K49" s="18"/>
      <c r="L49" s="18"/>
      <c r="M49" s="18"/>
      <c r="N49" s="18"/>
      <c r="O49" s="18"/>
      <c r="P49" s="18"/>
      <c r="Q49" s="18"/>
      <c r="R49" s="18">
        <v>411.2</v>
      </c>
    </row>
    <row r="50" spans="2:24" s="1" customFormat="1" x14ac:dyDescent="0.15">
      <c r="B50" s="1" t="s">
        <v>316</v>
      </c>
      <c r="C50" s="18"/>
      <c r="D50" s="18"/>
      <c r="E50" s="18"/>
      <c r="F50" s="18"/>
      <c r="G50" s="18"/>
      <c r="H50" s="18"/>
      <c r="I50" s="18"/>
      <c r="J50" s="18"/>
      <c r="K50" s="18"/>
      <c r="L50" s="18"/>
      <c r="M50" s="18"/>
      <c r="N50" s="18"/>
      <c r="O50" s="18"/>
      <c r="P50" s="18"/>
      <c r="Q50" s="18"/>
      <c r="R50" s="18">
        <v>3763</v>
      </c>
    </row>
    <row r="51" spans="2:24" s="1" customFormat="1" x14ac:dyDescent="0.15">
      <c r="B51" s="1" t="s">
        <v>317</v>
      </c>
      <c r="C51" s="18"/>
      <c r="D51" s="18"/>
      <c r="E51" s="18"/>
      <c r="F51" s="18"/>
      <c r="G51" s="18"/>
      <c r="H51" s="18"/>
      <c r="I51" s="18"/>
      <c r="J51" s="18"/>
      <c r="K51" s="18"/>
      <c r="L51" s="18"/>
      <c r="M51" s="18"/>
      <c r="N51" s="18"/>
      <c r="O51" s="18"/>
      <c r="P51" s="18"/>
      <c r="Q51" s="18"/>
      <c r="R51" s="18">
        <v>915.5</v>
      </c>
    </row>
    <row r="52" spans="2:24" s="1" customFormat="1" x14ac:dyDescent="0.15">
      <c r="B52" s="1" t="s">
        <v>230</v>
      </c>
      <c r="C52" s="18"/>
      <c r="D52" s="18"/>
      <c r="E52" s="18"/>
      <c r="F52" s="18"/>
      <c r="G52" s="18"/>
      <c r="H52" s="18"/>
      <c r="I52" s="18"/>
      <c r="J52" s="18"/>
      <c r="K52" s="18"/>
      <c r="L52" s="18"/>
      <c r="M52" s="18"/>
      <c r="N52" s="18"/>
      <c r="O52" s="18"/>
      <c r="P52" s="18"/>
      <c r="Q52" s="18"/>
      <c r="R52" s="18">
        <v>1723.7</v>
      </c>
    </row>
    <row r="53" spans="2:24" s="1" customFormat="1" x14ac:dyDescent="0.15">
      <c r="B53" s="1" t="s">
        <v>318</v>
      </c>
      <c r="C53" s="18"/>
      <c r="D53" s="18"/>
      <c r="E53" s="18"/>
      <c r="F53" s="18"/>
      <c r="G53" s="18"/>
      <c r="H53" s="18"/>
      <c r="I53" s="18"/>
      <c r="J53" s="18"/>
      <c r="K53" s="18"/>
      <c r="L53" s="18"/>
      <c r="M53" s="18"/>
      <c r="N53" s="18"/>
      <c r="O53" s="18"/>
      <c r="P53" s="18"/>
      <c r="Q53" s="18"/>
      <c r="R53" s="18">
        <v>336.4</v>
      </c>
    </row>
    <row r="54" spans="2:24" s="1" customFormat="1" x14ac:dyDescent="0.15">
      <c r="B54" s="1" t="s">
        <v>319</v>
      </c>
      <c r="C54" s="18"/>
      <c r="D54" s="18"/>
      <c r="E54" s="18"/>
      <c r="F54" s="18"/>
      <c r="G54" s="18"/>
      <c r="H54" s="18"/>
      <c r="I54" s="18"/>
      <c r="J54" s="18"/>
      <c r="K54" s="18"/>
      <c r="L54" s="18"/>
      <c r="M54" s="18"/>
      <c r="N54" s="18"/>
      <c r="O54" s="18"/>
      <c r="P54" s="18"/>
      <c r="Q54" s="18"/>
      <c r="R54" s="18">
        <f>SUM(R46:R53)</f>
        <v>29214.500000000004</v>
      </c>
    </row>
    <row r="55" spans="2:24" x14ac:dyDescent="0.15">
      <c r="X55" s="1"/>
    </row>
    <row r="56" spans="2:24" x14ac:dyDescent="0.15">
      <c r="B56" s="1" t="s">
        <v>320</v>
      </c>
      <c r="R56" s="18">
        <v>589.20000000000005</v>
      </c>
      <c r="X56" s="1"/>
    </row>
    <row r="57" spans="2:24" x14ac:dyDescent="0.15">
      <c r="B57" s="1" t="s">
        <v>321</v>
      </c>
      <c r="R57" s="18">
        <v>2074.1999999999998</v>
      </c>
      <c r="X57" s="1"/>
    </row>
    <row r="58" spans="2:24" x14ac:dyDescent="0.15">
      <c r="B58" s="1" t="s">
        <v>322</v>
      </c>
      <c r="R58" s="18">
        <f>477.9+69.8</f>
        <v>547.69999999999993</v>
      </c>
      <c r="X58" s="1"/>
    </row>
    <row r="59" spans="2:24" x14ac:dyDescent="0.15">
      <c r="B59" t="s">
        <v>29</v>
      </c>
      <c r="R59" s="18">
        <v>1981.4</v>
      </c>
      <c r="X59" s="1">
        <v>1983.6</v>
      </c>
    </row>
    <row r="60" spans="2:24" x14ac:dyDescent="0.15">
      <c r="B60" s="1" t="s">
        <v>323</v>
      </c>
      <c r="R60" s="18">
        <v>720</v>
      </c>
      <c r="X60" s="1"/>
    </row>
    <row r="61" spans="2:24" x14ac:dyDescent="0.15">
      <c r="B61" s="1" t="s">
        <v>326</v>
      </c>
      <c r="R61" s="18">
        <v>638</v>
      </c>
    </row>
    <row r="62" spans="2:24" x14ac:dyDescent="0.15">
      <c r="B62" s="1" t="s">
        <v>325</v>
      </c>
      <c r="R62" s="18">
        <v>22664</v>
      </c>
    </row>
    <row r="63" spans="2:24" x14ac:dyDescent="0.15">
      <c r="B63" t="s">
        <v>324</v>
      </c>
      <c r="R63" s="18">
        <f>SUM(R56:R62)</f>
        <v>29214.5</v>
      </c>
    </row>
  </sheetData>
  <hyperlinks>
    <hyperlink ref="A1" location="Main!A1" display="Main" xr:uid="{D2C01981-FEC3-4A39-A852-FDD02C9DCC1E}"/>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C15"/>
  <sheetViews>
    <sheetView workbookViewId="0"/>
  </sheetViews>
  <sheetFormatPr baseColWidth="10" defaultColWidth="9.1640625" defaultRowHeight="13" x14ac:dyDescent="0.15"/>
  <cols>
    <col min="1" max="1" width="5" style="12" bestFit="1" customWidth="1"/>
    <col min="2" max="2" width="12.83203125" style="12" bestFit="1" customWidth="1"/>
    <col min="3" max="16384" width="9.1640625" style="12"/>
  </cols>
  <sheetData>
    <row r="1" spans="1:3" x14ac:dyDescent="0.15">
      <c r="A1" s="16" t="s">
        <v>79</v>
      </c>
    </row>
    <row r="2" spans="1:3" x14ac:dyDescent="0.15">
      <c r="B2" s="12" t="s">
        <v>78</v>
      </c>
      <c r="C2" s="12" t="s">
        <v>202</v>
      </c>
    </row>
    <row r="3" spans="1:3" x14ac:dyDescent="0.15">
      <c r="B3" s="12" t="s">
        <v>76</v>
      </c>
      <c r="C3" s="12" t="s">
        <v>203</v>
      </c>
    </row>
    <row r="4" spans="1:3" x14ac:dyDescent="0.15">
      <c r="B4" s="12" t="s">
        <v>44</v>
      </c>
      <c r="C4" s="12" t="s">
        <v>201</v>
      </c>
    </row>
    <row r="5" spans="1:3" x14ac:dyDescent="0.15">
      <c r="B5" s="12" t="s">
        <v>48</v>
      </c>
      <c r="C5" s="12" t="s">
        <v>200</v>
      </c>
    </row>
    <row r="6" spans="1:3" x14ac:dyDescent="0.15">
      <c r="B6" s="12" t="s">
        <v>46</v>
      </c>
    </row>
    <row r="7" spans="1:3" x14ac:dyDescent="0.15">
      <c r="B7" s="12" t="s">
        <v>45</v>
      </c>
    </row>
    <row r="8" spans="1:3" x14ac:dyDescent="0.15">
      <c r="B8" s="12" t="s">
        <v>134</v>
      </c>
    </row>
    <row r="9" spans="1:3" x14ac:dyDescent="0.15">
      <c r="B9" s="12" t="s">
        <v>66</v>
      </c>
    </row>
    <row r="11" spans="1:3" x14ac:dyDescent="0.15">
      <c r="C11" s="13" t="s">
        <v>199</v>
      </c>
    </row>
    <row r="15" spans="1:3" x14ac:dyDescent="0.15">
      <c r="C15" s="13" t="s">
        <v>198</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68"/>
  <sheetViews>
    <sheetView zoomScaleNormal="100" workbookViewId="0">
      <selection activeCell="C54" sqref="C54"/>
    </sheetView>
  </sheetViews>
  <sheetFormatPr baseColWidth="10" defaultColWidth="9.1640625" defaultRowHeight="13" x14ac:dyDescent="0.15"/>
  <cols>
    <col min="1" max="1" width="5" style="2" bestFit="1" customWidth="1"/>
    <col min="2" max="2" width="13.1640625" style="2" customWidth="1"/>
    <col min="3" max="6" width="9.1640625" style="2"/>
    <col min="7" max="7" width="12.83203125" style="2" bestFit="1" customWidth="1"/>
    <col min="8" max="8" width="9.1640625" style="2"/>
    <col min="9" max="9" width="12.6640625" style="2" bestFit="1" customWidth="1"/>
    <col min="10" max="10" width="14.5" style="2" bestFit="1" customWidth="1"/>
    <col min="11" max="11" width="12.6640625" style="2" bestFit="1" customWidth="1"/>
    <col min="12" max="16384" width="9.1640625" style="2"/>
  </cols>
  <sheetData>
    <row r="1" spans="1:11" x14ac:dyDescent="0.15">
      <c r="A1" s="8" t="s">
        <v>79</v>
      </c>
    </row>
    <row r="2" spans="1:11" x14ac:dyDescent="0.15">
      <c r="B2" s="2" t="s">
        <v>78</v>
      </c>
      <c r="C2" s="2" t="s">
        <v>32</v>
      </c>
    </row>
    <row r="3" spans="1:11" x14ac:dyDescent="0.15">
      <c r="B3" s="2" t="s">
        <v>76</v>
      </c>
      <c r="C3" s="12" t="s">
        <v>138</v>
      </c>
    </row>
    <row r="4" spans="1:11" x14ac:dyDescent="0.15">
      <c r="B4" s="2" t="s">
        <v>44</v>
      </c>
      <c r="C4" s="2" t="s">
        <v>137</v>
      </c>
    </row>
    <row r="5" spans="1:11" x14ac:dyDescent="0.15">
      <c r="B5" s="2" t="s">
        <v>48</v>
      </c>
      <c r="C5" s="2" t="s">
        <v>31</v>
      </c>
    </row>
    <row r="6" spans="1:11" x14ac:dyDescent="0.15">
      <c r="B6" s="2" t="s">
        <v>46</v>
      </c>
      <c r="C6" s="2" t="s">
        <v>136</v>
      </c>
    </row>
    <row r="7" spans="1:11" x14ac:dyDescent="0.15">
      <c r="B7" s="2" t="s">
        <v>45</v>
      </c>
      <c r="C7" s="2" t="s">
        <v>135</v>
      </c>
    </row>
    <row r="8" spans="1:11" x14ac:dyDescent="0.15">
      <c r="B8" s="2" t="s">
        <v>134</v>
      </c>
      <c r="C8" s="2" t="s">
        <v>133</v>
      </c>
    </row>
    <row r="9" spans="1:11" x14ac:dyDescent="0.15">
      <c r="B9" s="2" t="s">
        <v>66</v>
      </c>
      <c r="C9" s="2" t="s">
        <v>132</v>
      </c>
    </row>
    <row r="11" spans="1:11" x14ac:dyDescent="0.15">
      <c r="C11" s="5" t="s">
        <v>131</v>
      </c>
    </row>
    <row r="12" spans="1:11" x14ac:dyDescent="0.15">
      <c r="C12" s="2" t="s">
        <v>130</v>
      </c>
    </row>
    <row r="13" spans="1:11" x14ac:dyDescent="0.15">
      <c r="C13" s="2" t="s">
        <v>124</v>
      </c>
    </row>
    <row r="14" spans="1:11" x14ac:dyDescent="0.15">
      <c r="C14" s="2" t="s">
        <v>123</v>
      </c>
    </row>
    <row r="15" spans="1:11" x14ac:dyDescent="0.15">
      <c r="C15" s="2" t="s">
        <v>122</v>
      </c>
    </row>
    <row r="16" spans="1:11" x14ac:dyDescent="0.15">
      <c r="C16" s="2" t="s">
        <v>121</v>
      </c>
      <c r="H16" s="2" t="s">
        <v>119</v>
      </c>
      <c r="I16" s="2" t="s">
        <v>118</v>
      </c>
      <c r="J16" s="2" t="s">
        <v>116</v>
      </c>
      <c r="K16" s="2" t="s">
        <v>114</v>
      </c>
    </row>
    <row r="17" spans="3:12" x14ac:dyDescent="0.15">
      <c r="C17" s="2" t="s">
        <v>120</v>
      </c>
      <c r="E17" s="11">
        <v>0.93</v>
      </c>
      <c r="G17" s="2" t="s">
        <v>117</v>
      </c>
      <c r="H17" s="9">
        <v>304</v>
      </c>
      <c r="I17" s="9">
        <v>304</v>
      </c>
      <c r="J17" s="9">
        <v>301</v>
      </c>
      <c r="K17" s="9">
        <v>301</v>
      </c>
    </row>
    <row r="18" spans="3:12" x14ac:dyDescent="0.15">
      <c r="C18" s="2" t="s">
        <v>118</v>
      </c>
      <c r="E18" s="11">
        <v>0.96</v>
      </c>
      <c r="G18" s="2" t="s">
        <v>115</v>
      </c>
      <c r="H18" s="9">
        <v>78</v>
      </c>
      <c r="I18" s="9">
        <v>78</v>
      </c>
      <c r="J18" s="9">
        <v>78</v>
      </c>
      <c r="K18" s="9">
        <v>78</v>
      </c>
    </row>
    <row r="19" spans="3:12" x14ac:dyDescent="0.15">
      <c r="C19" s="2" t="s">
        <v>116</v>
      </c>
      <c r="E19" s="11">
        <v>0.91</v>
      </c>
      <c r="G19" s="2" t="s">
        <v>129</v>
      </c>
      <c r="H19" s="9">
        <v>57</v>
      </c>
      <c r="I19" s="9">
        <v>64</v>
      </c>
      <c r="J19" s="9">
        <v>56</v>
      </c>
      <c r="K19" s="9">
        <v>59</v>
      </c>
    </row>
    <row r="20" spans="3:12" x14ac:dyDescent="0.15">
      <c r="C20" s="2" t="s">
        <v>114</v>
      </c>
      <c r="E20" s="11">
        <v>0.91</v>
      </c>
      <c r="G20" s="2" t="s">
        <v>112</v>
      </c>
      <c r="H20" s="9">
        <v>54</v>
      </c>
      <c r="I20" s="9">
        <v>55</v>
      </c>
      <c r="J20" s="9">
        <v>56</v>
      </c>
      <c r="K20" s="9">
        <v>56</v>
      </c>
    </row>
    <row r="21" spans="3:12" x14ac:dyDescent="0.15">
      <c r="G21" s="4" t="s">
        <v>111</v>
      </c>
      <c r="H21" s="10">
        <v>0.94</v>
      </c>
      <c r="I21" s="10">
        <v>0.95</v>
      </c>
      <c r="J21" s="10">
        <v>0.96</v>
      </c>
      <c r="K21" s="10">
        <v>0.96</v>
      </c>
    </row>
    <row r="22" spans="3:12" x14ac:dyDescent="0.15">
      <c r="G22" s="4" t="s">
        <v>110</v>
      </c>
      <c r="H22" s="9">
        <v>8.1</v>
      </c>
      <c r="I22" s="9">
        <v>10.9</v>
      </c>
      <c r="J22" s="9" t="s">
        <v>128</v>
      </c>
      <c r="K22" s="9" t="s">
        <v>127</v>
      </c>
      <c r="L22" s="2" t="s">
        <v>106</v>
      </c>
    </row>
    <row r="23" spans="3:12" x14ac:dyDescent="0.15">
      <c r="G23" s="4" t="s">
        <v>105</v>
      </c>
      <c r="H23" s="9">
        <v>31</v>
      </c>
      <c r="I23" s="9">
        <v>38</v>
      </c>
      <c r="J23" s="9">
        <v>25</v>
      </c>
      <c r="K23" s="9">
        <v>31</v>
      </c>
    </row>
    <row r="24" spans="3:12" x14ac:dyDescent="0.15">
      <c r="H24" s="9"/>
      <c r="I24" s="9"/>
      <c r="J24" s="9"/>
      <c r="K24" s="9"/>
    </row>
    <row r="25" spans="3:12" x14ac:dyDescent="0.15">
      <c r="C25" s="5" t="s">
        <v>126</v>
      </c>
    </row>
    <row r="26" spans="3:12" x14ac:dyDescent="0.15">
      <c r="C26" s="2" t="s">
        <v>125</v>
      </c>
    </row>
    <row r="27" spans="3:12" x14ac:dyDescent="0.15">
      <c r="C27" s="2" t="s">
        <v>124</v>
      </c>
    </row>
    <row r="28" spans="3:12" x14ac:dyDescent="0.15">
      <c r="C28" s="2" t="s">
        <v>123</v>
      </c>
    </row>
    <row r="29" spans="3:12" x14ac:dyDescent="0.15">
      <c r="C29" s="2" t="s">
        <v>122</v>
      </c>
    </row>
    <row r="30" spans="3:12" x14ac:dyDescent="0.15">
      <c r="C30" s="2" t="s">
        <v>121</v>
      </c>
    </row>
    <row r="31" spans="3:12" x14ac:dyDescent="0.15">
      <c r="C31" s="2" t="s">
        <v>120</v>
      </c>
      <c r="E31" s="11">
        <v>0.91</v>
      </c>
      <c r="H31" s="2" t="s">
        <v>119</v>
      </c>
      <c r="I31" s="2" t="s">
        <v>118</v>
      </c>
      <c r="J31" s="2" t="s">
        <v>116</v>
      </c>
      <c r="K31" s="2" t="s">
        <v>114</v>
      </c>
    </row>
    <row r="32" spans="3:12" x14ac:dyDescent="0.15">
      <c r="C32" s="2" t="s">
        <v>118</v>
      </c>
      <c r="E32" s="11">
        <v>0.9</v>
      </c>
      <c r="G32" s="2" t="s">
        <v>117</v>
      </c>
      <c r="H32" s="9">
        <v>291</v>
      </c>
      <c r="I32" s="9">
        <v>309</v>
      </c>
      <c r="J32" s="9">
        <v>296</v>
      </c>
      <c r="K32" s="9">
        <v>306</v>
      </c>
    </row>
    <row r="33" spans="3:12" x14ac:dyDescent="0.15">
      <c r="C33" s="2" t="s">
        <v>116</v>
      </c>
      <c r="E33" s="11">
        <v>0.88</v>
      </c>
      <c r="G33" s="2" t="s">
        <v>115</v>
      </c>
      <c r="H33" s="9">
        <v>73</v>
      </c>
      <c r="I33" s="9">
        <v>74</v>
      </c>
      <c r="J33" s="9">
        <v>75</v>
      </c>
      <c r="K33" s="9">
        <v>74</v>
      </c>
    </row>
    <row r="34" spans="3:12" x14ac:dyDescent="0.15">
      <c r="C34" s="2" t="s">
        <v>114</v>
      </c>
      <c r="E34" s="11">
        <v>0.91</v>
      </c>
      <c r="G34" s="2" t="s">
        <v>113</v>
      </c>
      <c r="H34" s="9">
        <v>58</v>
      </c>
      <c r="I34" s="9">
        <v>57</v>
      </c>
      <c r="J34" s="9">
        <v>50</v>
      </c>
      <c r="K34" s="9">
        <v>57</v>
      </c>
    </row>
    <row r="35" spans="3:12" x14ac:dyDescent="0.15">
      <c r="G35" s="2" t="s">
        <v>112</v>
      </c>
      <c r="H35" s="9">
        <v>54</v>
      </c>
      <c r="I35" s="9">
        <v>53</v>
      </c>
      <c r="J35" s="9">
        <v>52</v>
      </c>
      <c r="K35" s="9">
        <v>52</v>
      </c>
    </row>
    <row r="36" spans="3:12" x14ac:dyDescent="0.15">
      <c r="G36" s="4" t="s">
        <v>111</v>
      </c>
      <c r="H36" s="10">
        <v>0.94</v>
      </c>
      <c r="I36" s="10">
        <v>0.95</v>
      </c>
      <c r="J36" s="10">
        <v>0.96</v>
      </c>
      <c r="K36" s="10">
        <v>0.96</v>
      </c>
    </row>
    <row r="37" spans="3:12" x14ac:dyDescent="0.15">
      <c r="G37" s="4" t="s">
        <v>110</v>
      </c>
      <c r="H37" s="9">
        <v>9.4</v>
      </c>
      <c r="I37" s="9" t="s">
        <v>109</v>
      </c>
      <c r="J37" s="9" t="s">
        <v>108</v>
      </c>
      <c r="K37" s="9" t="s">
        <v>107</v>
      </c>
      <c r="L37" s="2" t="s">
        <v>106</v>
      </c>
    </row>
    <row r="38" spans="3:12" x14ac:dyDescent="0.15">
      <c r="G38" s="4" t="s">
        <v>105</v>
      </c>
      <c r="H38" s="9">
        <v>34</v>
      </c>
      <c r="I38" s="9">
        <v>29</v>
      </c>
      <c r="J38" s="9">
        <v>35</v>
      </c>
      <c r="K38" s="9">
        <v>31</v>
      </c>
    </row>
    <row r="39" spans="3:12" x14ac:dyDescent="0.15">
      <c r="G39" s="4"/>
      <c r="H39" s="9"/>
      <c r="I39" s="9"/>
      <c r="J39" s="9"/>
      <c r="K39" s="9"/>
    </row>
    <row r="40" spans="3:12" x14ac:dyDescent="0.15">
      <c r="C40" s="5" t="s">
        <v>104</v>
      </c>
      <c r="G40" s="4"/>
      <c r="H40" s="9"/>
      <c r="I40" s="9"/>
      <c r="J40" s="9"/>
      <c r="K40" s="9"/>
    </row>
    <row r="41" spans="3:12" x14ac:dyDescent="0.15">
      <c r="C41" s="2" t="s">
        <v>103</v>
      </c>
      <c r="G41" s="4"/>
      <c r="H41" s="9"/>
      <c r="I41" s="9"/>
      <c r="J41" s="9"/>
      <c r="K41" s="9"/>
    </row>
    <row r="42" spans="3:12" x14ac:dyDescent="0.15">
      <c r="C42" s="2" t="s">
        <v>102</v>
      </c>
      <c r="G42" s="4"/>
      <c r="H42" s="9"/>
      <c r="I42" s="9"/>
      <c r="J42" s="9"/>
      <c r="K42" s="9"/>
    </row>
    <row r="43" spans="3:12" x14ac:dyDescent="0.15">
      <c r="C43" s="2" t="s">
        <v>101</v>
      </c>
      <c r="G43" s="4"/>
      <c r="H43" s="9"/>
      <c r="I43" s="9"/>
      <c r="J43" s="9"/>
      <c r="K43" s="9"/>
    </row>
    <row r="44" spans="3:12" x14ac:dyDescent="0.15">
      <c r="G44" s="4"/>
      <c r="H44" s="9"/>
      <c r="I44" s="9"/>
      <c r="J44" s="9"/>
      <c r="K44" s="9"/>
    </row>
    <row r="45" spans="3:12" x14ac:dyDescent="0.15">
      <c r="C45" s="5" t="s">
        <v>100</v>
      </c>
      <c r="G45" s="4"/>
      <c r="H45" s="9"/>
      <c r="I45" s="9"/>
      <c r="J45" s="9"/>
      <c r="K45" s="9"/>
    </row>
    <row r="46" spans="3:12" x14ac:dyDescent="0.15">
      <c r="C46" s="2" t="s">
        <v>99</v>
      </c>
      <c r="G46" s="4"/>
      <c r="H46" s="9"/>
      <c r="I46" s="9"/>
      <c r="J46" s="9"/>
      <c r="K46" s="9"/>
    </row>
    <row r="47" spans="3:12" x14ac:dyDescent="0.15">
      <c r="C47" s="2" t="s">
        <v>98</v>
      </c>
      <c r="G47" s="4"/>
      <c r="H47" s="9"/>
      <c r="I47" s="9"/>
      <c r="J47" s="9"/>
      <c r="K47" s="9"/>
    </row>
    <row r="48" spans="3:12" x14ac:dyDescent="0.15">
      <c r="C48" s="2" t="s">
        <v>97</v>
      </c>
      <c r="G48" s="4"/>
      <c r="H48" s="9"/>
      <c r="I48" s="9"/>
      <c r="J48" s="9"/>
      <c r="K48" s="9"/>
    </row>
    <row r="49" spans="3:11" x14ac:dyDescent="0.15">
      <c r="C49" s="2" t="s">
        <v>96</v>
      </c>
      <c r="G49" s="4"/>
      <c r="H49" s="9"/>
      <c r="I49" s="9"/>
      <c r="J49" s="9"/>
      <c r="K49" s="9"/>
    </row>
    <row r="50" spans="3:11" x14ac:dyDescent="0.15">
      <c r="C50" s="2" t="s">
        <v>95</v>
      </c>
      <c r="G50" s="4"/>
      <c r="H50" s="9"/>
      <c r="I50" s="9"/>
      <c r="J50" s="9"/>
      <c r="K50" s="9"/>
    </row>
    <row r="51" spans="3:11" x14ac:dyDescent="0.15">
      <c r="C51" s="2" t="s">
        <v>94</v>
      </c>
      <c r="G51" s="4"/>
      <c r="H51" s="9"/>
      <c r="I51" s="9"/>
      <c r="J51" s="9"/>
      <c r="K51" s="9"/>
    </row>
    <row r="52" spans="3:11" x14ac:dyDescent="0.15">
      <c r="C52" s="2" t="s">
        <v>93</v>
      </c>
      <c r="G52" s="4"/>
      <c r="H52" s="9"/>
      <c r="I52" s="9"/>
      <c r="J52" s="9"/>
      <c r="K52" s="9"/>
    </row>
    <row r="53" spans="3:11" x14ac:dyDescent="0.15">
      <c r="C53" s="2" t="s">
        <v>92</v>
      </c>
      <c r="G53" s="4"/>
      <c r="H53" s="9"/>
      <c r="I53" s="9"/>
      <c r="J53" s="9"/>
      <c r="K53" s="9"/>
    </row>
    <row r="54" spans="3:11" x14ac:dyDescent="0.15">
      <c r="C54" s="2" t="s">
        <v>91</v>
      </c>
      <c r="G54" s="4"/>
      <c r="H54" s="9"/>
      <c r="I54" s="9"/>
      <c r="J54" s="9"/>
      <c r="K54" s="9"/>
    </row>
    <row r="56" spans="3:11" x14ac:dyDescent="0.15">
      <c r="C56" s="5" t="s">
        <v>90</v>
      </c>
    </row>
    <row r="57" spans="3:11" x14ac:dyDescent="0.15">
      <c r="C57" s="2" t="s">
        <v>89</v>
      </c>
    </row>
    <row r="59" spans="3:11" x14ac:dyDescent="0.15">
      <c r="C59" s="5" t="s">
        <v>88</v>
      </c>
    </row>
    <row r="60" spans="3:11" x14ac:dyDescent="0.15">
      <c r="C60" s="2" t="s">
        <v>87</v>
      </c>
    </row>
    <row r="61" spans="3:11" x14ac:dyDescent="0.15">
      <c r="C61" s="2" t="s">
        <v>86</v>
      </c>
    </row>
    <row r="62" spans="3:11" x14ac:dyDescent="0.15">
      <c r="C62" s="2" t="s">
        <v>85</v>
      </c>
    </row>
    <row r="64" spans="3:11" x14ac:dyDescent="0.15">
      <c r="C64" s="2" t="s">
        <v>84</v>
      </c>
    </row>
    <row r="65" spans="3:3" x14ac:dyDescent="0.15">
      <c r="C65" s="2" t="s">
        <v>83</v>
      </c>
    </row>
    <row r="66" spans="3:3" x14ac:dyDescent="0.15">
      <c r="C66" s="2" t="s">
        <v>82</v>
      </c>
    </row>
    <row r="67" spans="3:3" x14ac:dyDescent="0.15">
      <c r="C67" s="2" t="s">
        <v>81</v>
      </c>
    </row>
    <row r="68" spans="3:3" x14ac:dyDescent="0.15">
      <c r="C68" s="2" t="s">
        <v>80</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baseColWidth="10" defaultColWidth="9.1640625" defaultRowHeight="13" x14ac:dyDescent="0.15"/>
  <cols>
    <col min="1" max="1" width="5" style="2" bestFit="1" customWidth="1"/>
    <col min="2" max="2" width="12.83203125" style="2" bestFit="1" customWidth="1"/>
    <col min="3" max="4" width="9.1640625" style="2"/>
    <col min="5" max="5" width="13.6640625" style="2" bestFit="1" customWidth="1"/>
    <col min="6" max="16384" width="9.1640625" style="2"/>
  </cols>
  <sheetData>
    <row r="1" spans="1:4" x14ac:dyDescent="0.15">
      <c r="A1" s="8" t="s">
        <v>79</v>
      </c>
    </row>
    <row r="2" spans="1:4" x14ac:dyDescent="0.15">
      <c r="B2" s="2" t="s">
        <v>78</v>
      </c>
      <c r="C2" s="2" t="s">
        <v>77</v>
      </c>
    </row>
    <row r="3" spans="1:4" x14ac:dyDescent="0.15">
      <c r="B3" s="2" t="s">
        <v>76</v>
      </c>
      <c r="C3" s="2" t="s">
        <v>75</v>
      </c>
    </row>
    <row r="4" spans="1:4" x14ac:dyDescent="0.15">
      <c r="B4" s="2" t="s">
        <v>48</v>
      </c>
      <c r="C4" s="2" t="s">
        <v>74</v>
      </c>
    </row>
    <row r="5" spans="1:4" x14ac:dyDescent="0.15">
      <c r="C5" s="2" t="s">
        <v>73</v>
      </c>
    </row>
    <row r="6" spans="1:4" x14ac:dyDescent="0.15">
      <c r="B6" s="2" t="s">
        <v>44</v>
      </c>
      <c r="C6" s="2" t="s">
        <v>72</v>
      </c>
    </row>
    <row r="7" spans="1:4" x14ac:dyDescent="0.15">
      <c r="C7" s="2" t="s">
        <v>71</v>
      </c>
    </row>
    <row r="8" spans="1:4" x14ac:dyDescent="0.15">
      <c r="C8" s="2" t="s">
        <v>70</v>
      </c>
    </row>
    <row r="9" spans="1:4" x14ac:dyDescent="0.15">
      <c r="C9" s="2" t="s">
        <v>69</v>
      </c>
    </row>
    <row r="10" spans="1:4" x14ac:dyDescent="0.15">
      <c r="C10" s="2" t="s">
        <v>68</v>
      </c>
    </row>
    <row r="11" spans="1:4" x14ac:dyDescent="0.15">
      <c r="C11" s="2" t="s">
        <v>67</v>
      </c>
    </row>
    <row r="12" spans="1:4" x14ac:dyDescent="0.15">
      <c r="B12" s="2" t="s">
        <v>66</v>
      </c>
    </row>
    <row r="13" spans="1:4" x14ac:dyDescent="0.15">
      <c r="C13" s="7" t="s">
        <v>65</v>
      </c>
    </row>
    <row r="14" spans="1:4" x14ac:dyDescent="0.15">
      <c r="C14" s="2" t="s">
        <v>64</v>
      </c>
    </row>
    <row r="15" spans="1:4" x14ac:dyDescent="0.15">
      <c r="D15" s="2" t="s">
        <v>63</v>
      </c>
    </row>
    <row r="16" spans="1:4" x14ac:dyDescent="0.15">
      <c r="C16" s="2" t="s">
        <v>62</v>
      </c>
    </row>
    <row r="17" spans="3:6" x14ac:dyDescent="0.15">
      <c r="D17" s="2" t="s">
        <v>61</v>
      </c>
    </row>
    <row r="18" spans="3:6" x14ac:dyDescent="0.15">
      <c r="C18" s="2" t="s">
        <v>60</v>
      </c>
    </row>
    <row r="19" spans="3:6" x14ac:dyDescent="0.15">
      <c r="D19" s="6" t="s">
        <v>59</v>
      </c>
    </row>
    <row r="21" spans="3:6" x14ac:dyDescent="0.15">
      <c r="C21" s="5" t="s">
        <v>58</v>
      </c>
    </row>
    <row r="22" spans="3:6" x14ac:dyDescent="0.15">
      <c r="C22" s="2" t="s">
        <v>57</v>
      </c>
      <c r="D22" s="3"/>
    </row>
    <row r="23" spans="3:6" x14ac:dyDescent="0.15">
      <c r="D23" s="2" t="s">
        <v>56</v>
      </c>
      <c r="E23" s="2" t="s">
        <v>55</v>
      </c>
      <c r="F23" s="2" t="s">
        <v>54</v>
      </c>
    </row>
    <row r="24" spans="3:6" x14ac:dyDescent="0.15">
      <c r="C24" s="4" t="s">
        <v>53</v>
      </c>
      <c r="D24" s="3">
        <v>1.23</v>
      </c>
      <c r="E24" s="2">
        <v>0.35</v>
      </c>
      <c r="F24" s="2">
        <v>0.34</v>
      </c>
    </row>
    <row r="26" spans="3:6" x14ac:dyDescent="0.15">
      <c r="C26" s="2" t="s">
        <v>52</v>
      </c>
    </row>
    <row r="27" spans="3:6" x14ac:dyDescent="0.15">
      <c r="C27" s="2" t="s">
        <v>51</v>
      </c>
    </row>
    <row r="28" spans="3:6" x14ac:dyDescent="0.15">
      <c r="C28" s="2" t="s">
        <v>50</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heetViews>
  <sheetFormatPr baseColWidth="10" defaultColWidth="9.1640625" defaultRowHeight="13" x14ac:dyDescent="0.15"/>
  <cols>
    <col min="1" max="1" width="5" style="12" bestFit="1" customWidth="1"/>
    <col min="2" max="2" width="17.5" style="12" bestFit="1" customWidth="1"/>
    <col min="3" max="3" width="9.1640625" style="12"/>
    <col min="4" max="4" width="10.83203125" style="12" bestFit="1" customWidth="1"/>
    <col min="5" max="16384" width="9.1640625" style="12"/>
  </cols>
  <sheetData>
    <row r="1" spans="1:6" x14ac:dyDescent="0.15">
      <c r="A1" s="8" t="s">
        <v>79</v>
      </c>
      <c r="B1" s="2"/>
      <c r="C1" s="2"/>
      <c r="D1" s="2"/>
    </row>
    <row r="2" spans="1:6" x14ac:dyDescent="0.15">
      <c r="A2" s="2"/>
      <c r="B2" s="2" t="s">
        <v>78</v>
      </c>
      <c r="C2" s="2" t="s">
        <v>37</v>
      </c>
      <c r="D2" s="2"/>
    </row>
    <row r="3" spans="1:6" x14ac:dyDescent="0.15">
      <c r="A3" s="2"/>
      <c r="B3" s="2" t="s">
        <v>76</v>
      </c>
      <c r="C3" s="12" t="s">
        <v>138</v>
      </c>
      <c r="D3" s="2"/>
    </row>
    <row r="4" spans="1:6" x14ac:dyDescent="0.15">
      <c r="A4" s="2"/>
      <c r="B4" s="2" t="s">
        <v>44</v>
      </c>
      <c r="C4" s="2" t="s">
        <v>156</v>
      </c>
      <c r="D4" s="2"/>
    </row>
    <row r="5" spans="1:6" x14ac:dyDescent="0.15">
      <c r="A5" s="2"/>
      <c r="B5" s="2" t="s">
        <v>48</v>
      </c>
      <c r="C5" s="2" t="s">
        <v>36</v>
      </c>
      <c r="D5" s="2"/>
    </row>
    <row r="6" spans="1:6" x14ac:dyDescent="0.15">
      <c r="A6" s="2"/>
      <c r="B6" s="2" t="s">
        <v>46</v>
      </c>
      <c r="C6" s="2"/>
      <c r="D6" s="2"/>
    </row>
    <row r="7" spans="1:6" x14ac:dyDescent="0.15">
      <c r="A7" s="2"/>
      <c r="B7" s="2" t="s">
        <v>45</v>
      </c>
      <c r="C7" s="2" t="s">
        <v>155</v>
      </c>
      <c r="D7" s="2"/>
    </row>
    <row r="8" spans="1:6" x14ac:dyDescent="0.15">
      <c r="A8" s="2"/>
      <c r="B8" s="2" t="s">
        <v>134</v>
      </c>
      <c r="C8" s="2" t="s">
        <v>154</v>
      </c>
      <c r="D8" s="2"/>
    </row>
    <row r="9" spans="1:6" x14ac:dyDescent="0.15">
      <c r="A9" s="2"/>
      <c r="B9" s="2" t="s">
        <v>66</v>
      </c>
      <c r="C9" s="2"/>
      <c r="D9" s="2"/>
    </row>
    <row r="11" spans="1:6" x14ac:dyDescent="0.15">
      <c r="C11" s="13" t="s">
        <v>153</v>
      </c>
    </row>
    <row r="12" spans="1:6" x14ac:dyDescent="0.15">
      <c r="C12" s="12" t="s">
        <v>152</v>
      </c>
      <c r="E12" s="12" t="s">
        <v>151</v>
      </c>
    </row>
    <row r="13" spans="1:6" x14ac:dyDescent="0.15">
      <c r="C13" s="12" t="s">
        <v>150</v>
      </c>
      <c r="D13" s="12" t="s">
        <v>149</v>
      </c>
      <c r="E13" s="12" t="s">
        <v>148</v>
      </c>
      <c r="F13" s="12" t="s">
        <v>147</v>
      </c>
    </row>
    <row r="14" spans="1:6" x14ac:dyDescent="0.15">
      <c r="B14" s="12" t="s">
        <v>117</v>
      </c>
      <c r="C14" s="12">
        <v>292</v>
      </c>
      <c r="D14" s="12">
        <v>293</v>
      </c>
      <c r="E14" s="12">
        <v>612</v>
      </c>
      <c r="F14" s="12">
        <v>614</v>
      </c>
    </row>
    <row r="15" spans="1:6" x14ac:dyDescent="0.15">
      <c r="B15" s="12" t="s">
        <v>146</v>
      </c>
      <c r="C15" s="14">
        <v>8.5999999999999993E-2</v>
      </c>
      <c r="D15" s="14">
        <v>0.22700000000000001</v>
      </c>
      <c r="E15" s="14">
        <v>0.111</v>
      </c>
      <c r="F15" s="14">
        <v>0.19800000000000001</v>
      </c>
    </row>
    <row r="16" spans="1:6" x14ac:dyDescent="0.15">
      <c r="B16" s="12" t="s">
        <v>145</v>
      </c>
      <c r="C16" s="12">
        <v>4.5</v>
      </c>
      <c r="D16" s="12">
        <v>7.5</v>
      </c>
      <c r="E16" s="12">
        <v>4.7</v>
      </c>
      <c r="F16" s="12">
        <v>6.9</v>
      </c>
    </row>
    <row r="17" spans="2:6" x14ac:dyDescent="0.15">
      <c r="B17" s="12" t="s">
        <v>144</v>
      </c>
      <c r="C17" s="12">
        <v>10.8</v>
      </c>
      <c r="D17" s="12">
        <v>12.9</v>
      </c>
      <c r="E17" s="12">
        <v>12.1</v>
      </c>
      <c r="F17" s="12">
        <v>13.5</v>
      </c>
    </row>
    <row r="19" spans="2:6" x14ac:dyDescent="0.15">
      <c r="C19" s="12" t="s">
        <v>143</v>
      </c>
    </row>
    <row r="20" spans="2:6" x14ac:dyDescent="0.15">
      <c r="C20" s="12" t="s">
        <v>142</v>
      </c>
    </row>
    <row r="22" spans="2:6" x14ac:dyDescent="0.15">
      <c r="C22" s="13" t="s">
        <v>141</v>
      </c>
    </row>
    <row r="23" spans="2:6" x14ac:dyDescent="0.15">
      <c r="C23" s="12" t="s">
        <v>140</v>
      </c>
    </row>
    <row r="24" spans="2:6" x14ac:dyDescent="0.15">
      <c r="C24" s="12" t="s">
        <v>139</v>
      </c>
    </row>
  </sheetData>
  <hyperlinks>
    <hyperlink ref="A1" location="Main!A1" display="Main" xr:uid="{C182237B-2283-4E6B-8D81-C09B2FE4724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baseColWidth="10" defaultColWidth="9.1640625" defaultRowHeight="13" x14ac:dyDescent="0.15"/>
  <cols>
    <col min="1" max="1" width="5" style="2" bestFit="1" customWidth="1"/>
    <col min="2" max="2" width="12.5" style="2" customWidth="1"/>
    <col min="3" max="16384" width="9.1640625" style="2"/>
  </cols>
  <sheetData>
    <row r="1" spans="1:3" x14ac:dyDescent="0.15">
      <c r="A1" s="8" t="s">
        <v>79</v>
      </c>
    </row>
    <row r="2" spans="1:3" x14ac:dyDescent="0.15">
      <c r="B2" s="2" t="s">
        <v>78</v>
      </c>
      <c r="C2" s="2" t="s">
        <v>175</v>
      </c>
    </row>
    <row r="3" spans="1:3" x14ac:dyDescent="0.15">
      <c r="B3" s="2" t="s">
        <v>76</v>
      </c>
      <c r="C3" s="2" t="s">
        <v>174</v>
      </c>
    </row>
    <row r="4" spans="1:3" x14ac:dyDescent="0.15">
      <c r="B4" s="2" t="s">
        <v>48</v>
      </c>
      <c r="C4" s="2" t="s">
        <v>173</v>
      </c>
    </row>
    <row r="5" spans="1:3" x14ac:dyDescent="0.15">
      <c r="B5" s="2" t="s">
        <v>44</v>
      </c>
      <c r="C5" s="2" t="s">
        <v>172</v>
      </c>
    </row>
    <row r="6" spans="1:3" x14ac:dyDescent="0.15">
      <c r="B6" s="2" t="s">
        <v>45</v>
      </c>
      <c r="C6" s="2" t="s">
        <v>171</v>
      </c>
    </row>
    <row r="7" spans="1:3" x14ac:dyDescent="0.15">
      <c r="B7" s="2" t="s">
        <v>66</v>
      </c>
    </row>
    <row r="8" spans="1:3" x14ac:dyDescent="0.15">
      <c r="C8" s="5" t="s">
        <v>170</v>
      </c>
    </row>
    <row r="10" spans="1:3" x14ac:dyDescent="0.15">
      <c r="C10" s="5" t="s">
        <v>169</v>
      </c>
    </row>
    <row r="11" spans="1:3" x14ac:dyDescent="0.15">
      <c r="C11" s="5"/>
    </row>
    <row r="12" spans="1:3" x14ac:dyDescent="0.15">
      <c r="C12" s="5" t="s">
        <v>168</v>
      </c>
    </row>
    <row r="13" spans="1:3" x14ac:dyDescent="0.15">
      <c r="C13" s="5"/>
    </row>
    <row r="14" spans="1:3" x14ac:dyDescent="0.15">
      <c r="C14" s="5" t="s">
        <v>167</v>
      </c>
    </row>
    <row r="16" spans="1:3" x14ac:dyDescent="0.15">
      <c r="C16" s="5" t="s">
        <v>166</v>
      </c>
    </row>
    <row r="17" spans="3:3" x14ac:dyDescent="0.15">
      <c r="C17" s="2" t="s">
        <v>165</v>
      </c>
    </row>
    <row r="18" spans="3:3" x14ac:dyDescent="0.15">
      <c r="C18" s="2" t="s">
        <v>164</v>
      </c>
    </row>
    <row r="20" spans="3:3" x14ac:dyDescent="0.15">
      <c r="C20" s="5" t="s">
        <v>163</v>
      </c>
    </row>
    <row r="21" spans="3:3" x14ac:dyDescent="0.15">
      <c r="C21" s="2" t="s">
        <v>162</v>
      </c>
    </row>
    <row r="22" spans="3:3" x14ac:dyDescent="0.15">
      <c r="C22" s="2" t="s">
        <v>161</v>
      </c>
    </row>
    <row r="24" spans="3:3" x14ac:dyDescent="0.15">
      <c r="C24" s="5" t="s">
        <v>160</v>
      </c>
    </row>
    <row r="25" spans="3:3" x14ac:dyDescent="0.15">
      <c r="C25" s="2" t="s">
        <v>159</v>
      </c>
    </row>
    <row r="27" spans="3:3" x14ac:dyDescent="0.15">
      <c r="C27" s="15" t="s">
        <v>158</v>
      </c>
    </row>
    <row r="28" spans="3:3" x14ac:dyDescent="0.15">
      <c r="C28" s="15" t="s">
        <v>157</v>
      </c>
    </row>
  </sheetData>
  <hyperlinks>
    <hyperlink ref="A1" location="Main!A1" display="Main" xr:uid="{3B461243-A27C-412E-8A2C-014DB1DF39EA}"/>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heetViews>
  <sheetFormatPr baseColWidth="10" defaultColWidth="9.1640625" defaultRowHeight="13" x14ac:dyDescent="0.15"/>
  <cols>
    <col min="1" max="1" width="5" style="12" bestFit="1" customWidth="1"/>
    <col min="2" max="2" width="12.83203125" style="12" bestFit="1" customWidth="1"/>
    <col min="3" max="16384" width="9.1640625" style="12"/>
  </cols>
  <sheetData>
    <row r="1" spans="1:3" x14ac:dyDescent="0.15">
      <c r="A1" s="16" t="s">
        <v>79</v>
      </c>
    </row>
    <row r="2" spans="1:3" x14ac:dyDescent="0.15">
      <c r="B2" s="12" t="s">
        <v>78</v>
      </c>
      <c r="C2" s="12" t="s">
        <v>216</v>
      </c>
    </row>
    <row r="3" spans="1:3" x14ac:dyDescent="0.15">
      <c r="B3" s="12" t="s">
        <v>76</v>
      </c>
      <c r="C3" s="12" t="s">
        <v>189</v>
      </c>
    </row>
    <row r="4" spans="1:3" x14ac:dyDescent="0.15">
      <c r="B4" s="12" t="s">
        <v>44</v>
      </c>
      <c r="C4" s="12" t="s">
        <v>188</v>
      </c>
    </row>
    <row r="5" spans="1:3" x14ac:dyDescent="0.15">
      <c r="B5" s="12" t="s">
        <v>48</v>
      </c>
      <c r="C5" s="12" t="s">
        <v>187</v>
      </c>
    </row>
    <row r="6" spans="1:3" x14ac:dyDescent="0.15">
      <c r="B6" s="12" t="s">
        <v>46</v>
      </c>
      <c r="C6" s="12" t="s">
        <v>186</v>
      </c>
    </row>
    <row r="7" spans="1:3" x14ac:dyDescent="0.15">
      <c r="B7" s="12" t="s">
        <v>45</v>
      </c>
      <c r="C7" s="12" t="s">
        <v>20</v>
      </c>
    </row>
    <row r="8" spans="1:3" x14ac:dyDescent="0.15">
      <c r="B8" s="12" t="s">
        <v>134</v>
      </c>
      <c r="C8" s="12" t="s">
        <v>185</v>
      </c>
    </row>
    <row r="9" spans="1:3" x14ac:dyDescent="0.15">
      <c r="B9" s="12" t="s">
        <v>66</v>
      </c>
    </row>
    <row r="10" spans="1:3" x14ac:dyDescent="0.15">
      <c r="C10" s="13" t="s">
        <v>184</v>
      </c>
    </row>
    <row r="13" spans="1:3" x14ac:dyDescent="0.15">
      <c r="C13" s="13" t="s">
        <v>183</v>
      </c>
    </row>
    <row r="14" spans="1:3" x14ac:dyDescent="0.15">
      <c r="C14" s="12" t="s">
        <v>182</v>
      </c>
    </row>
    <row r="15" spans="1:3" x14ac:dyDescent="0.15">
      <c r="C15" s="12" t="s">
        <v>181</v>
      </c>
    </row>
    <row r="16" spans="1:3" x14ac:dyDescent="0.15">
      <c r="C16" s="12" t="s">
        <v>180</v>
      </c>
    </row>
    <row r="17" spans="3:3" x14ac:dyDescent="0.15">
      <c r="C17" s="12" t="s">
        <v>179</v>
      </c>
    </row>
    <row r="19" spans="3:3" x14ac:dyDescent="0.15">
      <c r="C19" s="13" t="s">
        <v>178</v>
      </c>
    </row>
    <row r="20" spans="3:3" x14ac:dyDescent="0.15">
      <c r="C20" s="12" t="s">
        <v>177</v>
      </c>
    </row>
    <row r="21" spans="3:3" x14ac:dyDescent="0.15">
      <c r="C21" s="12" t="s">
        <v>176</v>
      </c>
    </row>
  </sheetData>
  <hyperlinks>
    <hyperlink ref="A1" location="Main!A1" display="Main" xr:uid="{018ACD3C-B36E-4B21-86E9-837BC80B5F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7"/>
  <sheetViews>
    <sheetView zoomScale="145" zoomScaleNormal="145" workbookViewId="0"/>
  </sheetViews>
  <sheetFormatPr baseColWidth="10" defaultColWidth="9.1640625" defaultRowHeight="13" x14ac:dyDescent="0.15"/>
  <cols>
    <col min="1" max="1" width="5" style="12" bestFit="1" customWidth="1"/>
    <col min="2" max="2" width="12.83203125" style="12" bestFit="1" customWidth="1"/>
    <col min="3" max="16384" width="9.1640625" style="12"/>
  </cols>
  <sheetData>
    <row r="1" spans="1:3" x14ac:dyDescent="0.15">
      <c r="A1" s="16" t="s">
        <v>79</v>
      </c>
    </row>
    <row r="2" spans="1:3" x14ac:dyDescent="0.15">
      <c r="B2" s="12" t="s">
        <v>78</v>
      </c>
      <c r="C2" s="12" t="s">
        <v>269</v>
      </c>
    </row>
    <row r="3" spans="1:3" x14ac:dyDescent="0.15">
      <c r="B3" s="12" t="s">
        <v>76</v>
      </c>
      <c r="C3" s="12" t="s">
        <v>197</v>
      </c>
    </row>
    <row r="4" spans="1:3" x14ac:dyDescent="0.15">
      <c r="B4" s="12" t="s">
        <v>44</v>
      </c>
      <c r="C4" s="12" t="s">
        <v>196</v>
      </c>
    </row>
    <row r="5" spans="1:3" x14ac:dyDescent="0.15">
      <c r="B5" s="12" t="s">
        <v>48</v>
      </c>
      <c r="C5" s="12" t="s">
        <v>195</v>
      </c>
    </row>
    <row r="6" spans="1:3" x14ac:dyDescent="0.15">
      <c r="B6" s="12" t="s">
        <v>46</v>
      </c>
      <c r="C6" s="12" t="s">
        <v>194</v>
      </c>
    </row>
    <row r="7" spans="1:3" x14ac:dyDescent="0.15">
      <c r="B7" s="12" t="s">
        <v>45</v>
      </c>
      <c r="C7" s="12" t="s">
        <v>20</v>
      </c>
    </row>
    <row r="8" spans="1:3" x14ac:dyDescent="0.15">
      <c r="B8" s="12" t="s">
        <v>134</v>
      </c>
    </row>
    <row r="9" spans="1:3" x14ac:dyDescent="0.15">
      <c r="B9" s="12" t="s">
        <v>66</v>
      </c>
    </row>
    <row r="10" spans="1:3" x14ac:dyDescent="0.15">
      <c r="C10" s="13" t="s">
        <v>193</v>
      </c>
    </row>
    <row r="13" spans="1:3" x14ac:dyDescent="0.15">
      <c r="C13" s="13" t="s">
        <v>192</v>
      </c>
    </row>
    <row r="16" spans="1:3" x14ac:dyDescent="0.15">
      <c r="C16" s="13" t="s">
        <v>191</v>
      </c>
    </row>
    <row r="17" spans="3:3" x14ac:dyDescent="0.15">
      <c r="C17" s="12" t="s">
        <v>190</v>
      </c>
    </row>
  </sheetData>
  <hyperlinks>
    <hyperlink ref="A1" location="Main!A1" display="Main" xr:uid="{3A765EE9-AE7C-4B13-9916-378DECED3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Dupixent</vt:lpstr>
      <vt:lpstr>Eylea</vt:lpstr>
      <vt:lpstr>Arcalyst</vt:lpstr>
      <vt:lpstr>Zaltrap</vt:lpstr>
      <vt:lpstr>VEGF Trap</vt:lpstr>
      <vt:lpstr>Praluent</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2024-08-25T06:35:17Z</dcterms:modified>
</cp:coreProperties>
</file>