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0477677-ED5A-4DBF-8AB9-409718A8AFCD}" xr6:coauthVersionLast="47" xr6:coauthVersionMax="47" xr10:uidLastSave="{00000000-0000-0000-0000-000000000000}"/>
  <bookViews>
    <workbookView xWindow="-24435" yWindow="210" windowWidth="23790" windowHeight="20025" xr2:uid="{88FA9C38-ABF6-471A-A114-1956627409AA}"/>
  </bookViews>
  <sheets>
    <sheet name="Main" sheetId="1" r:id="rId1"/>
    <sheet name="Model" sheetId="3" r:id="rId2"/>
    <sheet name="Carvykt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3" i="3" l="1"/>
  <c r="AB13" i="3"/>
  <c r="AC14" i="3"/>
  <c r="AB14" i="3"/>
  <c r="AB15" i="3" s="1"/>
  <c r="AB16" i="3" s="1"/>
  <c r="AC17" i="3"/>
  <c r="AB17" i="3"/>
  <c r="AC22" i="3"/>
  <c r="AB22" i="3"/>
  <c r="AC15" i="3"/>
  <c r="AC16" i="3" s="1"/>
  <c r="AC18" i="3" s="1"/>
  <c r="AC19" i="3" s="1"/>
  <c r="AC11" i="3"/>
  <c r="AB11" i="3"/>
  <c r="AC10" i="3"/>
  <c r="AB10" i="3"/>
  <c r="AC9" i="3"/>
  <c r="AB9" i="3"/>
  <c r="AC7" i="3"/>
  <c r="AB7" i="3"/>
  <c r="AC4" i="3"/>
  <c r="AB4" i="3"/>
  <c r="AA22" i="3"/>
  <c r="AA19" i="3"/>
  <c r="AA17" i="3"/>
  <c r="AA15" i="3"/>
  <c r="AA16" i="3" s="1"/>
  <c r="AA18" i="3" s="1"/>
  <c r="AA20" i="3" s="1"/>
  <c r="AA21" i="3" s="1"/>
  <c r="AA14" i="3"/>
  <c r="AA13" i="3"/>
  <c r="AA12" i="3"/>
  <c r="AA11" i="3"/>
  <c r="AA10" i="3"/>
  <c r="AA9" i="3"/>
  <c r="AA8" i="3"/>
  <c r="AA7" i="3"/>
  <c r="AA6" i="3"/>
  <c r="AA4" i="3"/>
  <c r="Y2" i="3"/>
  <c r="Z2" i="3" s="1"/>
  <c r="AA2" i="3" s="1"/>
  <c r="AB2" i="3" s="1"/>
  <c r="AC2" i="3" s="1"/>
  <c r="AD2" i="3" s="1"/>
  <c r="AE2" i="3" s="1"/>
  <c r="AF2" i="3" s="1"/>
  <c r="AG2" i="3" s="1"/>
  <c r="X2" i="3"/>
  <c r="R17" i="3"/>
  <c r="R18" i="3" s="1"/>
  <c r="R20" i="3" s="1"/>
  <c r="R21" i="3" s="1"/>
  <c r="Q17" i="3"/>
  <c r="R22" i="3"/>
  <c r="Q22" i="3"/>
  <c r="Q18" i="3"/>
  <c r="Q20" i="3" s="1"/>
  <c r="Q21" i="3" s="1"/>
  <c r="R16" i="3"/>
  <c r="Q16" i="3"/>
  <c r="R15" i="3"/>
  <c r="Q15" i="3"/>
  <c r="R14" i="3"/>
  <c r="Q14" i="3"/>
  <c r="R13" i="3"/>
  <c r="Q13" i="3"/>
  <c r="R11" i="3"/>
  <c r="Q11" i="3"/>
  <c r="R10" i="3"/>
  <c r="Q10" i="3"/>
  <c r="R7" i="3"/>
  <c r="Q7" i="3"/>
  <c r="R4" i="3"/>
  <c r="Q4" i="3"/>
  <c r="AB18" i="3" l="1"/>
  <c r="AC20" i="3"/>
  <c r="AC21" i="3" s="1"/>
  <c r="AB19" i="3"/>
  <c r="AB20" i="3" s="1"/>
  <c r="AB21" i="3" s="1"/>
  <c r="T4" i="3" l="1"/>
  <c r="T5" i="3" s="1"/>
  <c r="P42" i="3" l="1"/>
  <c r="P40" i="3"/>
  <c r="P39" i="3"/>
  <c r="R9" i="3"/>
  <c r="Q9" i="3"/>
  <c r="G17" i="3"/>
  <c r="G15" i="3"/>
  <c r="G9" i="3"/>
  <c r="G11" i="3" s="1"/>
  <c r="L24" i="3"/>
  <c r="H17" i="3"/>
  <c r="H15" i="3"/>
  <c r="H9" i="3"/>
  <c r="H11" i="3" s="1"/>
  <c r="M24" i="3"/>
  <c r="I17" i="3"/>
  <c r="M17" i="3"/>
  <c r="I15" i="3"/>
  <c r="I9" i="3"/>
  <c r="I11" i="3" s="1"/>
  <c r="M9" i="3"/>
  <c r="M11" i="3" s="1"/>
  <c r="N24" i="3"/>
  <c r="J17" i="3"/>
  <c r="J15" i="3"/>
  <c r="J9" i="3"/>
  <c r="J11" i="3" s="1"/>
  <c r="N17" i="3"/>
  <c r="N15" i="3"/>
  <c r="N9" i="3"/>
  <c r="N11" i="3" s="1"/>
  <c r="O24" i="3"/>
  <c r="P24" i="3"/>
  <c r="K17" i="3"/>
  <c r="K15" i="3"/>
  <c r="O17" i="3"/>
  <c r="O10" i="3"/>
  <c r="K9" i="3"/>
  <c r="K11" i="3" s="1"/>
  <c r="O9" i="3"/>
  <c r="P34" i="3"/>
  <c r="P26" i="3"/>
  <c r="L17" i="3"/>
  <c r="L15" i="3"/>
  <c r="P17" i="3"/>
  <c r="O15" i="3"/>
  <c r="M15" i="3"/>
  <c r="P15" i="3"/>
  <c r="P10" i="3"/>
  <c r="P9" i="3"/>
  <c r="L9" i="3"/>
  <c r="L11" i="3" s="1"/>
  <c r="K3" i="1"/>
  <c r="K4" i="1" s="1"/>
  <c r="K7" i="1" s="1"/>
  <c r="O11" i="3" l="1"/>
  <c r="P45" i="3"/>
  <c r="G16" i="3"/>
  <c r="G18" i="3" s="1"/>
  <c r="G20" i="3" s="1"/>
  <c r="G21" i="3" s="1"/>
  <c r="M16" i="3"/>
  <c r="M18" i="3" s="1"/>
  <c r="M20" i="3" s="1"/>
  <c r="M21" i="3" s="1"/>
  <c r="I16" i="3"/>
  <c r="I18" i="3" s="1"/>
  <c r="I20" i="3" s="1"/>
  <c r="I21" i="3" s="1"/>
  <c r="H16" i="3"/>
  <c r="H18" i="3" s="1"/>
  <c r="H20" i="3" s="1"/>
  <c r="H21" i="3" s="1"/>
  <c r="J16" i="3"/>
  <c r="J18" i="3" s="1"/>
  <c r="J20" i="3" s="1"/>
  <c r="J21" i="3" s="1"/>
  <c r="N16" i="3"/>
  <c r="N18" i="3" s="1"/>
  <c r="N20" i="3" s="1"/>
  <c r="N21" i="3" s="1"/>
  <c r="P35" i="3"/>
  <c r="K16" i="3"/>
  <c r="K18" i="3" s="1"/>
  <c r="K20" i="3" s="1"/>
  <c r="K21" i="3" s="1"/>
  <c r="O16" i="3"/>
  <c r="O18" i="3" s="1"/>
  <c r="O20" i="3" s="1"/>
  <c r="O21" i="3" s="1"/>
  <c r="P11" i="3"/>
  <c r="P16" i="3" s="1"/>
  <c r="P18" i="3" s="1"/>
  <c r="P20" i="3" s="1"/>
  <c r="P21" i="3" s="1"/>
  <c r="L16" i="3"/>
  <c r="L18" i="3" s="1"/>
  <c r="L20" i="3" s="1"/>
  <c r="L2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tc={D13AC2EF-2EF7-4C6C-A67B-13760DA3BA5D}</author>
  </authors>
  <commentList>
    <comment ref="H3" authorId="0" shapeId="0" xr:uid="{D13AC2EF-2EF7-4C6C-A67B-13760DA3BA5D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demand &gt; supply</t>
      </text>
    </comment>
  </commentList>
</comments>
</file>

<file path=xl/sharedStrings.xml><?xml version="1.0" encoding="utf-8"?>
<sst xmlns="http://schemas.openxmlformats.org/spreadsheetml/2006/main" count="124" uniqueCount="105">
  <si>
    <t>Price</t>
  </si>
  <si>
    <t>Shares</t>
  </si>
  <si>
    <t>MC</t>
  </si>
  <si>
    <t>Cash</t>
  </si>
  <si>
    <t>Debt</t>
  </si>
  <si>
    <t>EV</t>
  </si>
  <si>
    <t>Carvykti (ciltacabtagene autoleucel)</t>
  </si>
  <si>
    <t>Name</t>
  </si>
  <si>
    <t>Indication</t>
  </si>
  <si>
    <t>Q224</t>
  </si>
  <si>
    <t>Main</t>
  </si>
  <si>
    <t>2L+ MM</t>
  </si>
  <si>
    <t>MOA</t>
  </si>
  <si>
    <t>BCMA CART</t>
  </si>
  <si>
    <t>Carvykti</t>
  </si>
  <si>
    <t>Brand</t>
  </si>
  <si>
    <t>Generic</t>
  </si>
  <si>
    <t>2L+ Multiple Myeloma</t>
  </si>
  <si>
    <t>Clinical Trials</t>
  </si>
  <si>
    <t>Regulatory</t>
  </si>
  <si>
    <t>FDA approval 2022</t>
  </si>
  <si>
    <t>Economics</t>
  </si>
  <si>
    <t>JNJ</t>
  </si>
  <si>
    <t>Approved</t>
  </si>
  <si>
    <t>IP</t>
  </si>
  <si>
    <t>Competition</t>
  </si>
  <si>
    <t>Administration</t>
  </si>
  <si>
    <t xml:space="preserve">Lymphodepletion with cyclophosphamide + fludaribine. </t>
  </si>
  <si>
    <t>PFS HR=0.41, p&lt;0.0001 (&gt;28 months vs. 12 months for standard therapy)</t>
  </si>
  <si>
    <t>CR 74% vs. 22.3%</t>
  </si>
  <si>
    <t>Q123</t>
  </si>
  <si>
    <t>Q223</t>
  </si>
  <si>
    <t>Q323</t>
  </si>
  <si>
    <t>Q423</t>
  </si>
  <si>
    <t>Q124</t>
  </si>
  <si>
    <t>Q324</t>
  </si>
  <si>
    <t>Q424</t>
  </si>
  <si>
    <t>License Revenue</t>
  </si>
  <si>
    <t>Collaboration Revenue</t>
  </si>
  <si>
    <t>Other Revenue</t>
  </si>
  <si>
    <t>Revenue</t>
  </si>
  <si>
    <t>COGS</t>
  </si>
  <si>
    <t>Gross Profit</t>
  </si>
  <si>
    <t>R&amp;D</t>
  </si>
  <si>
    <t>G&amp;A</t>
  </si>
  <si>
    <t>S&amp;M</t>
  </si>
  <si>
    <t>Operating Expenses</t>
  </si>
  <si>
    <t>Operating Income</t>
  </si>
  <si>
    <t>EPS</t>
  </si>
  <si>
    <t>Net Income</t>
  </si>
  <si>
    <t>Taxes</t>
  </si>
  <si>
    <t>Pretax Income</t>
  </si>
  <si>
    <t>Interest Income</t>
  </si>
  <si>
    <t>Prepayments</t>
  </si>
  <si>
    <t>AR</t>
  </si>
  <si>
    <t>Collaboration Inventories</t>
  </si>
  <si>
    <t>ONCA</t>
  </si>
  <si>
    <t>Collab Prepaids</t>
  </si>
  <si>
    <t>Intangibles</t>
  </si>
  <si>
    <t>ROU</t>
  </si>
  <si>
    <t>PP&amp;E</t>
  </si>
  <si>
    <t>Assets</t>
  </si>
  <si>
    <t>AP</t>
  </si>
  <si>
    <t>Q122</t>
  </si>
  <si>
    <t>Q222</t>
  </si>
  <si>
    <t>Q322</t>
  </si>
  <si>
    <t>Q422</t>
  </si>
  <si>
    <t>LB2102</t>
  </si>
  <si>
    <t>Collaboration Revenue y/y</t>
  </si>
  <si>
    <t>Other Payables</t>
  </si>
  <si>
    <t>Grants</t>
  </si>
  <si>
    <t>Lease</t>
  </si>
  <si>
    <t>Contract</t>
  </si>
  <si>
    <t>Collaboration</t>
  </si>
  <si>
    <t>S/E</t>
  </si>
  <si>
    <t>L+S/E</t>
  </si>
  <si>
    <t>Pricing</t>
  </si>
  <si>
    <t>$465,000, but realized price $279,000</t>
  </si>
  <si>
    <t>Abecma</t>
  </si>
  <si>
    <t>OS HR=0.55, p&lt;0.0009 (76% vs. 64% at 30 months)</t>
  </si>
  <si>
    <t>CEO: Ying Huang</t>
  </si>
  <si>
    <t>LB1908</t>
  </si>
  <si>
    <t>NVS</t>
  </si>
  <si>
    <t>CD19xGPRC5D</t>
  </si>
  <si>
    <t>GCC</t>
  </si>
  <si>
    <t>mCRC</t>
  </si>
  <si>
    <t>Autologous Claudin 18.2</t>
  </si>
  <si>
    <t>Autologous DLL3</t>
  </si>
  <si>
    <t>Autologous BCMA CART</t>
  </si>
  <si>
    <t>Allogeneic CD19xBCMA</t>
  </si>
  <si>
    <t>Allogeneic CD20 CAR-alphabeta T</t>
  </si>
  <si>
    <t>BCMA CAR-NK</t>
  </si>
  <si>
    <t>MM</t>
  </si>
  <si>
    <t>BCMA CAR-gammadelta T</t>
  </si>
  <si>
    <t>Autologous CD19xCD20xCD22</t>
  </si>
  <si>
    <t>Phase</t>
  </si>
  <si>
    <t>MM has a 32,258 incidence in US (13,067 mortality)</t>
  </si>
  <si>
    <t>CARTITUDE-1 - NCT03548207</t>
  </si>
  <si>
    <t>CARTITUDE-2 - NCT04133636</t>
  </si>
  <si>
    <t>CARTITUDE-4 n=409 - NCT04181827</t>
  </si>
  <si>
    <t>CARTITUDE-5 - NCT04923893</t>
  </si>
  <si>
    <t>CARTITUDE-6 - NCT05257083</t>
  </si>
  <si>
    <t>LEGEND-2 - NCT03090659</t>
  </si>
  <si>
    <t>CARTIFAN-1</t>
  </si>
  <si>
    <t>50-50 in US, 50-50 in Europe, 70-30 in China, 50-50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</si>
</sst>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0" fontId="2" fillId="0" borderId="1" xfId="1" applyBorder="1"/>
    <xf numFmtId="0" fontId="3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0" fillId="2" borderId="0" xfId="0" applyNumberFormat="1" applyFill="1" applyAlignment="1">
      <alignment horizontal="right"/>
    </xf>
    <xf numFmtId="9" fontId="0" fillId="0" borderId="0" xfId="0" applyNumberFormat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337EF11-D9F1-437C-BC94-9E84CC6719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10026</xdr:colOff>
      <xdr:row>0</xdr:row>
      <xdr:rowOff>0</xdr:rowOff>
    </xdr:from>
    <xdr:to>
      <xdr:col>16</xdr:col>
      <xdr:colOff>10026</xdr:colOff>
      <xdr:row>58</xdr:row>
      <xdr:rowOff>10026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FAE01F-D39B-18F6-B250-6C16C365DA58}"/>
            </a:ext>
          </a:extLst>
        </xdr:cNvPr>
        <xdr:cNvCxnSpPr/>
      </xdr:nvCxnSpPr>
      <xdr:spPr>
        <a:xfrm>
          <a:off x="10452434" y="0"/>
          <a:ext cx="0" cy="931444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20917</xdr:colOff>
      <xdr:row>0</xdr:row>
      <xdr:rowOff>0</xdr:rowOff>
    </xdr:from>
    <xdr:to>
      <xdr:col>26</xdr:col>
      <xdr:colOff>20917</xdr:colOff>
      <xdr:row>58</xdr:row>
      <xdr:rowOff>10026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8713AD0-E30F-4F95-94C0-DCAC990DD502}"/>
            </a:ext>
          </a:extLst>
        </xdr:cNvPr>
        <xdr:cNvCxnSpPr/>
      </xdr:nvCxnSpPr>
      <xdr:spPr>
        <a:xfrm>
          <a:off x="16561572" y="0"/>
          <a:ext cx="0" cy="953502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179800</xdr:colOff>
      <xdr:row>1</xdr:row>
      <xdr:rowOff>12157</xdr:rowOff>
    </xdr:from>
    <xdr:to>
      <xdr:col>10</xdr:col>
      <xdr:colOff>433692</xdr:colOff>
      <xdr:row>13</xdr:row>
      <xdr:rowOff>123250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471391-FF70-6DBA-E251-7D19B9F02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438" y="174285"/>
          <a:ext cx="2077828" cy="2056625"/>
        </a:xfrm>
        <a:prstGeom prst="rect">
          <a:avLst/>
        </a:prstGeom>
      </xdr:spPr>
    </xdr:pic>
    <xdr:clientData/>
  </xdr:twoCellAnchor>
  <xdr:twoCellAnchor editAs="oneCell">
    <xdr:from>
      <xdr:col>6</xdr:col>
      <xdr:colOff>267510</xdr:colOff>
      <xdr:row>22</xdr:row>
      <xdr:rowOff>138977</xdr:rowOff>
    </xdr:from>
    <xdr:to>
      <xdr:col>11</xdr:col>
      <xdr:colOff>381560</xdr:colOff>
      <xdr:row>32</xdr:row>
      <xdr:rowOff>109624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88FDF5-EDD2-8E13-E05D-8AF02703C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9170" y="3543658"/>
          <a:ext cx="3153943" cy="159192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B92F20CD-0117-49A4-AD44-1B8568848F45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2-09-06T16:10:39.10" personId="{B92F20CD-0117-49A4-AD44-1B8568848F45}" id="{D13AC2EF-2EF7-4C6C-A67B-13760DA3BA5D}">
    <text>Q222: demand &gt; supply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C59DC-CFC6-4781-A348-C8EDC926BF42}">
  <dimension ref="B2:L13"/>
  <sheetViews>
    <sheetView tabSelected="1" zoomScale="130" zoomScaleNormal="130" workbookViewId="0"/>
  </sheetViews>
  <sheetFormatPr defaultRowHeight="12.75" x14ac:dyDescent="0.2"/>
  <cols>
    <col min="1" max="1" width="4.140625" customWidth="1"/>
    <col min="2" max="2" width="31.28515625" bestFit="1" customWidth="1"/>
    <col min="3" max="3" width="11" customWidth="1"/>
    <col min="4" max="4" width="30.42578125" bestFit="1" customWidth="1"/>
    <col min="5" max="5" width="11.28515625" customWidth="1"/>
    <col min="7" max="7" width="10.85546875" bestFit="1" customWidth="1"/>
    <col min="9" max="9" width="4.5703125" customWidth="1"/>
  </cols>
  <sheetData>
    <row r="2" spans="2:12" x14ac:dyDescent="0.2">
      <c r="B2" s="9" t="s">
        <v>7</v>
      </c>
      <c r="C2" s="10" t="s">
        <v>8</v>
      </c>
      <c r="D2" s="10" t="s">
        <v>12</v>
      </c>
      <c r="E2" s="10" t="s">
        <v>21</v>
      </c>
      <c r="F2" s="10" t="s">
        <v>23</v>
      </c>
      <c r="G2" s="10" t="s">
        <v>25</v>
      </c>
      <c r="H2" s="11" t="s">
        <v>24</v>
      </c>
      <c r="J2" t="s">
        <v>0</v>
      </c>
      <c r="K2" s="1">
        <v>48.59</v>
      </c>
    </row>
    <row r="3" spans="2:12" x14ac:dyDescent="0.2">
      <c r="B3" s="13" t="s">
        <v>6</v>
      </c>
      <c r="C3" t="s">
        <v>11</v>
      </c>
      <c r="D3" t="s">
        <v>88</v>
      </c>
      <c r="E3" t="s">
        <v>22</v>
      </c>
      <c r="H3" s="5"/>
      <c r="J3" t="s">
        <v>1</v>
      </c>
      <c r="K3" s="3">
        <f>365.204154/2</f>
        <v>182.60207700000001</v>
      </c>
      <c r="L3" s="2" t="s">
        <v>9</v>
      </c>
    </row>
    <row r="4" spans="2:12" x14ac:dyDescent="0.2">
      <c r="B4" s="9"/>
      <c r="C4" s="10"/>
      <c r="D4" s="10"/>
      <c r="E4" s="10"/>
      <c r="F4" s="10" t="s">
        <v>95</v>
      </c>
      <c r="G4" s="10"/>
      <c r="H4" s="11"/>
      <c r="J4" t="s">
        <v>2</v>
      </c>
      <c r="K4" s="3">
        <f>+K2*K3</f>
        <v>8872.6349214300008</v>
      </c>
    </row>
    <row r="5" spans="2:12" x14ac:dyDescent="0.2">
      <c r="B5" s="4" t="s">
        <v>67</v>
      </c>
      <c r="D5" t="s">
        <v>87</v>
      </c>
      <c r="E5" t="s">
        <v>82</v>
      </c>
      <c r="H5" s="5"/>
      <c r="J5" t="s">
        <v>3</v>
      </c>
      <c r="K5" s="3">
        <v>1300</v>
      </c>
      <c r="L5" s="2" t="s">
        <v>9</v>
      </c>
    </row>
    <row r="6" spans="2:12" x14ac:dyDescent="0.2">
      <c r="B6" s="4" t="s">
        <v>81</v>
      </c>
      <c r="D6" t="s">
        <v>86</v>
      </c>
      <c r="E6" t="s">
        <v>82</v>
      </c>
      <c r="H6" s="5"/>
      <c r="J6" t="s">
        <v>4</v>
      </c>
      <c r="K6" s="3">
        <v>291.55900000000003</v>
      </c>
      <c r="L6" s="2" t="s">
        <v>9</v>
      </c>
    </row>
    <row r="7" spans="2:12" x14ac:dyDescent="0.2">
      <c r="B7" s="4"/>
      <c r="D7" t="s">
        <v>94</v>
      </c>
      <c r="E7" s="21">
        <v>1</v>
      </c>
      <c r="H7" s="5"/>
      <c r="J7" t="s">
        <v>5</v>
      </c>
      <c r="K7" s="3">
        <f>+K4-K5+K6</f>
        <v>7864.193921430001</v>
      </c>
    </row>
    <row r="8" spans="2:12" x14ac:dyDescent="0.2">
      <c r="B8" s="4"/>
      <c r="D8" t="s">
        <v>89</v>
      </c>
      <c r="H8" s="5"/>
    </row>
    <row r="9" spans="2:12" x14ac:dyDescent="0.2">
      <c r="B9" s="4"/>
      <c r="C9" t="s">
        <v>85</v>
      </c>
      <c r="D9" t="s">
        <v>84</v>
      </c>
      <c r="H9" s="5"/>
    </row>
    <row r="10" spans="2:12" x14ac:dyDescent="0.2">
      <c r="B10" s="4"/>
      <c r="C10" t="s">
        <v>92</v>
      </c>
      <c r="D10" t="s">
        <v>91</v>
      </c>
      <c r="H10" s="5"/>
    </row>
    <row r="11" spans="2:12" x14ac:dyDescent="0.2">
      <c r="B11" s="4"/>
      <c r="C11" t="s">
        <v>92</v>
      </c>
      <c r="D11" t="s">
        <v>93</v>
      </c>
      <c r="H11" s="5"/>
    </row>
    <row r="12" spans="2:12" x14ac:dyDescent="0.2">
      <c r="B12" s="4"/>
      <c r="D12" t="s">
        <v>90</v>
      </c>
      <c r="H12" s="5"/>
    </row>
    <row r="13" spans="2:12" x14ac:dyDescent="0.2">
      <c r="B13" s="6"/>
      <c r="C13" s="7"/>
      <c r="D13" s="7" t="s">
        <v>83</v>
      </c>
      <c r="E13" s="7"/>
      <c r="F13" s="7"/>
      <c r="G13" s="7"/>
      <c r="H13" s="8"/>
      <c r="J13" t="s">
        <v>80</v>
      </c>
    </row>
  </sheetData>
  <hyperlinks>
    <hyperlink ref="B3" location="Carvykti!A1" display="Carvykti (ciltacabtagene autoleucel)" xr:uid="{2B14A413-9C14-4966-BB22-C9C098F452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3A6D6-33FC-4271-A3C9-B3E4B8C02CAB}">
  <dimension ref="A1:AG45"/>
  <sheetViews>
    <sheetView zoomScale="145" zoomScaleNormal="145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D13" sqref="AD13"/>
    </sheetView>
  </sheetViews>
  <sheetFormatPr defaultRowHeight="12.75" x14ac:dyDescent="0.2"/>
  <cols>
    <col min="1" max="1" width="5" bestFit="1" customWidth="1"/>
    <col min="2" max="2" width="23.140625" bestFit="1" customWidth="1"/>
    <col min="3" max="18" width="9.140625" style="2"/>
  </cols>
  <sheetData>
    <row r="1" spans="1:33" x14ac:dyDescent="0.2">
      <c r="A1" s="12" t="s">
        <v>10</v>
      </c>
    </row>
    <row r="2" spans="1:33" x14ac:dyDescent="0.2">
      <c r="C2" s="2" t="s">
        <v>63</v>
      </c>
      <c r="D2" s="2" t="s">
        <v>64</v>
      </c>
      <c r="E2" s="2" t="s">
        <v>65</v>
      </c>
      <c r="F2" s="2" t="s">
        <v>66</v>
      </c>
      <c r="G2" s="2" t="s">
        <v>63</v>
      </c>
      <c r="H2" s="2" t="s">
        <v>64</v>
      </c>
      <c r="I2" s="2" t="s">
        <v>65</v>
      </c>
      <c r="J2" s="2" t="s">
        <v>66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9</v>
      </c>
      <c r="Q2" s="2" t="s">
        <v>35</v>
      </c>
      <c r="R2" s="2" t="s">
        <v>36</v>
      </c>
      <c r="W2">
        <v>2020</v>
      </c>
      <c r="X2">
        <f>+W2+1</f>
        <v>2021</v>
      </c>
      <c r="Y2">
        <f t="shared" ref="Y2:AG2" si="0">+X2+1</f>
        <v>2022</v>
      </c>
      <c r="Z2">
        <f t="shared" si="0"/>
        <v>2023</v>
      </c>
      <c r="AA2">
        <f t="shared" si="0"/>
        <v>2024</v>
      </c>
      <c r="AB2">
        <f t="shared" si="0"/>
        <v>2025</v>
      </c>
      <c r="AC2">
        <f t="shared" si="0"/>
        <v>2026</v>
      </c>
      <c r="AD2">
        <f t="shared" si="0"/>
        <v>2027</v>
      </c>
      <c r="AE2">
        <f t="shared" si="0"/>
        <v>2028</v>
      </c>
      <c r="AF2">
        <f t="shared" si="0"/>
        <v>2029</v>
      </c>
      <c r="AG2">
        <f t="shared" si="0"/>
        <v>2030</v>
      </c>
    </row>
    <row r="3" spans="1:33" x14ac:dyDescent="0.2">
      <c r="B3" t="s">
        <v>78</v>
      </c>
      <c r="D3" s="20">
        <v>24</v>
      </c>
      <c r="E3" s="20">
        <v>71</v>
      </c>
      <c r="F3" s="20">
        <v>69</v>
      </c>
      <c r="G3" s="20">
        <v>67</v>
      </c>
      <c r="H3" s="20">
        <v>89</v>
      </c>
      <c r="I3" s="20">
        <v>107</v>
      </c>
      <c r="J3" s="20">
        <v>125</v>
      </c>
      <c r="K3" s="20">
        <v>147</v>
      </c>
      <c r="L3" s="20">
        <v>132</v>
      </c>
      <c r="M3" s="20">
        <v>93</v>
      </c>
      <c r="N3" s="20">
        <v>100</v>
      </c>
      <c r="O3" s="20">
        <v>82</v>
      </c>
      <c r="P3" s="20">
        <v>95</v>
      </c>
      <c r="AA3" s="3"/>
    </row>
    <row r="4" spans="1:33" x14ac:dyDescent="0.2">
      <c r="B4" t="s">
        <v>14</v>
      </c>
      <c r="D4" s="15"/>
      <c r="E4" s="15"/>
      <c r="F4" s="15"/>
      <c r="H4" s="15">
        <v>24</v>
      </c>
      <c r="I4" s="15">
        <v>55</v>
      </c>
      <c r="J4" s="15">
        <v>54</v>
      </c>
      <c r="K4" s="15">
        <v>72</v>
      </c>
      <c r="L4" s="15">
        <v>117</v>
      </c>
      <c r="M4" s="15">
        <v>152</v>
      </c>
      <c r="N4" s="15">
        <v>159</v>
      </c>
      <c r="O4" s="15">
        <v>157</v>
      </c>
      <c r="P4" s="15">
        <v>186</v>
      </c>
      <c r="Q4" s="2">
        <f>+M4*1.5</f>
        <v>228</v>
      </c>
      <c r="R4" s="15">
        <f>+N4*1.5</f>
        <v>238.5</v>
      </c>
      <c r="T4" s="3">
        <f>SUM(H4:P4)</f>
        <v>976</v>
      </c>
      <c r="AA4" s="3">
        <f>SUM(O4:R4)</f>
        <v>809.5</v>
      </c>
      <c r="AB4" s="3">
        <f>+AA4*1.8</f>
        <v>1457.1000000000001</v>
      </c>
      <c r="AC4" s="3">
        <f>+AB4*1.8</f>
        <v>2622.78</v>
      </c>
    </row>
    <row r="5" spans="1:33" x14ac:dyDescent="0.2">
      <c r="T5" s="1">
        <f>+T4*1000/3500</f>
        <v>278.85714285714283</v>
      </c>
    </row>
    <row r="6" spans="1:33" s="3" customFormat="1" x14ac:dyDescent="0.2">
      <c r="B6" s="3" t="s">
        <v>37</v>
      </c>
      <c r="C6" s="15"/>
      <c r="D6" s="15"/>
      <c r="E6" s="15"/>
      <c r="F6" s="15"/>
      <c r="G6" s="15">
        <v>50</v>
      </c>
      <c r="H6" s="15">
        <v>0</v>
      </c>
      <c r="I6" s="15">
        <v>0</v>
      </c>
      <c r="J6" s="15">
        <v>0</v>
      </c>
      <c r="K6" s="15">
        <v>0</v>
      </c>
      <c r="L6" s="15">
        <v>15.115</v>
      </c>
      <c r="M6" s="15">
        <v>20.056999999999999</v>
      </c>
      <c r="N6" s="15">
        <v>0</v>
      </c>
      <c r="O6" s="15">
        <v>12.180999999999999</v>
      </c>
      <c r="P6" s="15">
        <v>90.846000000000004</v>
      </c>
      <c r="Q6" s="15"/>
      <c r="R6" s="15"/>
      <c r="AA6" s="3">
        <f>SUM(O6:R6)</f>
        <v>103.027</v>
      </c>
    </row>
    <row r="7" spans="1:33" s="3" customFormat="1" x14ac:dyDescent="0.2">
      <c r="B7" s="3" t="s">
        <v>38</v>
      </c>
      <c r="C7" s="15"/>
      <c r="D7" s="15"/>
      <c r="E7" s="15"/>
      <c r="F7" s="15"/>
      <c r="G7" s="15">
        <v>0</v>
      </c>
      <c r="H7" s="15">
        <v>11.936999999999999</v>
      </c>
      <c r="I7" s="15">
        <v>27.298999999999999</v>
      </c>
      <c r="J7" s="15">
        <v>27.440999999999999</v>
      </c>
      <c r="K7" s="15">
        <v>36.28</v>
      </c>
      <c r="L7" s="15">
        <v>58.152000000000001</v>
      </c>
      <c r="M7" s="15">
        <v>75.936999999999998</v>
      </c>
      <c r="N7" s="15">
        <v>79.435000000000002</v>
      </c>
      <c r="O7" s="15">
        <v>78.480999999999995</v>
      </c>
      <c r="P7" s="15">
        <v>93.254000000000005</v>
      </c>
      <c r="Q7" s="15">
        <f>+Q4/2</f>
        <v>114</v>
      </c>
      <c r="R7" s="15">
        <f>+R4/2</f>
        <v>119.25</v>
      </c>
      <c r="AA7" s="3">
        <f>SUM(O7:R7)</f>
        <v>404.98500000000001</v>
      </c>
      <c r="AB7" s="3">
        <f>+AB4/2</f>
        <v>728.55000000000007</v>
      </c>
      <c r="AC7" s="3">
        <f>+AC4/2</f>
        <v>1311.39</v>
      </c>
    </row>
    <row r="8" spans="1:33" s="3" customFormat="1" x14ac:dyDescent="0.2">
      <c r="B8" s="3" t="s">
        <v>39</v>
      </c>
      <c r="C8" s="15"/>
      <c r="D8" s="15"/>
      <c r="E8" s="15"/>
      <c r="F8" s="15"/>
      <c r="G8" s="15">
        <v>0.04</v>
      </c>
      <c r="H8" s="15">
        <v>3.4000000000000002E-2</v>
      </c>
      <c r="I8" s="15">
        <v>6.2E-2</v>
      </c>
      <c r="J8" s="15">
        <v>0.192</v>
      </c>
      <c r="K8" s="15">
        <v>5.6000000000000001E-2</v>
      </c>
      <c r="L8" s="15">
        <v>6.3E-2</v>
      </c>
      <c r="M8" s="15">
        <v>1.9E-2</v>
      </c>
      <c r="N8" s="15">
        <v>2.9000000000000001E-2</v>
      </c>
      <c r="O8" s="15">
        <v>3.3290000000000002</v>
      </c>
      <c r="P8" s="15">
        <v>2.423</v>
      </c>
      <c r="Q8" s="15"/>
      <c r="R8" s="15"/>
      <c r="AA8" s="3">
        <f>SUM(O8:R8)</f>
        <v>5.7520000000000007</v>
      </c>
    </row>
    <row r="9" spans="1:33" s="16" customFormat="1" x14ac:dyDescent="0.2">
      <c r="B9" s="16" t="s">
        <v>40</v>
      </c>
      <c r="C9" s="17"/>
      <c r="D9" s="17"/>
      <c r="E9" s="17"/>
      <c r="F9" s="17"/>
      <c r="G9" s="17">
        <f t="shared" ref="G9:J9" si="1">SUM(G6:G8)</f>
        <v>50.04</v>
      </c>
      <c r="H9" s="17">
        <f t="shared" si="1"/>
        <v>11.971</v>
      </c>
      <c r="I9" s="17">
        <f t="shared" si="1"/>
        <v>27.361000000000001</v>
      </c>
      <c r="J9" s="17">
        <f t="shared" si="1"/>
        <v>27.632999999999999</v>
      </c>
      <c r="K9" s="17">
        <f>SUM(K6:K8)</f>
        <v>36.335999999999999</v>
      </c>
      <c r="L9" s="17">
        <f>SUM(L6:L8)</f>
        <v>73.33</v>
      </c>
      <c r="M9" s="17">
        <f>SUM(M6:M8)</f>
        <v>96.013000000000005</v>
      </c>
      <c r="N9" s="17">
        <f>SUM(N6:N8)</f>
        <v>79.463999999999999</v>
      </c>
      <c r="O9" s="17">
        <f>SUM(O6:O8)</f>
        <v>93.990999999999985</v>
      </c>
      <c r="P9" s="17">
        <f>SUM(P6:P8)</f>
        <v>186.52300000000002</v>
      </c>
      <c r="Q9" s="17">
        <f>SUM(Q6:Q8)</f>
        <v>114</v>
      </c>
      <c r="R9" s="17">
        <f>SUM(R6:R8)</f>
        <v>119.25</v>
      </c>
      <c r="AA9" s="16">
        <f>SUM(AA6:AA8)</f>
        <v>513.76400000000001</v>
      </c>
      <c r="AB9" s="16">
        <f>SUM(AB6:AB8)</f>
        <v>728.55000000000007</v>
      </c>
      <c r="AC9" s="16">
        <f>SUM(AC6:AC8)</f>
        <v>1311.39</v>
      </c>
    </row>
    <row r="10" spans="1:33" s="3" customFormat="1" x14ac:dyDescent="0.2">
      <c r="B10" s="3" t="s">
        <v>41</v>
      </c>
      <c r="C10" s="15"/>
      <c r="D10" s="15"/>
      <c r="E10" s="15"/>
      <c r="F10" s="15"/>
      <c r="G10" s="15">
        <v>0</v>
      </c>
      <c r="H10" s="15">
        <v>16.939</v>
      </c>
      <c r="I10" s="15">
        <v>25.46</v>
      </c>
      <c r="J10" s="15">
        <v>22.963999999999999</v>
      </c>
      <c r="K10" s="15">
        <v>35.613</v>
      </c>
      <c r="L10" s="15">
        <v>32.671999999999997</v>
      </c>
      <c r="M10" s="15">
        <v>43.478999999999999</v>
      </c>
      <c r="N10" s="15">
        <v>32.450000000000003</v>
      </c>
      <c r="O10" s="15">
        <f>49.101+5.638</f>
        <v>54.738999999999997</v>
      </c>
      <c r="P10" s="15">
        <f>45.355+5.096</f>
        <v>50.450999999999993</v>
      </c>
      <c r="Q10" s="15">
        <f>+P10</f>
        <v>50.450999999999993</v>
      </c>
      <c r="R10" s="15">
        <f>+Q10</f>
        <v>50.450999999999993</v>
      </c>
      <c r="AA10" s="3">
        <f>SUM(O10:R10)</f>
        <v>206.09199999999998</v>
      </c>
      <c r="AB10" s="3">
        <f>+AB9*0.3</f>
        <v>218.56500000000003</v>
      </c>
      <c r="AC10" s="3">
        <f>+AC9*0.3</f>
        <v>393.41700000000003</v>
      </c>
    </row>
    <row r="11" spans="1:33" s="3" customFormat="1" x14ac:dyDescent="0.2">
      <c r="B11" s="3" t="s">
        <v>42</v>
      </c>
      <c r="C11" s="15"/>
      <c r="D11" s="15"/>
      <c r="E11" s="15"/>
      <c r="F11" s="15"/>
      <c r="G11" s="15">
        <f>+G9-G10</f>
        <v>50.04</v>
      </c>
      <c r="H11" s="15">
        <f>+H9-H10</f>
        <v>-4.968</v>
      </c>
      <c r="I11" s="15">
        <f>+I9-I10</f>
        <v>1.9009999999999998</v>
      </c>
      <c r="J11" s="15">
        <f t="shared" ref="J11" si="2">+J9-J10</f>
        <v>4.6690000000000005</v>
      </c>
      <c r="K11" s="15">
        <f>+K9-K10</f>
        <v>0.72299999999999898</v>
      </c>
      <c r="L11" s="15">
        <f>+L9-L10</f>
        <v>40.658000000000001</v>
      </c>
      <c r="M11" s="15">
        <f>+M9-M10</f>
        <v>52.534000000000006</v>
      </c>
      <c r="N11" s="15">
        <f>+N9-N10</f>
        <v>47.013999999999996</v>
      </c>
      <c r="O11" s="15">
        <f>+O9-O10</f>
        <v>39.251999999999988</v>
      </c>
      <c r="P11" s="15">
        <f>+P9-P10</f>
        <v>136.07200000000003</v>
      </c>
      <c r="Q11" s="15">
        <f>+Q9-Q10</f>
        <v>63.549000000000007</v>
      </c>
      <c r="R11" s="15">
        <f>+R9-R10</f>
        <v>68.799000000000007</v>
      </c>
      <c r="AA11" s="3">
        <f>+AA9-AA10</f>
        <v>307.67200000000003</v>
      </c>
      <c r="AB11" s="3">
        <f>+AB9-AB10</f>
        <v>509.98500000000001</v>
      </c>
      <c r="AC11" s="3">
        <f>+AC9-AC10</f>
        <v>917.97300000000007</v>
      </c>
    </row>
    <row r="12" spans="1:33" s="3" customFormat="1" x14ac:dyDescent="0.2">
      <c r="B12" s="3" t="s">
        <v>43</v>
      </c>
      <c r="C12" s="15"/>
      <c r="D12" s="15"/>
      <c r="E12" s="15"/>
      <c r="F12" s="15"/>
      <c r="G12" s="15">
        <v>81.548000000000002</v>
      </c>
      <c r="H12" s="15">
        <v>68.826999999999998</v>
      </c>
      <c r="I12" s="15">
        <v>104.517</v>
      </c>
      <c r="J12" s="15">
        <v>80.756</v>
      </c>
      <c r="K12" s="15">
        <v>84.888999999999996</v>
      </c>
      <c r="L12" s="15">
        <v>95.790999999999997</v>
      </c>
      <c r="M12" s="15">
        <v>95.855000000000004</v>
      </c>
      <c r="N12" s="15">
        <v>105.68300000000001</v>
      </c>
      <c r="O12" s="15">
        <v>100.964</v>
      </c>
      <c r="P12" s="15">
        <v>112.626</v>
      </c>
      <c r="Q12" s="15"/>
      <c r="R12" s="15"/>
      <c r="AA12" s="3">
        <f>SUM(O12:R12)</f>
        <v>213.59</v>
      </c>
    </row>
    <row r="13" spans="1:33" s="3" customFormat="1" x14ac:dyDescent="0.2">
      <c r="B13" s="3" t="s">
        <v>44</v>
      </c>
      <c r="C13" s="15"/>
      <c r="D13" s="15"/>
      <c r="E13" s="15"/>
      <c r="F13" s="15"/>
      <c r="G13" s="15">
        <v>12.657</v>
      </c>
      <c r="H13" s="15">
        <v>18.05</v>
      </c>
      <c r="I13" s="15">
        <v>23.242999999999999</v>
      </c>
      <c r="J13" s="15">
        <v>26.681000000000001</v>
      </c>
      <c r="K13" s="15">
        <v>22.204999999999998</v>
      </c>
      <c r="L13" s="15">
        <v>27.753</v>
      </c>
      <c r="M13" s="15">
        <v>28.103999999999999</v>
      </c>
      <c r="N13" s="15">
        <v>28.707000000000001</v>
      </c>
      <c r="O13" s="15">
        <v>31.928999999999998</v>
      </c>
      <c r="P13" s="15">
        <v>35.353000000000002</v>
      </c>
      <c r="Q13" s="15">
        <f>+P13</f>
        <v>35.353000000000002</v>
      </c>
      <c r="R13" s="15">
        <f>+Q13</f>
        <v>35.353000000000002</v>
      </c>
      <c r="AA13" s="3">
        <f>SUM(O13:R13)</f>
        <v>137.988</v>
      </c>
      <c r="AB13" s="3">
        <f>+AA13</f>
        <v>137.988</v>
      </c>
      <c r="AC13" s="3">
        <f>+AB13</f>
        <v>137.988</v>
      </c>
    </row>
    <row r="14" spans="1:33" s="3" customFormat="1" x14ac:dyDescent="0.2">
      <c r="B14" s="3" t="s">
        <v>45</v>
      </c>
      <c r="C14" s="15"/>
      <c r="D14" s="15"/>
      <c r="E14" s="15"/>
      <c r="F14" s="15"/>
      <c r="G14" s="15">
        <v>21.302</v>
      </c>
      <c r="H14" s="15">
        <v>27.44</v>
      </c>
      <c r="I14" s="15">
        <v>18.852</v>
      </c>
      <c r="J14" s="15">
        <v>25.823</v>
      </c>
      <c r="K14" s="15">
        <v>17.954000000000001</v>
      </c>
      <c r="L14" s="15">
        <v>21.428999999999998</v>
      </c>
      <c r="M14" s="15">
        <v>21.097999999999999</v>
      </c>
      <c r="N14" s="15">
        <v>33.677</v>
      </c>
      <c r="O14" s="15">
        <v>24.222999999999999</v>
      </c>
      <c r="P14" s="15">
        <v>30.062999999999999</v>
      </c>
      <c r="Q14" s="15">
        <f>+P14</f>
        <v>30.062999999999999</v>
      </c>
      <c r="R14" s="15">
        <f>+Q14</f>
        <v>30.062999999999999</v>
      </c>
      <c r="AA14" s="3">
        <f>SUM(O14:R14)</f>
        <v>114.41200000000001</v>
      </c>
      <c r="AB14" s="3">
        <f>+AA14</f>
        <v>114.41200000000001</v>
      </c>
      <c r="AC14" s="3">
        <f>+AB14</f>
        <v>114.41200000000001</v>
      </c>
    </row>
    <row r="15" spans="1:33" s="3" customFormat="1" x14ac:dyDescent="0.2">
      <c r="B15" s="3" t="s">
        <v>46</v>
      </c>
      <c r="C15" s="15"/>
      <c r="D15" s="15"/>
      <c r="E15" s="15"/>
      <c r="F15" s="15"/>
      <c r="G15" s="15">
        <f t="shared" ref="G15:I15" si="3">SUM(G12:G14)</f>
        <v>115.50700000000001</v>
      </c>
      <c r="H15" s="15">
        <f t="shared" si="3"/>
        <v>114.31699999999999</v>
      </c>
      <c r="I15" s="15">
        <f t="shared" si="3"/>
        <v>146.61199999999999</v>
      </c>
      <c r="J15" s="15">
        <f t="shared" ref="J15" si="4">SUM(J12:J14)</f>
        <v>133.26</v>
      </c>
      <c r="K15" s="15">
        <f>SUM(K12:K14)</f>
        <v>125.048</v>
      </c>
      <c r="L15" s="15">
        <f>SUM(L12:L14)</f>
        <v>144.97299999999998</v>
      </c>
      <c r="M15" s="15">
        <f t="shared" ref="M15:O15" si="5">SUM(M12:M14)</f>
        <v>145.05700000000002</v>
      </c>
      <c r="N15" s="15">
        <f t="shared" si="5"/>
        <v>168.06700000000001</v>
      </c>
      <c r="O15" s="15">
        <f t="shared" si="5"/>
        <v>157.11599999999999</v>
      </c>
      <c r="P15" s="15">
        <f>SUM(P12:P14)</f>
        <v>178.042</v>
      </c>
      <c r="Q15" s="15">
        <f>SUM(Q12:Q14)</f>
        <v>65.415999999999997</v>
      </c>
      <c r="R15" s="15">
        <f>SUM(R12:R14)</f>
        <v>65.415999999999997</v>
      </c>
      <c r="AA15" s="15">
        <f>SUM(AA12:AA14)</f>
        <v>465.99</v>
      </c>
      <c r="AB15" s="15">
        <f t="shared" ref="AB15:AC15" si="6">SUM(AB12:AB14)</f>
        <v>252.4</v>
      </c>
      <c r="AC15" s="15">
        <f t="shared" si="6"/>
        <v>252.4</v>
      </c>
    </row>
    <row r="16" spans="1:33" s="3" customFormat="1" x14ac:dyDescent="0.2">
      <c r="B16" s="3" t="s">
        <v>47</v>
      </c>
      <c r="C16" s="15"/>
      <c r="D16" s="15"/>
      <c r="E16" s="15"/>
      <c r="F16" s="15"/>
      <c r="G16" s="15">
        <f t="shared" ref="G16:I16" si="7">+G11-G15</f>
        <v>-65.467000000000013</v>
      </c>
      <c r="H16" s="15">
        <f t="shared" si="7"/>
        <v>-119.285</v>
      </c>
      <c r="I16" s="15">
        <f t="shared" si="7"/>
        <v>-144.71099999999998</v>
      </c>
      <c r="J16" s="15">
        <f t="shared" ref="J16" si="8">+J11-J15</f>
        <v>-128.59099999999998</v>
      </c>
      <c r="K16" s="15">
        <f>+K11-K15</f>
        <v>-124.325</v>
      </c>
      <c r="L16" s="15">
        <f>+L11-L15</f>
        <v>-104.31499999999998</v>
      </c>
      <c r="M16" s="15">
        <f t="shared" ref="M16:O16" si="9">+M11-M15</f>
        <v>-92.52300000000001</v>
      </c>
      <c r="N16" s="15">
        <f t="shared" si="9"/>
        <v>-121.05300000000001</v>
      </c>
      <c r="O16" s="15">
        <f t="shared" si="9"/>
        <v>-117.864</v>
      </c>
      <c r="P16" s="15">
        <f>+P11-P15</f>
        <v>-41.96999999999997</v>
      </c>
      <c r="Q16" s="15">
        <f>+Q11-Q15</f>
        <v>-1.8669999999999902</v>
      </c>
      <c r="R16" s="15">
        <f>+R11-R15</f>
        <v>3.3830000000000098</v>
      </c>
      <c r="AA16" s="15">
        <f>+AA11-AA15</f>
        <v>-158.31799999999998</v>
      </c>
      <c r="AB16" s="15">
        <f t="shared" ref="AB16:AC16" si="10">+AB11-AB15</f>
        <v>257.58500000000004</v>
      </c>
      <c r="AC16" s="15">
        <f t="shared" si="10"/>
        <v>665.57300000000009</v>
      </c>
    </row>
    <row r="17" spans="2:29" s="3" customFormat="1" x14ac:dyDescent="0.2">
      <c r="B17" s="3" t="s">
        <v>52</v>
      </c>
      <c r="C17" s="15"/>
      <c r="D17" s="15"/>
      <c r="E17" s="15"/>
      <c r="F17" s="15"/>
      <c r="G17" s="15">
        <f>-1.527+1.012</f>
        <v>-0.5149999999999999</v>
      </c>
      <c r="H17" s="15">
        <f>1.856-1.643</f>
        <v>0.21300000000000008</v>
      </c>
      <c r="I17" s="15">
        <f>3.924-3.248</f>
        <v>0.67599999999999971</v>
      </c>
      <c r="J17" s="15">
        <f>7.356-4.861</f>
        <v>2.4950000000000001</v>
      </c>
      <c r="K17" s="15">
        <f>8.199-5.113</f>
        <v>3.0859999999999994</v>
      </c>
      <c r="L17" s="15">
        <f>16.433-5.185</f>
        <v>11.248000000000001</v>
      </c>
      <c r="M17" s="15">
        <f>35.838-5.676</f>
        <v>30.161999999999999</v>
      </c>
      <c r="N17" s="15">
        <f>-38.389+18.45</f>
        <v>-19.939000000000004</v>
      </c>
      <c r="O17" s="15">
        <f>64.091-0.54-5.475</f>
        <v>58.075999999999993</v>
      </c>
      <c r="P17" s="15">
        <f>29.484-5.484</f>
        <v>24</v>
      </c>
      <c r="Q17" s="15">
        <f>+P17</f>
        <v>24</v>
      </c>
      <c r="R17" s="15">
        <f>+Q17</f>
        <v>24</v>
      </c>
      <c r="AA17" s="3">
        <f>SUM(O17:R17)</f>
        <v>130.07599999999999</v>
      </c>
      <c r="AB17" s="3">
        <f>+AA17</f>
        <v>130.07599999999999</v>
      </c>
      <c r="AC17" s="3">
        <f>+AB17</f>
        <v>130.07599999999999</v>
      </c>
    </row>
    <row r="18" spans="2:29" s="3" customFormat="1" x14ac:dyDescent="0.2">
      <c r="B18" s="3" t="s">
        <v>51</v>
      </c>
      <c r="C18" s="15"/>
      <c r="D18" s="15"/>
      <c r="E18" s="15"/>
      <c r="F18" s="15"/>
      <c r="G18" s="15">
        <f t="shared" ref="G18:J18" si="11">+G16+G17</f>
        <v>-65.982000000000014</v>
      </c>
      <c r="H18" s="15">
        <f t="shared" si="11"/>
        <v>-119.072</v>
      </c>
      <c r="I18" s="15">
        <f t="shared" si="11"/>
        <v>-144.035</v>
      </c>
      <c r="J18" s="15">
        <f t="shared" si="11"/>
        <v>-126.09599999999998</v>
      </c>
      <c r="K18" s="15">
        <f>+K16+K17</f>
        <v>-121.239</v>
      </c>
      <c r="L18" s="15">
        <f>+L16+L17</f>
        <v>-93.066999999999979</v>
      </c>
      <c r="M18" s="15">
        <f t="shared" ref="M18" si="12">+M16+M17</f>
        <v>-62.361000000000011</v>
      </c>
      <c r="N18" s="15">
        <f>+N16+N17</f>
        <v>-140.99200000000002</v>
      </c>
      <c r="O18" s="15">
        <f>+O16+O17</f>
        <v>-59.788000000000011</v>
      </c>
      <c r="P18" s="15">
        <f>+P16+P17</f>
        <v>-17.96999999999997</v>
      </c>
      <c r="Q18" s="15">
        <f>+Q16+Q17</f>
        <v>22.13300000000001</v>
      </c>
      <c r="R18" s="15">
        <f>+R16+R17</f>
        <v>27.38300000000001</v>
      </c>
      <c r="AA18" s="15">
        <f>+AA16+AA17</f>
        <v>-28.24199999999999</v>
      </c>
      <c r="AB18" s="15">
        <f>+AB16+AB17</f>
        <v>387.66100000000006</v>
      </c>
      <c r="AC18" s="15">
        <f>+AC16+AC17</f>
        <v>795.64900000000011</v>
      </c>
    </row>
    <row r="19" spans="2:29" s="3" customFormat="1" x14ac:dyDescent="0.2">
      <c r="B19" s="3" t="s">
        <v>50</v>
      </c>
      <c r="C19" s="15"/>
      <c r="D19" s="15"/>
      <c r="E19" s="15"/>
      <c r="F19" s="15"/>
      <c r="G19" s="15">
        <v>0.16300000000000001</v>
      </c>
      <c r="H19" s="15">
        <v>0.157</v>
      </c>
      <c r="I19" s="15">
        <v>0.152</v>
      </c>
      <c r="J19" s="15">
        <v>0.153</v>
      </c>
      <c r="K19" s="15">
        <v>0.128</v>
      </c>
      <c r="L19" s="15">
        <v>0.28999999999999998</v>
      </c>
      <c r="M19" s="15">
        <v>-0.28799999999999998</v>
      </c>
      <c r="N19" s="15">
        <v>5.0000000000000001E-3</v>
      </c>
      <c r="O19" s="15">
        <v>5.0000000000000001E-3</v>
      </c>
      <c r="P19" s="15">
        <v>0.22600000000000001</v>
      </c>
      <c r="Q19" s="15">
        <v>0</v>
      </c>
      <c r="R19" s="15">
        <v>0</v>
      </c>
      <c r="AA19" s="3">
        <f>SUM(O19:R19)</f>
        <v>0.23100000000000001</v>
      </c>
      <c r="AB19" s="3">
        <f>+AB18*0.1</f>
        <v>38.766100000000009</v>
      </c>
      <c r="AC19" s="3">
        <f>+AC18*0.1</f>
        <v>79.564900000000023</v>
      </c>
    </row>
    <row r="20" spans="2:29" s="3" customFormat="1" x14ac:dyDescent="0.2">
      <c r="B20" s="3" t="s">
        <v>49</v>
      </c>
      <c r="C20" s="15"/>
      <c r="D20" s="15"/>
      <c r="E20" s="15"/>
      <c r="F20" s="15"/>
      <c r="G20" s="15">
        <f t="shared" ref="G20:J20" si="13">+G18-G19</f>
        <v>-66.14500000000001</v>
      </c>
      <c r="H20" s="15">
        <f t="shared" si="13"/>
        <v>-119.229</v>
      </c>
      <c r="I20" s="15">
        <f t="shared" si="13"/>
        <v>-144.18699999999998</v>
      </c>
      <c r="J20" s="15">
        <f t="shared" si="13"/>
        <v>-126.24899999999998</v>
      </c>
      <c r="K20" s="15">
        <f>+K18-K19</f>
        <v>-121.367</v>
      </c>
      <c r="L20" s="15">
        <f>+L18-L19</f>
        <v>-93.356999999999985</v>
      </c>
      <c r="M20" s="15">
        <f t="shared" ref="M20" si="14">+M18-M19</f>
        <v>-62.073000000000015</v>
      </c>
      <c r="N20" s="15">
        <f>+N18-N19</f>
        <v>-140.99700000000001</v>
      </c>
      <c r="O20" s="15">
        <f>+O18-O19</f>
        <v>-59.793000000000013</v>
      </c>
      <c r="P20" s="15">
        <f>+P18-P19</f>
        <v>-18.19599999999997</v>
      </c>
      <c r="Q20" s="15">
        <f>+Q18-Q19</f>
        <v>22.13300000000001</v>
      </c>
      <c r="R20" s="15">
        <f>+R18-R19</f>
        <v>27.38300000000001</v>
      </c>
      <c r="AA20" s="3">
        <f>+AA18-AA19</f>
        <v>-28.472999999999992</v>
      </c>
      <c r="AB20" s="3">
        <f>+AB18-AB19</f>
        <v>348.89490000000006</v>
      </c>
      <c r="AC20" s="3">
        <f>+AC18-AC19</f>
        <v>716.08410000000003</v>
      </c>
    </row>
    <row r="21" spans="2:29" x14ac:dyDescent="0.2">
      <c r="B21" t="s">
        <v>48</v>
      </c>
      <c r="C21" s="18"/>
      <c r="D21" s="18"/>
      <c r="E21" s="18"/>
      <c r="F21" s="18"/>
      <c r="G21" s="18">
        <f t="shared" ref="G21:J21" si="15">G20/G22</f>
        <v>-0.21427018783609156</v>
      </c>
      <c r="H21" s="18">
        <f t="shared" si="15"/>
        <v>-0.38488553357222977</v>
      </c>
      <c r="I21" s="18">
        <f t="shared" si="15"/>
        <v>-0.44551523306641511</v>
      </c>
      <c r="J21" s="18">
        <f t="shared" si="15"/>
        <v>-0.38266144790921502</v>
      </c>
      <c r="K21" s="18">
        <f>K20/K22</f>
        <v>-0.36722564368134553</v>
      </c>
      <c r="L21" s="18">
        <f>L20/L22</f>
        <v>-0.26634053623621662</v>
      </c>
      <c r="M21" s="18">
        <f>M20/M22</f>
        <v>-0.17096457830586836</v>
      </c>
      <c r="N21" s="18">
        <f>N20/N22</f>
        <v>-0.38734329779326188</v>
      </c>
      <c r="O21" s="18">
        <f>O20/O22</f>
        <v>-0.16426177723605831</v>
      </c>
      <c r="P21" s="18">
        <f>P20/P22</f>
        <v>-4.9824186830032521E-2</v>
      </c>
      <c r="Q21" s="18">
        <f>Q20/Q22</f>
        <v>6.0604458513360743E-2</v>
      </c>
      <c r="R21" s="18">
        <f>R20/R22</f>
        <v>7.4979979554120862E-2</v>
      </c>
      <c r="AA21" s="18">
        <f>AA20/AA22</f>
        <v>-7.8028373425941266E-2</v>
      </c>
      <c r="AB21" s="18">
        <f>AB20/AB22</f>
        <v>0.95612339913625011</v>
      </c>
      <c r="AC21" s="18">
        <f>AC20/AC22</f>
        <v>1.9623811175211283</v>
      </c>
    </row>
    <row r="22" spans="2:29" x14ac:dyDescent="0.2">
      <c r="B22" t="s">
        <v>1</v>
      </c>
      <c r="C22" s="15"/>
      <c r="D22" s="15"/>
      <c r="E22" s="15"/>
      <c r="F22" s="15"/>
      <c r="G22" s="15">
        <v>308.69903399999998</v>
      </c>
      <c r="H22" s="15">
        <v>309.77781599999997</v>
      </c>
      <c r="I22" s="15">
        <v>323.64100999999999</v>
      </c>
      <c r="J22" s="15">
        <v>329.92348900000002</v>
      </c>
      <c r="K22" s="15">
        <v>330.497072</v>
      </c>
      <c r="L22" s="15">
        <v>350.51742899999999</v>
      </c>
      <c r="M22" s="15">
        <v>363.07520899999997</v>
      </c>
      <c r="N22" s="15">
        <v>364.01042899999999</v>
      </c>
      <c r="O22" s="15">
        <v>364.01042899999999</v>
      </c>
      <c r="P22" s="15">
        <v>365.20415400000002</v>
      </c>
      <c r="Q22" s="15">
        <f>+P22</f>
        <v>365.20415400000002</v>
      </c>
      <c r="R22" s="15">
        <f>+Q22</f>
        <v>365.20415400000002</v>
      </c>
      <c r="AA22" s="3">
        <f>AVERAGE(O22:R22)</f>
        <v>364.90572275</v>
      </c>
      <c r="AB22" s="3">
        <f>+AA22</f>
        <v>364.90572275</v>
      </c>
      <c r="AC22" s="3">
        <f>+AB22</f>
        <v>364.90572275</v>
      </c>
    </row>
    <row r="24" spans="2:29" x14ac:dyDescent="0.2">
      <c r="B24" t="s">
        <v>68</v>
      </c>
      <c r="K24" s="19"/>
      <c r="L24" s="19">
        <f t="shared" ref="L24:O24" si="16">+L7/H7-1</f>
        <v>3.8715757728072386</v>
      </c>
      <c r="M24" s="19">
        <f t="shared" si="16"/>
        <v>1.781676984504927</v>
      </c>
      <c r="N24" s="19">
        <f t="shared" si="16"/>
        <v>1.8947560220108599</v>
      </c>
      <c r="O24" s="19">
        <f t="shared" si="16"/>
        <v>1.163202866593164</v>
      </c>
      <c r="P24" s="19">
        <f>+P7/L7-1</f>
        <v>0.60362498280368704</v>
      </c>
    </row>
    <row r="26" spans="2:29" x14ac:dyDescent="0.2">
      <c r="B26" t="s">
        <v>3</v>
      </c>
      <c r="P26" s="15">
        <f>201.253+1048.385+0.431+42.201+4.4</f>
        <v>1296.67</v>
      </c>
    </row>
    <row r="27" spans="2:29" x14ac:dyDescent="0.2">
      <c r="B27" t="s">
        <v>53</v>
      </c>
      <c r="P27" s="15">
        <v>100.628</v>
      </c>
    </row>
    <row r="28" spans="2:29" x14ac:dyDescent="0.2">
      <c r="B28" t="s">
        <v>54</v>
      </c>
      <c r="P28" s="15">
        <v>13.064</v>
      </c>
    </row>
    <row r="29" spans="2:29" x14ac:dyDescent="0.2">
      <c r="B29" t="s">
        <v>55</v>
      </c>
      <c r="P29" s="15">
        <v>18.87</v>
      </c>
    </row>
    <row r="30" spans="2:29" x14ac:dyDescent="0.2">
      <c r="B30" t="s">
        <v>56</v>
      </c>
      <c r="P30" s="15">
        <v>1.5960000000000001</v>
      </c>
    </row>
    <row r="31" spans="2:29" x14ac:dyDescent="0.2">
      <c r="B31" t="s">
        <v>57</v>
      </c>
      <c r="P31" s="15">
        <v>144.55199999999999</v>
      </c>
    </row>
    <row r="32" spans="2:29" x14ac:dyDescent="0.2">
      <c r="B32" t="s">
        <v>58</v>
      </c>
      <c r="P32" s="15">
        <v>2.7719999999999998</v>
      </c>
    </row>
    <row r="33" spans="2:16" x14ac:dyDescent="0.2">
      <c r="B33" t="s">
        <v>59</v>
      </c>
      <c r="P33" s="15">
        <v>114.718</v>
      </c>
    </row>
    <row r="34" spans="2:16" x14ac:dyDescent="0.2">
      <c r="B34" t="s">
        <v>60</v>
      </c>
      <c r="P34" s="15">
        <f>105.018+0.295</f>
        <v>105.313</v>
      </c>
    </row>
    <row r="35" spans="2:16" x14ac:dyDescent="0.2">
      <c r="B35" t="s">
        <v>61</v>
      </c>
      <c r="P35" s="15">
        <f>SUM(P26:P34)</f>
        <v>1798.183</v>
      </c>
    </row>
    <row r="37" spans="2:16" x14ac:dyDescent="0.2">
      <c r="B37" t="s">
        <v>62</v>
      </c>
      <c r="P37" s="15">
        <v>39.49</v>
      </c>
    </row>
    <row r="38" spans="2:16" x14ac:dyDescent="0.2">
      <c r="B38" t="s">
        <v>69</v>
      </c>
      <c r="P38" s="15">
        <v>169.53100000000001</v>
      </c>
    </row>
    <row r="39" spans="2:16" x14ac:dyDescent="0.2">
      <c r="B39" t="s">
        <v>70</v>
      </c>
      <c r="P39" s="15">
        <f>0.545+6.574</f>
        <v>7.1189999999999998</v>
      </c>
    </row>
    <row r="40" spans="2:16" x14ac:dyDescent="0.2">
      <c r="B40" t="s">
        <v>71</v>
      </c>
      <c r="P40" s="15">
        <f>3.325+44.042</f>
        <v>47.367000000000004</v>
      </c>
    </row>
    <row r="41" spans="2:16" x14ac:dyDescent="0.2">
      <c r="B41" t="s">
        <v>50</v>
      </c>
      <c r="P41" s="15">
        <v>6.5659999999999998</v>
      </c>
    </row>
    <row r="42" spans="2:16" x14ac:dyDescent="0.2">
      <c r="B42" t="s">
        <v>72</v>
      </c>
      <c r="P42" s="15">
        <f>74.845+2.704</f>
        <v>77.548999999999992</v>
      </c>
    </row>
    <row r="43" spans="2:16" x14ac:dyDescent="0.2">
      <c r="B43" t="s">
        <v>73</v>
      </c>
      <c r="P43" s="15">
        <v>291.55900000000003</v>
      </c>
    </row>
    <row r="44" spans="2:16" x14ac:dyDescent="0.2">
      <c r="B44" t="s">
        <v>74</v>
      </c>
      <c r="P44" s="15">
        <v>1159.002</v>
      </c>
    </row>
    <row r="45" spans="2:16" x14ac:dyDescent="0.2">
      <c r="B45" t="s">
        <v>75</v>
      </c>
      <c r="P45" s="15">
        <f>SUM(P37:P44)</f>
        <v>1798.183</v>
      </c>
    </row>
  </sheetData>
  <hyperlinks>
    <hyperlink ref="A1" location="Main!A1" display="Main" xr:uid="{26925067-ABFF-45D6-804B-C4695C6C1E1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A1D5-92E5-4447-96FA-7B9AF434BFB3}">
  <dimension ref="A1:C27"/>
  <sheetViews>
    <sheetView zoomScale="235" zoomScaleNormal="235" workbookViewId="0">
      <selection activeCell="A11" sqref="A11"/>
    </sheetView>
  </sheetViews>
  <sheetFormatPr defaultRowHeight="12.75" x14ac:dyDescent="0.2"/>
  <cols>
    <col min="1" max="1" width="5" bestFit="1" customWidth="1"/>
    <col min="2" max="2" width="13" customWidth="1"/>
  </cols>
  <sheetData>
    <row r="1" spans="1:3" x14ac:dyDescent="0.2">
      <c r="A1" s="12" t="s">
        <v>10</v>
      </c>
    </row>
    <row r="2" spans="1:3" x14ac:dyDescent="0.2">
      <c r="B2" t="s">
        <v>15</v>
      </c>
      <c r="C2" t="s">
        <v>14</v>
      </c>
    </row>
    <row r="3" spans="1:3" x14ac:dyDescent="0.2">
      <c r="B3" t="s">
        <v>16</v>
      </c>
    </row>
    <row r="4" spans="1:3" x14ac:dyDescent="0.2">
      <c r="B4" t="s">
        <v>8</v>
      </c>
      <c r="C4" t="s">
        <v>17</v>
      </c>
    </row>
    <row r="5" spans="1:3" s="22" customFormat="1" x14ac:dyDescent="0.2">
      <c r="C5" s="22" t="s">
        <v>96</v>
      </c>
    </row>
    <row r="6" spans="1:3" x14ac:dyDescent="0.2">
      <c r="B6" t="s">
        <v>25</v>
      </c>
      <c r="C6" t="s">
        <v>78</v>
      </c>
    </row>
    <row r="7" spans="1:3" x14ac:dyDescent="0.2">
      <c r="B7" t="s">
        <v>12</v>
      </c>
      <c r="C7" t="s">
        <v>13</v>
      </c>
    </row>
    <row r="8" spans="1:3" x14ac:dyDescent="0.2">
      <c r="B8" t="s">
        <v>19</v>
      </c>
      <c r="C8" t="s">
        <v>20</v>
      </c>
    </row>
    <row r="9" spans="1:3" x14ac:dyDescent="0.2">
      <c r="B9" t="s">
        <v>26</v>
      </c>
      <c r="C9" t="s">
        <v>27</v>
      </c>
    </row>
    <row r="10" spans="1:3" x14ac:dyDescent="0.2">
      <c r="B10" t="s">
        <v>21</v>
      </c>
      <c r="C10" t="s">
        <v>104</v>
      </c>
    </row>
    <row r="11" spans="1:3" x14ac:dyDescent="0.2">
      <c r="B11" t="s">
        <v>76</v>
      </c>
      <c r="C11" t="s">
        <v>77</v>
      </c>
    </row>
    <row r="12" spans="1:3" x14ac:dyDescent="0.2">
      <c r="B12" t="s">
        <v>18</v>
      </c>
    </row>
    <row r="14" spans="1:3" x14ac:dyDescent="0.2">
      <c r="C14" t="s">
        <v>97</v>
      </c>
    </row>
    <row r="15" spans="1:3" x14ac:dyDescent="0.2">
      <c r="C15" t="s">
        <v>98</v>
      </c>
    </row>
    <row r="16" spans="1:3" x14ac:dyDescent="0.2">
      <c r="C16" t="s">
        <v>103</v>
      </c>
    </row>
    <row r="18" spans="3:3" x14ac:dyDescent="0.2">
      <c r="C18" s="14" t="s">
        <v>99</v>
      </c>
    </row>
    <row r="19" spans="3:3" x14ac:dyDescent="0.2">
      <c r="C19" t="s">
        <v>28</v>
      </c>
    </row>
    <row r="20" spans="3:3" x14ac:dyDescent="0.2">
      <c r="C20" t="s">
        <v>29</v>
      </c>
    </row>
    <row r="21" spans="3:3" x14ac:dyDescent="0.2">
      <c r="C21" t="s">
        <v>79</v>
      </c>
    </row>
    <row r="23" spans="3:3" x14ac:dyDescent="0.2">
      <c r="C23" s="14" t="s">
        <v>100</v>
      </c>
    </row>
    <row r="25" spans="3:3" x14ac:dyDescent="0.2">
      <c r="C25" s="14" t="s">
        <v>101</v>
      </c>
    </row>
    <row r="27" spans="3:3" x14ac:dyDescent="0.2">
      <c r="C27" s="14" t="s">
        <v>102</v>
      </c>
    </row>
  </sheetData>
  <hyperlinks>
    <hyperlink ref="A1" location="Main!A1" display="Main" xr:uid="{8FE5F2EB-049F-49CD-8086-DC491C9513F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Carvykti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2024-09-08T01:22:29Z</dcterms:created>
  <dcterms:modified xsi:type="dcterms:W3CDTF">2024-10-09T16:09:52Z</dcterms:modified>
</cp:coreProperties>
</file>