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DD1BC90-5C7F-4E5A-9704-4B4EE12167ED}" xr6:coauthVersionLast="47" xr6:coauthVersionMax="47" xr10:uidLastSave="{00000000-0000-0000-0000-000000000000}"/>
  <bookViews>
    <workbookView xWindow="-36195" yWindow="810" windowWidth="24255" windowHeight="19950" activeTab="2" xr2:uid="{00000000-000D-0000-FFFF-FFFF00000000}"/>
  </bookViews>
  <sheets>
    <sheet name="Master" sheetId="27" r:id="rId1"/>
    <sheet name="Main" sheetId="1" r:id="rId2"/>
    <sheet name="Model" sheetId="2" r:id="rId3"/>
    <sheet name="GLP-1s" sheetId="33" r:id="rId4"/>
    <sheet name="Obesity" sheetId="34" r:id="rId5"/>
    <sheet name="Trulicity" sheetId="29" r:id="rId6"/>
    <sheet name="Mounjaro-Zepbound" sheetId="30" r:id="rId7"/>
    <sheet name="donanemab" sheetId="35" r:id="rId8"/>
    <sheet name="Jayprica" sheetId="28" r:id="rId9"/>
    <sheet name="Verzenio" sheetId="31" r:id="rId10"/>
    <sheet name="Alimta" sheetId="10" r:id="rId11"/>
    <sheet name="Cymbalta" sheetId="4" r:id="rId12"/>
    <sheet name="Jardiance" sheetId="32" r:id="rId13"/>
    <sheet name="Forteo" sheetId="6" r:id="rId14"/>
    <sheet name="Strattera" sheetId="5" r:id="rId15"/>
    <sheet name="Cialis" sheetId="9" r:id="rId16"/>
    <sheet name="Evista" sheetId="7" r:id="rId17"/>
    <sheet name="Gemzar" sheetId="23" r:id="rId18"/>
    <sheet name="Zyprexa" sheetId="3" r:id="rId19"/>
    <sheet name="Exenatide" sheetId="11" r:id="rId20"/>
    <sheet name="Effient" sheetId="14" r:id="rId21"/>
    <sheet name="Enzastaurin" sheetId="15" r:id="rId22"/>
    <sheet name="Arzoxifene" sheetId="16" r:id="rId23"/>
    <sheet name="LY2062430" sheetId="26" r:id="rId24"/>
    <sheet name="LY2140023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145" i="2" l="1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DY25" i="2"/>
  <c r="DY23" i="2"/>
  <c r="DY22" i="2"/>
  <c r="DY21" i="2"/>
  <c r="DY20" i="2"/>
  <c r="DY19" i="2"/>
  <c r="DY18" i="2"/>
  <c r="DY17" i="2"/>
  <c r="DY16" i="2"/>
  <c r="DY15" i="2"/>
  <c r="DY14" i="2"/>
  <c r="DY13" i="2"/>
  <c r="DY12" i="2"/>
  <c r="DY11" i="2"/>
  <c r="DY10" i="2"/>
  <c r="DY9" i="2"/>
  <c r="DA76" i="2"/>
  <c r="DB76" i="2"/>
  <c r="DB45" i="2"/>
  <c r="DC76" i="2"/>
  <c r="DD67" i="2"/>
  <c r="DD64" i="2"/>
  <c r="DD68" i="2" s="1"/>
  <c r="DD70" i="2" s="1"/>
  <c r="DD72" i="2" s="1"/>
  <c r="DD73" i="2" s="1"/>
  <c r="DD76" i="2" l="1"/>
  <c r="DE76" i="2"/>
  <c r="DH76" i="2"/>
  <c r="DG76" i="2"/>
  <c r="DF76" i="2"/>
  <c r="DG67" i="2"/>
  <c r="DF67" i="2"/>
  <c r="DE67" i="2"/>
  <c r="DH64" i="2"/>
  <c r="DG64" i="2"/>
  <c r="DG68" i="2" s="1"/>
  <c r="DG70" i="2" s="1"/>
  <c r="DG72" i="2" s="1"/>
  <c r="DG73" i="2" s="1"/>
  <c r="DF64" i="2"/>
  <c r="DF68" i="2" s="1"/>
  <c r="DF70" i="2" s="1"/>
  <c r="DF72" i="2" s="1"/>
  <c r="DF73" i="2" s="1"/>
  <c r="DE64" i="2"/>
  <c r="DE68" i="2" s="1"/>
  <c r="DE70" i="2" s="1"/>
  <c r="DE72" i="2" s="1"/>
  <c r="DE73" i="2" s="1"/>
  <c r="DW18" i="2"/>
  <c r="DW17" i="2"/>
  <c r="DW16" i="2"/>
  <c r="DW14" i="2"/>
  <c r="DW12" i="2"/>
  <c r="DV14" i="2"/>
  <c r="DV13" i="2"/>
  <c r="DV12" i="2"/>
  <c r="DU14" i="2"/>
  <c r="DU13" i="2"/>
  <c r="DU12" i="2"/>
  <c r="DU5" i="2"/>
  <c r="DU3" i="2" s="1"/>
  <c r="DV18" i="2"/>
  <c r="DV11" i="2"/>
  <c r="DW11" i="2"/>
  <c r="DW9" i="2"/>
  <c r="DW5" i="2"/>
  <c r="DV5" i="2"/>
  <c r="DX15" i="2"/>
  <c r="DX14" i="2"/>
  <c r="DX13" i="2"/>
  <c r="DX12" i="2"/>
  <c r="DX11" i="2"/>
  <c r="DX10" i="2"/>
  <c r="DY81" i="2" s="1"/>
  <c r="DX9" i="2"/>
  <c r="DY80" i="2" s="1"/>
  <c r="DZ114" i="2"/>
  <c r="DZ112" i="2"/>
  <c r="DZ111" i="2"/>
  <c r="DZ110" i="2"/>
  <c r="DZ109" i="2"/>
  <c r="DZ108" i="2"/>
  <c r="DZ107" i="2"/>
  <c r="DZ106" i="2"/>
  <c r="DZ101" i="2"/>
  <c r="DZ100" i="2"/>
  <c r="DZ99" i="2"/>
  <c r="DZ97" i="2"/>
  <c r="DZ96" i="2"/>
  <c r="DZ95" i="2"/>
  <c r="DZ94" i="2"/>
  <c r="DZ93" i="2"/>
  <c r="EA115" i="2"/>
  <c r="EA114" i="2"/>
  <c r="EA112" i="2"/>
  <c r="EA111" i="2"/>
  <c r="EA110" i="2"/>
  <c r="EA109" i="2"/>
  <c r="EA108" i="2"/>
  <c r="EA107" i="2"/>
  <c r="EA106" i="2"/>
  <c r="EA102" i="2"/>
  <c r="EA101" i="2"/>
  <c r="EA100" i="2"/>
  <c r="EA99" i="2"/>
  <c r="EA97" i="2"/>
  <c r="EA96" i="2"/>
  <c r="EA95" i="2"/>
  <c r="EA94" i="2"/>
  <c r="EA93" i="2"/>
  <c r="DZ74" i="2"/>
  <c r="DZ71" i="2"/>
  <c r="DZ69" i="2"/>
  <c r="DZ66" i="2"/>
  <c r="DZ65" i="2"/>
  <c r="DZ63" i="2"/>
  <c r="DZ31" i="2"/>
  <c r="DZ30" i="2"/>
  <c r="DZ26" i="2"/>
  <c r="DZ23" i="2"/>
  <c r="DZ19" i="2"/>
  <c r="DZ18" i="2"/>
  <c r="DZ16" i="2"/>
  <c r="DZ15" i="2"/>
  <c r="DZ14" i="2"/>
  <c r="DZ13" i="2"/>
  <c r="DZ12" i="2"/>
  <c r="DZ11" i="2"/>
  <c r="DZ10" i="2"/>
  <c r="DZ81" i="2" s="1"/>
  <c r="DZ9" i="2"/>
  <c r="DZ80" i="2" s="1"/>
  <c r="DZ5" i="2"/>
  <c r="DZ3" i="2" s="1"/>
  <c r="BR20" i="2"/>
  <c r="DZ20" i="2" s="1"/>
  <c r="BR21" i="2"/>
  <c r="DZ21" i="2" s="1"/>
  <c r="BR29" i="2"/>
  <c r="DZ29" i="2" s="1"/>
  <c r="BR24" i="2"/>
  <c r="DZ24" i="2" s="1"/>
  <c r="BR115" i="2"/>
  <c r="DZ115" i="2" s="1"/>
  <c r="BR113" i="2"/>
  <c r="DZ113" i="2" s="1"/>
  <c r="BR105" i="2"/>
  <c r="DZ105" i="2" s="1"/>
  <c r="BR92" i="2"/>
  <c r="BR102" i="2"/>
  <c r="DZ102" i="2" s="1"/>
  <c r="BR98" i="2"/>
  <c r="DZ98" i="2" s="1"/>
  <c r="BR35" i="2"/>
  <c r="DZ35" i="2" s="1"/>
  <c r="BR25" i="2"/>
  <c r="DZ25" i="2" s="1"/>
  <c r="BR28" i="2"/>
  <c r="DZ28" i="2" s="1"/>
  <c r="BR27" i="2"/>
  <c r="DZ27" i="2" s="1"/>
  <c r="BR17" i="2"/>
  <c r="DZ17" i="2" s="1"/>
  <c r="BQ22" i="2"/>
  <c r="BQ114" i="2"/>
  <c r="BQ113" i="2"/>
  <c r="BQ105" i="2"/>
  <c r="BQ92" i="2"/>
  <c r="BQ98" i="2"/>
  <c r="BP22" i="2"/>
  <c r="BP140" i="2"/>
  <c r="BP138" i="2"/>
  <c r="BP137" i="2"/>
  <c r="BP135" i="2"/>
  <c r="BQ135" i="2" s="1"/>
  <c r="BP132" i="2"/>
  <c r="BQ132" i="2" s="1"/>
  <c r="BR132" i="2" s="1"/>
  <c r="DZ132" i="2" s="1"/>
  <c r="BP129" i="2"/>
  <c r="BQ129" i="2" s="1"/>
  <c r="BR129" i="2" s="1"/>
  <c r="BP126" i="2"/>
  <c r="BQ126" i="2" s="1"/>
  <c r="BR126" i="2" s="1"/>
  <c r="DZ126" i="2" s="1"/>
  <c r="BP125" i="2"/>
  <c r="BQ125" i="2" s="1"/>
  <c r="BP124" i="2"/>
  <c r="BQ124" i="2" s="1"/>
  <c r="BR124" i="2" s="1"/>
  <c r="DZ124" i="2" s="1"/>
  <c r="BP123" i="2"/>
  <c r="BQ123" i="2" s="1"/>
  <c r="BR123" i="2" s="1"/>
  <c r="DZ123" i="2" s="1"/>
  <c r="BP122" i="2"/>
  <c r="BP121" i="2"/>
  <c r="BP120" i="2"/>
  <c r="BP119" i="2"/>
  <c r="BQ119" i="2" s="1"/>
  <c r="BR119" i="2" s="1"/>
  <c r="BP114" i="2"/>
  <c r="BP113" i="2"/>
  <c r="BP105" i="2"/>
  <c r="BP98" i="2"/>
  <c r="BP92" i="2"/>
  <c r="BP103" i="2" s="1"/>
  <c r="BK22" i="2"/>
  <c r="BO22" i="2"/>
  <c r="BO136" i="2"/>
  <c r="BO131" i="2"/>
  <c r="BP131" i="2" s="1"/>
  <c r="BQ131" i="2" s="1"/>
  <c r="BO130" i="2"/>
  <c r="BP130" i="2" s="1"/>
  <c r="BO127" i="2"/>
  <c r="BO114" i="2"/>
  <c r="BO113" i="2"/>
  <c r="BO105" i="2"/>
  <c r="BO98" i="2"/>
  <c r="BO92" i="2"/>
  <c r="BV113" i="2"/>
  <c r="BV105" i="2"/>
  <c r="EA105" i="2" s="1"/>
  <c r="BV98" i="2"/>
  <c r="EA98" i="2" s="1"/>
  <c r="BV92" i="2"/>
  <c r="EA92" i="2" s="1"/>
  <c r="EA74" i="2"/>
  <c r="EA71" i="2"/>
  <c r="EA69" i="2"/>
  <c r="BU120" i="2"/>
  <c r="BU113" i="2"/>
  <c r="BU105" i="2"/>
  <c r="BU98" i="2"/>
  <c r="BU92" i="2"/>
  <c r="BT140" i="2"/>
  <c r="BU140" i="2" s="1"/>
  <c r="BV140" i="2" s="1"/>
  <c r="EA140" i="2" s="1"/>
  <c r="BT138" i="2"/>
  <c r="BU138" i="2" s="1"/>
  <c r="BV138" i="2" s="1"/>
  <c r="BT137" i="2"/>
  <c r="BU137" i="2" s="1"/>
  <c r="BT135" i="2"/>
  <c r="BU135" i="2" s="1"/>
  <c r="BV135" i="2" s="1"/>
  <c r="BT132" i="2"/>
  <c r="BU132" i="2" s="1"/>
  <c r="BV132" i="2" s="1"/>
  <c r="BT129" i="2"/>
  <c r="BU129" i="2" s="1"/>
  <c r="BT126" i="2"/>
  <c r="BU126" i="2" s="1"/>
  <c r="BT125" i="2"/>
  <c r="BU125" i="2" s="1"/>
  <c r="BV125" i="2" s="1"/>
  <c r="BT124" i="2"/>
  <c r="BU124" i="2" s="1"/>
  <c r="BV124" i="2" s="1"/>
  <c r="BT123" i="2"/>
  <c r="BU123" i="2" s="1"/>
  <c r="BT122" i="2"/>
  <c r="BU122" i="2" s="1"/>
  <c r="BV122" i="2" s="1"/>
  <c r="BT121" i="2"/>
  <c r="BU121" i="2" s="1"/>
  <c r="BV121" i="2" s="1"/>
  <c r="BT120" i="2"/>
  <c r="BT119" i="2"/>
  <c r="BU119" i="2" s="1"/>
  <c r="BV119" i="2" s="1"/>
  <c r="EA119" i="2" s="1"/>
  <c r="BT113" i="2"/>
  <c r="BT105" i="2"/>
  <c r="BT116" i="2" s="1"/>
  <c r="BT92" i="2"/>
  <c r="BT98" i="2"/>
  <c r="BS136" i="2"/>
  <c r="BT136" i="2" s="1"/>
  <c r="BU136" i="2" s="1"/>
  <c r="BS131" i="2"/>
  <c r="BT131" i="2" s="1"/>
  <c r="BU131" i="2" s="1"/>
  <c r="BV131" i="2" s="1"/>
  <c r="BS130" i="2"/>
  <c r="BS127" i="2"/>
  <c r="BS113" i="2"/>
  <c r="BS105" i="2"/>
  <c r="BS92" i="2"/>
  <c r="BS98" i="2"/>
  <c r="EB115" i="2"/>
  <c r="EB114" i="2"/>
  <c r="EB112" i="2"/>
  <c r="EB111" i="2"/>
  <c r="EB110" i="2"/>
  <c r="EB109" i="2"/>
  <c r="EB108" i="2"/>
  <c r="EB107" i="2"/>
  <c r="EB106" i="2"/>
  <c r="EB102" i="2"/>
  <c r="EB101" i="2"/>
  <c r="EB99" i="2"/>
  <c r="EB96" i="2"/>
  <c r="EB95" i="2"/>
  <c r="EB94" i="2"/>
  <c r="EB93" i="2"/>
  <c r="EB71" i="2"/>
  <c r="EB69" i="2"/>
  <c r="EB66" i="2"/>
  <c r="EB65" i="2"/>
  <c r="EB63" i="2"/>
  <c r="EB36" i="2"/>
  <c r="EB35" i="2"/>
  <c r="EB34" i="2"/>
  <c r="EB33" i="2"/>
  <c r="EB31" i="2"/>
  <c r="EB30" i="2"/>
  <c r="EB29" i="2"/>
  <c r="EB28" i="2"/>
  <c r="EB26" i="2"/>
  <c r="EB24" i="2"/>
  <c r="EB23" i="2"/>
  <c r="EB22" i="2"/>
  <c r="EB20" i="2"/>
  <c r="EB19" i="2"/>
  <c r="EB18" i="2"/>
  <c r="EB16" i="2"/>
  <c r="EB15" i="2"/>
  <c r="EB13" i="2"/>
  <c r="EB11" i="2"/>
  <c r="EB10" i="2"/>
  <c r="EB9" i="2"/>
  <c r="EB8" i="2"/>
  <c r="BX140" i="2"/>
  <c r="BY140" i="2" s="1"/>
  <c r="BX138" i="2"/>
  <c r="BY138" i="2" s="1"/>
  <c r="BZ138" i="2" s="1"/>
  <c r="BX137" i="2"/>
  <c r="BY137" i="2" s="1"/>
  <c r="BZ137" i="2" s="1"/>
  <c r="BX136" i="2"/>
  <c r="BY136" i="2" s="1"/>
  <c r="BX135" i="2"/>
  <c r="BY135" i="2" s="1"/>
  <c r="BX132" i="2"/>
  <c r="BY132" i="2" s="1"/>
  <c r="BZ132" i="2" s="1"/>
  <c r="BX129" i="2"/>
  <c r="BY129" i="2" s="1"/>
  <c r="BZ129" i="2" s="1"/>
  <c r="BX126" i="2"/>
  <c r="BX125" i="2"/>
  <c r="BX124" i="2"/>
  <c r="BY124" i="2" s="1"/>
  <c r="BZ124" i="2" s="1"/>
  <c r="BX123" i="2"/>
  <c r="BX122" i="2"/>
  <c r="BY122" i="2" s="1"/>
  <c r="BZ122" i="2" s="1"/>
  <c r="BX121" i="2"/>
  <c r="BY121" i="2" s="1"/>
  <c r="BX120" i="2"/>
  <c r="BY120" i="2" s="1"/>
  <c r="BX119" i="2"/>
  <c r="BY119" i="2" s="1"/>
  <c r="DY78" i="2"/>
  <c r="EC115" i="2"/>
  <c r="EC114" i="2"/>
  <c r="EC112" i="2"/>
  <c r="EC111" i="2"/>
  <c r="EC110" i="2"/>
  <c r="EC109" i="2"/>
  <c r="EC108" i="2"/>
  <c r="EC107" i="2"/>
  <c r="EC106" i="2"/>
  <c r="EC102" i="2"/>
  <c r="EC101" i="2"/>
  <c r="EC100" i="2"/>
  <c r="EC99" i="2"/>
  <c r="EC97" i="2"/>
  <c r="EC96" i="2"/>
  <c r="EC95" i="2"/>
  <c r="EC94" i="2"/>
  <c r="EC93" i="2"/>
  <c r="ED115" i="2"/>
  <c r="ED114" i="2"/>
  <c r="ED113" i="2"/>
  <c r="ED112" i="2"/>
  <c r="ED111" i="2"/>
  <c r="ED110" i="2"/>
  <c r="ED109" i="2"/>
  <c r="ED108" i="2"/>
  <c r="ED107" i="2"/>
  <c r="ED106" i="2"/>
  <c r="ED102" i="2"/>
  <c r="ED101" i="2"/>
  <c r="ED100" i="2"/>
  <c r="ED99" i="2"/>
  <c r="ED97" i="2"/>
  <c r="ED96" i="2"/>
  <c r="ED95" i="2"/>
  <c r="ED94" i="2"/>
  <c r="ED93" i="2"/>
  <c r="EC30" i="2"/>
  <c r="EC26" i="2"/>
  <c r="EC23" i="2"/>
  <c r="EC19" i="2"/>
  <c r="EC18" i="2"/>
  <c r="EC16" i="2"/>
  <c r="EC15" i="2"/>
  <c r="EC13" i="2"/>
  <c r="EC11" i="2"/>
  <c r="EC10" i="2"/>
  <c r="EC9" i="2"/>
  <c r="EC8" i="2"/>
  <c r="EC6" i="2"/>
  <c r="EC5" i="2"/>
  <c r="CD24" i="2"/>
  <c r="EC24" i="2" s="1"/>
  <c r="CD29" i="2"/>
  <c r="EC29" i="2" s="1"/>
  <c r="CD32" i="2"/>
  <c r="EC32" i="2" s="1"/>
  <c r="CC20" i="2"/>
  <c r="CA20" i="2"/>
  <c r="CD113" i="2"/>
  <c r="EC113" i="2" s="1"/>
  <c r="CD105" i="2"/>
  <c r="EC105" i="2" s="1"/>
  <c r="CD98" i="2"/>
  <c r="EC98" i="2" s="1"/>
  <c r="CD92" i="2"/>
  <c r="EC92" i="2" s="1"/>
  <c r="CD27" i="2"/>
  <c r="EC27" i="2" s="1"/>
  <c r="CD25" i="2"/>
  <c r="EC25" i="2" s="1"/>
  <c r="CD21" i="2"/>
  <c r="EC21" i="2" s="1"/>
  <c r="CD17" i="2"/>
  <c r="EC17" i="2" s="1"/>
  <c r="CC22" i="2"/>
  <c r="CC113" i="2"/>
  <c r="CC105" i="2"/>
  <c r="CC98" i="2"/>
  <c r="CC92" i="2"/>
  <c r="CB140" i="2"/>
  <c r="CC140" i="2" s="1"/>
  <c r="CB138" i="2"/>
  <c r="CC138" i="2" s="1"/>
  <c r="CD138" i="2" s="1"/>
  <c r="CB137" i="2"/>
  <c r="CC137" i="2" s="1"/>
  <c r="CD137" i="2" s="1"/>
  <c r="CB135" i="2"/>
  <c r="CC135" i="2" s="1"/>
  <c r="CD135" i="2" s="1"/>
  <c r="CB132" i="2"/>
  <c r="CC132" i="2" s="1"/>
  <c r="CD132" i="2" s="1"/>
  <c r="CB131" i="2"/>
  <c r="CC131" i="2" s="1"/>
  <c r="CD131" i="2" s="1"/>
  <c r="CB129" i="2"/>
  <c r="CC129" i="2" s="1"/>
  <c r="CB126" i="2"/>
  <c r="CC126" i="2" s="1"/>
  <c r="CD126" i="2" s="1"/>
  <c r="CB125" i="2"/>
  <c r="CC125" i="2" s="1"/>
  <c r="CD125" i="2" s="1"/>
  <c r="CB124" i="2"/>
  <c r="CB123" i="2"/>
  <c r="CC123" i="2" s="1"/>
  <c r="CD123" i="2" s="1"/>
  <c r="CB122" i="2"/>
  <c r="CC122" i="2" s="1"/>
  <c r="CD122" i="2" s="1"/>
  <c r="CB121" i="2"/>
  <c r="CC121" i="2" s="1"/>
  <c r="CD121" i="2" s="1"/>
  <c r="CB120" i="2"/>
  <c r="CC120" i="2" s="1"/>
  <c r="CD120" i="2" s="1"/>
  <c r="CB119" i="2"/>
  <c r="CC119" i="2" s="1"/>
  <c r="ED30" i="2"/>
  <c r="ED26" i="2"/>
  <c r="ED24" i="2"/>
  <c r="ED19" i="2"/>
  <c r="ED16" i="2"/>
  <c r="ED15" i="2"/>
  <c r="ED13" i="2"/>
  <c r="ED12" i="2"/>
  <c r="ED11" i="2"/>
  <c r="ED10" i="2"/>
  <c r="ED9" i="2"/>
  <c r="ED7" i="2"/>
  <c r="ED6" i="2"/>
  <c r="ED5" i="2"/>
  <c r="CG25" i="2"/>
  <c r="ED25" i="2" s="1"/>
  <c r="CF31" i="2"/>
  <c r="ED31" i="2" s="1"/>
  <c r="CF29" i="2"/>
  <c r="CE29" i="2"/>
  <c r="CE20" i="2"/>
  <c r="CH23" i="2"/>
  <c r="ED23" i="2" s="1"/>
  <c r="CH21" i="2"/>
  <c r="ED21" i="2" s="1"/>
  <c r="CH18" i="2"/>
  <c r="ED18" i="2" s="1"/>
  <c r="CH17" i="2"/>
  <c r="ED17" i="2" s="1"/>
  <c r="CH14" i="2"/>
  <c r="ED14" i="2" s="1"/>
  <c r="CG22" i="2"/>
  <c r="CG105" i="2"/>
  <c r="CG116" i="2" s="1"/>
  <c r="CG98" i="2"/>
  <c r="CG92" i="2"/>
  <c r="CG103" i="2" s="1"/>
  <c r="CF22" i="2"/>
  <c r="CI71" i="2"/>
  <c r="CI63" i="2"/>
  <c r="CJ71" i="2"/>
  <c r="CJ82" i="2"/>
  <c r="CJ81" i="2"/>
  <c r="CJ80" i="2"/>
  <c r="CJ79" i="2"/>
  <c r="CJ78" i="2"/>
  <c r="CJ63" i="2"/>
  <c r="CJ140" i="2"/>
  <c r="CJ138" i="2"/>
  <c r="CJ137" i="2"/>
  <c r="CJ136" i="2"/>
  <c r="CJ135" i="2"/>
  <c r="CJ131" i="2"/>
  <c r="CJ132" i="2"/>
  <c r="CJ129" i="2"/>
  <c r="CJ126" i="2"/>
  <c r="CJ125" i="2"/>
  <c r="CJ124" i="2"/>
  <c r="CJ123" i="2"/>
  <c r="CJ122" i="2"/>
  <c r="CJ121" i="2"/>
  <c r="CJ120" i="2"/>
  <c r="CJ119" i="2"/>
  <c r="CJ105" i="2"/>
  <c r="CJ116" i="2" s="1"/>
  <c r="CJ92" i="2"/>
  <c r="CJ98" i="2"/>
  <c r="CL90" i="2"/>
  <c r="CK90" i="2"/>
  <c r="CF140" i="2"/>
  <c r="CG140" i="2" s="1"/>
  <c r="CF138" i="2"/>
  <c r="CG138" i="2" s="1"/>
  <c r="CH138" i="2" s="1"/>
  <c r="CF137" i="2"/>
  <c r="CG137" i="2" s="1"/>
  <c r="CH137" i="2" s="1"/>
  <c r="CF135" i="2"/>
  <c r="CG135" i="2" s="1"/>
  <c r="CF132" i="2"/>
  <c r="CG132" i="2" s="1"/>
  <c r="CH132" i="2" s="1"/>
  <c r="CF131" i="2"/>
  <c r="CG131" i="2" s="1"/>
  <c r="CH131" i="2" s="1"/>
  <c r="CF129" i="2"/>
  <c r="CG129" i="2" s="1"/>
  <c r="CF126" i="2"/>
  <c r="CG126" i="2" s="1"/>
  <c r="CF125" i="2"/>
  <c r="CG125" i="2" s="1"/>
  <c r="CH125" i="2" s="1"/>
  <c r="CF124" i="2"/>
  <c r="CG124" i="2" s="1"/>
  <c r="CH124" i="2" s="1"/>
  <c r="CF123" i="2"/>
  <c r="CG123" i="2" s="1"/>
  <c r="CH123" i="2" s="1"/>
  <c r="CF122" i="2"/>
  <c r="CG122" i="2" s="1"/>
  <c r="CH122" i="2" s="1"/>
  <c r="CF121" i="2"/>
  <c r="CG121" i="2" s="1"/>
  <c r="CH121" i="2" s="1"/>
  <c r="CF120" i="2"/>
  <c r="CG120" i="2" s="1"/>
  <c r="CF119" i="2"/>
  <c r="CG119" i="2" s="1"/>
  <c r="CF106" i="2"/>
  <c r="CF105" i="2"/>
  <c r="CF98" i="2"/>
  <c r="CF92" i="2"/>
  <c r="CF103" i="2" s="1"/>
  <c r="CE32" i="2"/>
  <c r="ED32" i="2" s="1"/>
  <c r="CE22" i="2"/>
  <c r="CE136" i="2"/>
  <c r="CF136" i="2" s="1"/>
  <c r="CG136" i="2" s="1"/>
  <c r="CH136" i="2" s="1"/>
  <c r="CE130" i="2"/>
  <c r="CF130" i="2" s="1"/>
  <c r="CG130" i="2" s="1"/>
  <c r="CH130" i="2" s="1"/>
  <c r="CE127" i="2"/>
  <c r="CI139" i="2"/>
  <c r="CI130" i="2"/>
  <c r="CJ130" i="2" s="1"/>
  <c r="CI127" i="2"/>
  <c r="CI105" i="2"/>
  <c r="CI116" i="2" s="1"/>
  <c r="CI98" i="2"/>
  <c r="CI92" i="2"/>
  <c r="CI79" i="2"/>
  <c r="CI82" i="2"/>
  <c r="CI81" i="2"/>
  <c r="CI80" i="2"/>
  <c r="CI78" i="2"/>
  <c r="CI69" i="2"/>
  <c r="CK32" i="2"/>
  <c r="CL32" i="2" s="1"/>
  <c r="DY3" i="2"/>
  <c r="DX3" i="2"/>
  <c r="DW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CG3" i="2"/>
  <c r="CF3" i="2"/>
  <c r="CE3" i="2"/>
  <c r="CD3" i="2"/>
  <c r="CC3" i="2"/>
  <c r="CB3" i="2"/>
  <c r="CA3" i="2"/>
  <c r="BZ3" i="2"/>
  <c r="BY3" i="2"/>
  <c r="CI3" i="2"/>
  <c r="CH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CK7" i="2"/>
  <c r="CL7" i="2" s="1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CH29" i="2" l="1"/>
  <c r="CC116" i="2"/>
  <c r="BQ90" i="2"/>
  <c r="BS90" i="2"/>
  <c r="BV103" i="2"/>
  <c r="EA103" i="2" s="1"/>
  <c r="BQ116" i="2"/>
  <c r="BT90" i="2"/>
  <c r="ED130" i="2"/>
  <c r="CJ139" i="2"/>
  <c r="DW78" i="2"/>
  <c r="ED125" i="2"/>
  <c r="BO90" i="2"/>
  <c r="BP116" i="2"/>
  <c r="BS139" i="2"/>
  <c r="DX78" i="2"/>
  <c r="BS116" i="2"/>
  <c r="BU116" i="2"/>
  <c r="DZ78" i="2"/>
  <c r="BP90" i="2"/>
  <c r="BV116" i="2"/>
  <c r="EA116" i="2" s="1"/>
  <c r="EB122" i="2"/>
  <c r="EB129" i="2"/>
  <c r="BQ140" i="2"/>
  <c r="BR140" i="2" s="1"/>
  <c r="EC126" i="2"/>
  <c r="EC131" i="2"/>
  <c r="ED137" i="2"/>
  <c r="BR116" i="2"/>
  <c r="DZ116" i="2" s="1"/>
  <c r="BT130" i="2"/>
  <c r="BU130" i="2" s="1"/>
  <c r="BV130" i="2" s="1"/>
  <c r="BQ121" i="2"/>
  <c r="BR121" i="2" s="1"/>
  <c r="ED138" i="2"/>
  <c r="DV78" i="2"/>
  <c r="EC135" i="2"/>
  <c r="BQ120" i="2"/>
  <c r="BR120" i="2" s="1"/>
  <c r="ED78" i="2"/>
  <c r="BQ122" i="2"/>
  <c r="BR122" i="2" s="1"/>
  <c r="EC120" i="2"/>
  <c r="BV120" i="2"/>
  <c r="EA120" i="2" s="1"/>
  <c r="BR125" i="2"/>
  <c r="DZ125" i="2" s="1"/>
  <c r="BR22" i="2"/>
  <c r="DZ22" i="2" s="1"/>
  <c r="DZ62" i="2" s="1"/>
  <c r="EB137" i="2"/>
  <c r="EC137" i="2"/>
  <c r="EC81" i="2"/>
  <c r="EA122" i="2"/>
  <c r="BQ103" i="2"/>
  <c r="BP136" i="2"/>
  <c r="BQ136" i="2" s="1"/>
  <c r="BR136" i="2" s="1"/>
  <c r="EA121" i="2"/>
  <c r="BQ138" i="2"/>
  <c r="BR138" i="2" s="1"/>
  <c r="BV137" i="2"/>
  <c r="EA137" i="2" s="1"/>
  <c r="CE139" i="2"/>
  <c r="EC138" i="2"/>
  <c r="BY126" i="2"/>
  <c r="BZ126" i="2" s="1"/>
  <c r="EA113" i="2"/>
  <c r="CH126" i="2"/>
  <c r="ED126" i="2" s="1"/>
  <c r="DZ129" i="2"/>
  <c r="BZ136" i="2"/>
  <c r="EB136" i="2" s="1"/>
  <c r="EA135" i="2"/>
  <c r="BV126" i="2"/>
  <c r="EA126" i="2" s="1"/>
  <c r="BR131" i="2"/>
  <c r="BQ130" i="2"/>
  <c r="BR130" i="2" s="1"/>
  <c r="BU139" i="2"/>
  <c r="BV136" i="2"/>
  <c r="EA136" i="2" s="1"/>
  <c r="EA132" i="2"/>
  <c r="BZ119" i="2"/>
  <c r="EB119" i="2"/>
  <c r="BR135" i="2"/>
  <c r="DZ135" i="2" s="1"/>
  <c r="BZ120" i="2"/>
  <c r="EB120" i="2"/>
  <c r="BV129" i="2"/>
  <c r="EB132" i="2"/>
  <c r="BZ121" i="2"/>
  <c r="EB121" i="2" s="1"/>
  <c r="BU127" i="2"/>
  <c r="BV123" i="2"/>
  <c r="BR103" i="2"/>
  <c r="DZ103" i="2" s="1"/>
  <c r="DZ119" i="2"/>
  <c r="DV3" i="2"/>
  <c r="CH20" i="2"/>
  <c r="ED20" i="2" s="1"/>
  <c r="CC103" i="2"/>
  <c r="BX127" i="2"/>
  <c r="BU103" i="2"/>
  <c r="BP133" i="2"/>
  <c r="BQ137" i="2"/>
  <c r="BR137" i="2" s="1"/>
  <c r="EC125" i="2"/>
  <c r="DZ92" i="2"/>
  <c r="CC124" i="2"/>
  <c r="CD124" i="2" s="1"/>
  <c r="BT103" i="2"/>
  <c r="BO103" i="2"/>
  <c r="BO62" i="2"/>
  <c r="EC123" i="2"/>
  <c r="ED131" i="2"/>
  <c r="BO133" i="2"/>
  <c r="ED122" i="2"/>
  <c r="EA131" i="2"/>
  <c r="BO139" i="2"/>
  <c r="BY139" i="2"/>
  <c r="BS103" i="2"/>
  <c r="ED81" i="2"/>
  <c r="ED22" i="2"/>
  <c r="ED132" i="2"/>
  <c r="EC122" i="2"/>
  <c r="ED123" i="2"/>
  <c r="BY125" i="2"/>
  <c r="BZ125" i="2" s="1"/>
  <c r="ED136" i="2"/>
  <c r="EA124" i="2"/>
  <c r="CI90" i="2"/>
  <c r="EB67" i="2"/>
  <c r="BT139" i="2"/>
  <c r="EC121" i="2"/>
  <c r="EA125" i="2"/>
  <c r="EA138" i="2"/>
  <c r="ED29" i="2"/>
  <c r="EB124" i="2"/>
  <c r="EC132" i="2"/>
  <c r="ED80" i="2"/>
  <c r="BO116" i="2"/>
  <c r="ED124" i="2"/>
  <c r="CC90" i="2"/>
  <c r="BZ135" i="2"/>
  <c r="EB135" i="2" s="1"/>
  <c r="ED121" i="2"/>
  <c r="EB138" i="2"/>
  <c r="BR90" i="2"/>
  <c r="DZ90" i="2" s="1"/>
  <c r="BP127" i="2"/>
  <c r="BV90" i="2"/>
  <c r="EA90" i="2" s="1"/>
  <c r="BU90" i="2"/>
  <c r="BT127" i="2"/>
  <c r="CD140" i="2"/>
  <c r="EC140" i="2" s="1"/>
  <c r="CH120" i="2"/>
  <c r="ED120" i="2" s="1"/>
  <c r="CD119" i="2"/>
  <c r="EC119" i="2" s="1"/>
  <c r="CD129" i="2"/>
  <c r="EC129" i="2" s="1"/>
  <c r="BZ140" i="2"/>
  <c r="EB140" i="2" s="1"/>
  <c r="CD103" i="2"/>
  <c r="EC103" i="2" s="1"/>
  <c r="BY123" i="2"/>
  <c r="CB127" i="2"/>
  <c r="CD116" i="2"/>
  <c r="EC116" i="2" s="1"/>
  <c r="BS133" i="2"/>
  <c r="BX139" i="2"/>
  <c r="CD90" i="2"/>
  <c r="EC90" i="2" s="1"/>
  <c r="EC80" i="2"/>
  <c r="CE133" i="2"/>
  <c r="CG133" i="2"/>
  <c r="CH129" i="2"/>
  <c r="CH133" i="2" s="1"/>
  <c r="CJ127" i="2"/>
  <c r="CG127" i="2"/>
  <c r="CF116" i="2"/>
  <c r="CF127" i="2"/>
  <c r="CH140" i="2"/>
  <c r="ED140" i="2" s="1"/>
  <c r="CG139" i="2"/>
  <c r="CH135" i="2"/>
  <c r="ED135" i="2" s="1"/>
  <c r="CJ103" i="2"/>
  <c r="CI103" i="2"/>
  <c r="CF133" i="2"/>
  <c r="CI133" i="2"/>
  <c r="CI141" i="2" s="1"/>
  <c r="CJ133" i="2"/>
  <c r="CJ90" i="2"/>
  <c r="CF139" i="2"/>
  <c r="CK5" i="2"/>
  <c r="CL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BS141" i="2" l="1"/>
  <c r="DZ121" i="2"/>
  <c r="CC127" i="2"/>
  <c r="BR127" i="2"/>
  <c r="EB126" i="2"/>
  <c r="BU133" i="2"/>
  <c r="BV133" i="2"/>
  <c r="BZ139" i="2"/>
  <c r="BV139" i="2"/>
  <c r="BQ133" i="2"/>
  <c r="BT133" i="2"/>
  <c r="BT141" i="2" s="1"/>
  <c r="BO141" i="2"/>
  <c r="DZ138" i="2"/>
  <c r="BR139" i="2"/>
  <c r="BR141" i="2" s="1"/>
  <c r="EA129" i="2"/>
  <c r="DZ120" i="2"/>
  <c r="BR133" i="2"/>
  <c r="BQ139" i="2"/>
  <c r="DZ136" i="2"/>
  <c r="DZ131" i="2"/>
  <c r="DZ140" i="2"/>
  <c r="BU141" i="2"/>
  <c r="EA130" i="2"/>
  <c r="DZ122" i="2"/>
  <c r="BP139" i="2"/>
  <c r="BP141" i="2" s="1"/>
  <c r="BQ127" i="2"/>
  <c r="DZ137" i="2"/>
  <c r="BV127" i="2"/>
  <c r="DZ130" i="2"/>
  <c r="DZ87" i="2"/>
  <c r="DZ86" i="2"/>
  <c r="ED129" i="2"/>
  <c r="EA123" i="2"/>
  <c r="EC124" i="2"/>
  <c r="BZ123" i="2"/>
  <c r="BZ127" i="2" s="1"/>
  <c r="EB123" i="2"/>
  <c r="EB125" i="2"/>
  <c r="BY127" i="2"/>
  <c r="CE141" i="2"/>
  <c r="ED133" i="2"/>
  <c r="CD127" i="2"/>
  <c r="EC127" i="2" s="1"/>
  <c r="CF141" i="2"/>
  <c r="CJ141" i="2"/>
  <c r="CH139" i="2"/>
  <c r="ED139" i="2" s="1"/>
  <c r="ED141" i="2" s="1"/>
  <c r="CG141" i="2"/>
  <c r="BM3" i="33"/>
  <c r="BM22" i="33" s="1"/>
  <c r="BM24" i="33" s="1"/>
  <c r="BM25" i="33" s="1"/>
  <c r="BL10" i="33"/>
  <c r="L10" i="33"/>
  <c r="AK3" i="33"/>
  <c r="BQ141" i="2" l="1"/>
  <c r="BV141" i="2"/>
  <c r="EA127" i="2"/>
  <c r="EB127" i="2"/>
  <c r="BL3" i="33"/>
  <c r="BL22" i="33" s="1"/>
  <c r="BL24" i="33" s="1"/>
  <c r="BL25" i="33" s="1"/>
  <c r="BK10" i="33"/>
  <c r="BK3" i="33" l="1"/>
  <c r="BK22" i="33" s="1"/>
  <c r="BK24" i="33" s="1"/>
  <c r="BK25" i="33" s="1"/>
  <c r="BJ10" i="33"/>
  <c r="BJ3" i="33" l="1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CH119" i="2"/>
  <c r="ED119" i="2" s="1"/>
  <c r="CH105" i="2"/>
  <c r="CH98" i="2"/>
  <c r="ED98" i="2" s="1"/>
  <c r="CH92" i="2"/>
  <c r="ED92" i="2" s="1"/>
  <c r="CG90" i="2"/>
  <c r="CF90" i="2"/>
  <c r="CD71" i="2"/>
  <c r="CH71" i="2"/>
  <c r="CD69" i="2"/>
  <c r="CH69" i="2"/>
  <c r="EE31" i="2"/>
  <c r="EE29" i="2"/>
  <c r="EE28" i="2"/>
  <c r="EE25" i="2"/>
  <c r="EE24" i="2"/>
  <c r="EE23" i="2"/>
  <c r="EE22" i="2"/>
  <c r="EE21" i="2"/>
  <c r="EE20" i="2"/>
  <c r="EE18" i="2"/>
  <c r="EE17" i="2"/>
  <c r="EE14" i="2"/>
  <c r="CD63" i="2"/>
  <c r="CH63" i="2"/>
  <c r="CL66" i="2"/>
  <c r="CL65" i="2"/>
  <c r="CI67" i="2"/>
  <c r="CF63" i="2"/>
  <c r="CE105" i="2"/>
  <c r="CE116" i="2" s="1"/>
  <c r="CE98" i="2"/>
  <c r="CE92" i="2"/>
  <c r="F23" i="2"/>
  <c r="F55" i="2"/>
  <c r="F17" i="2"/>
  <c r="F52" i="2"/>
  <c r="F44" i="2"/>
  <c r="F54" i="2"/>
  <c r="F12" i="2"/>
  <c r="F14" i="2"/>
  <c r="C62" i="2"/>
  <c r="D62" i="2"/>
  <c r="E62" i="2"/>
  <c r="G62" i="2"/>
  <c r="H62" i="2"/>
  <c r="I62" i="2"/>
  <c r="AP59" i="2"/>
  <c r="AQ69" i="2"/>
  <c r="AQ59" i="2"/>
  <c r="AR59" i="2"/>
  <c r="AS59" i="2"/>
  <c r="AT59" i="2"/>
  <c r="AU67" i="2"/>
  <c r="AU59" i="2"/>
  <c r="AY59" i="2"/>
  <c r="AY62" i="2" s="1"/>
  <c r="AV67" i="2"/>
  <c r="AV59" i="2"/>
  <c r="AZ59" i="2"/>
  <c r="AZ62" i="2" s="1"/>
  <c r="AW67" i="2"/>
  <c r="AW59" i="2"/>
  <c r="BA59" i="2"/>
  <c r="BA62" i="2" s="1"/>
  <c r="BB78" i="2"/>
  <c r="BG82" i="2"/>
  <c r="BF82" i="2"/>
  <c r="BE82" i="2"/>
  <c r="BD82" i="2"/>
  <c r="BC82" i="2"/>
  <c r="BG78" i="2"/>
  <c r="BF78" i="2"/>
  <c r="BE78" i="2"/>
  <c r="BD78" i="2"/>
  <c r="BC78" i="2"/>
  <c r="AX59" i="2"/>
  <c r="AX62" i="2" s="1"/>
  <c r="AX67" i="2"/>
  <c r="BB59" i="2"/>
  <c r="BB62" i="2" s="1"/>
  <c r="AY67" i="2"/>
  <c r="BC67" i="2"/>
  <c r="BC59" i="2"/>
  <c r="BC62" i="2" s="1"/>
  <c r="BH82" i="2"/>
  <c r="BH80" i="2"/>
  <c r="BH78" i="2"/>
  <c r="AZ67" i="2"/>
  <c r="BD67" i="2"/>
  <c r="BD59" i="2"/>
  <c r="BD62" i="2" s="1"/>
  <c r="BA67" i="2"/>
  <c r="BI82" i="2"/>
  <c r="BI80" i="2"/>
  <c r="BI78" i="2"/>
  <c r="BE67" i="2"/>
  <c r="BE59" i="2"/>
  <c r="BE62" i="2" s="1"/>
  <c r="BB67" i="2"/>
  <c r="BJ82" i="2"/>
  <c r="BJ80" i="2"/>
  <c r="BJ78" i="2"/>
  <c r="BF67" i="2"/>
  <c r="BF59" i="2"/>
  <c r="BF62" i="2" s="1"/>
  <c r="BF64" i="2" s="1"/>
  <c r="BF85" i="2" s="1"/>
  <c r="BO82" i="2"/>
  <c r="BN82" i="2"/>
  <c r="BM82" i="2"/>
  <c r="BL82" i="2"/>
  <c r="BK82" i="2"/>
  <c r="BO81" i="2"/>
  <c r="BN81" i="2"/>
  <c r="BO80" i="2"/>
  <c r="BN80" i="2"/>
  <c r="BM80" i="2"/>
  <c r="BL80" i="2"/>
  <c r="BK80" i="2"/>
  <c r="BO78" i="2"/>
  <c r="BN78" i="2"/>
  <c r="BM78" i="2"/>
  <c r="BL78" i="2"/>
  <c r="BK78" i="2"/>
  <c r="BG67" i="2"/>
  <c r="BK67" i="2"/>
  <c r="BG59" i="2"/>
  <c r="BG62" i="2" s="1"/>
  <c r="BG86" i="2" s="1"/>
  <c r="BK62" i="2"/>
  <c r="BK87" i="2" s="1"/>
  <c r="BH67" i="2"/>
  <c r="BL67" i="2"/>
  <c r="BP82" i="2"/>
  <c r="BP81" i="2"/>
  <c r="BP80" i="2"/>
  <c r="BP78" i="2"/>
  <c r="BL59" i="2"/>
  <c r="BL62" i="2" s="1"/>
  <c r="BL64" i="2" s="1"/>
  <c r="BL85" i="2" s="1"/>
  <c r="BM59" i="2"/>
  <c r="BM62" i="2" s="1"/>
  <c r="BM87" i="2" s="1"/>
  <c r="BH59" i="2"/>
  <c r="BH62" i="2" s="1"/>
  <c r="BQ82" i="2"/>
  <c r="BQ81" i="2"/>
  <c r="BQ80" i="2"/>
  <c r="BQ78" i="2"/>
  <c r="BI69" i="2"/>
  <c r="BI67" i="2"/>
  <c r="BM69" i="2"/>
  <c r="BM67" i="2"/>
  <c r="BI59" i="2"/>
  <c r="BI62" i="2" s="1"/>
  <c r="BI87" i="2" s="1"/>
  <c r="BJ59" i="2"/>
  <c r="BJ62" i="2" s="1"/>
  <c r="BJ87" i="2" s="1"/>
  <c r="BJ69" i="2"/>
  <c r="BJ67" i="2"/>
  <c r="BN69" i="2"/>
  <c r="BN67" i="2"/>
  <c r="BR82" i="2"/>
  <c r="BR81" i="2"/>
  <c r="BR80" i="2"/>
  <c r="BR78" i="2"/>
  <c r="BS62" i="2"/>
  <c r="BR62" i="2"/>
  <c r="BQ62" i="2"/>
  <c r="BP62" i="2"/>
  <c r="BN59" i="2"/>
  <c r="BN62" i="2" s="1"/>
  <c r="CE63" i="2"/>
  <c r="CE69" i="2"/>
  <c r="DT24" i="2"/>
  <c r="DU62" i="2"/>
  <c r="DV24" i="2"/>
  <c r="DV62" i="2" s="1"/>
  <c r="DW62" i="2"/>
  <c r="CB69" i="2"/>
  <c r="CB22" i="2"/>
  <c r="CB113" i="2"/>
  <c r="CB105" i="2"/>
  <c r="CB98" i="2"/>
  <c r="CB92" i="2"/>
  <c r="DX35" i="2"/>
  <c r="DY24" i="2"/>
  <c r="DX24" i="2"/>
  <c r="DY29" i="2"/>
  <c r="DX29" i="2"/>
  <c r="DX22" i="2"/>
  <c r="DX20" i="2"/>
  <c r="EB74" i="2"/>
  <c r="EA66" i="2"/>
  <c r="EA65" i="2"/>
  <c r="EA63" i="2"/>
  <c r="EA36" i="2"/>
  <c r="EA35" i="2"/>
  <c r="EA34" i="2"/>
  <c r="EA33" i="2"/>
  <c r="EA32" i="2"/>
  <c r="EA31" i="2"/>
  <c r="EA30" i="2"/>
  <c r="EA29" i="2"/>
  <c r="EA28" i="2"/>
  <c r="EA26" i="2"/>
  <c r="EA24" i="2"/>
  <c r="EA23" i="2"/>
  <c r="EA22" i="2"/>
  <c r="EA20" i="2"/>
  <c r="EA19" i="2"/>
  <c r="EA18" i="2"/>
  <c r="EA16" i="2"/>
  <c r="EA15" i="2"/>
  <c r="EA14" i="2"/>
  <c r="EA13" i="2"/>
  <c r="EA11" i="2"/>
  <c r="EA10" i="2"/>
  <c r="EA9" i="2"/>
  <c r="EA12" i="2"/>
  <c r="EA8" i="2"/>
  <c r="EA5" i="2"/>
  <c r="CG74" i="2"/>
  <c r="CG66" i="2"/>
  <c r="CG65" i="2"/>
  <c r="ED65" i="2" s="1"/>
  <c r="CB67" i="2"/>
  <c r="CB31" i="2"/>
  <c r="BU62" i="2"/>
  <c r="BT62" i="2"/>
  <c r="CK74" i="2" l="1"/>
  <c r="ED74" i="2"/>
  <c r="EA81" i="2"/>
  <c r="EB81" i="2"/>
  <c r="ED69" i="2"/>
  <c r="EA3" i="2"/>
  <c r="EA78" i="2"/>
  <c r="EA80" i="2"/>
  <c r="EB80" i="2"/>
  <c r="CH116" i="2"/>
  <c r="ED116" i="2" s="1"/>
  <c r="ED105" i="2"/>
  <c r="CH127" i="2"/>
  <c r="CD31" i="2"/>
  <c r="EC31" i="2" s="1"/>
  <c r="CB20" i="2"/>
  <c r="CK66" i="2"/>
  <c r="EE66" i="2" s="1"/>
  <c r="ED66" i="2"/>
  <c r="CJ3" i="2"/>
  <c r="EC69" i="2"/>
  <c r="CE103" i="2"/>
  <c r="CH103" i="2"/>
  <c r="ED103" i="2" s="1"/>
  <c r="CK65" i="2"/>
  <c r="CK67" i="2" s="1"/>
  <c r="CL67" i="2"/>
  <c r="EE19" i="2"/>
  <c r="EE16" i="2"/>
  <c r="CJ67" i="2"/>
  <c r="EC65" i="2"/>
  <c r="EE15" i="2"/>
  <c r="EC66" i="2"/>
  <c r="CH90" i="2"/>
  <c r="ED90" i="2" s="1"/>
  <c r="EE26" i="2"/>
  <c r="EE7" i="2"/>
  <c r="CK12" i="2"/>
  <c r="CL12" i="2" s="1"/>
  <c r="CK6" i="2"/>
  <c r="CK79" i="2" s="1"/>
  <c r="CK10" i="2"/>
  <c r="CL74" i="2"/>
  <c r="CB90" i="2"/>
  <c r="CE90" i="2"/>
  <c r="F62" i="2"/>
  <c r="BS76" i="2"/>
  <c r="BF76" i="2"/>
  <c r="BF86" i="2"/>
  <c r="BF87" i="2"/>
  <c r="BG87" i="2"/>
  <c r="CG67" i="2"/>
  <c r="BD86" i="2"/>
  <c r="BD64" i="2"/>
  <c r="BD68" i="2" s="1"/>
  <c r="BD70" i="2" s="1"/>
  <c r="BD72" i="2" s="1"/>
  <c r="BD73" i="2" s="1"/>
  <c r="BD87" i="2"/>
  <c r="BH76" i="2"/>
  <c r="BG76" i="2"/>
  <c r="BC87" i="2"/>
  <c r="BC64" i="2"/>
  <c r="BC85" i="2" s="1"/>
  <c r="BC86" i="2"/>
  <c r="BD76" i="2"/>
  <c r="BP76" i="2"/>
  <c r="BN76" i="2"/>
  <c r="BJ76" i="2"/>
  <c r="BJ86" i="2"/>
  <c r="BE76" i="2"/>
  <c r="CB116" i="2"/>
  <c r="BC76" i="2"/>
  <c r="AY86" i="2"/>
  <c r="AY64" i="2"/>
  <c r="AY85" i="2" s="1"/>
  <c r="AY87" i="2"/>
  <c r="AZ87" i="2"/>
  <c r="BO76" i="2"/>
  <c r="BB76" i="2"/>
  <c r="AX86" i="2"/>
  <c r="AX87" i="2"/>
  <c r="BA87" i="2"/>
  <c r="BA64" i="2"/>
  <c r="BA85" i="2" s="1"/>
  <c r="AZ64" i="2"/>
  <c r="AZ85" i="2" s="1"/>
  <c r="AZ86" i="2"/>
  <c r="BI76" i="2"/>
  <c r="BE87" i="2"/>
  <c r="BE86" i="2"/>
  <c r="BE64" i="2"/>
  <c r="BE85" i="2" s="1"/>
  <c r="BA86" i="2"/>
  <c r="BB64" i="2"/>
  <c r="BB85" i="2" s="1"/>
  <c r="BB87" i="2"/>
  <c r="BB86" i="2"/>
  <c r="BF68" i="2"/>
  <c r="BF70" i="2" s="1"/>
  <c r="BK64" i="2"/>
  <c r="BG64" i="2"/>
  <c r="BG85" i="2" s="1"/>
  <c r="BM86" i="2"/>
  <c r="BK76" i="2"/>
  <c r="BL87" i="2"/>
  <c r="BK86" i="2"/>
  <c r="CH67" i="2"/>
  <c r="BL76" i="2"/>
  <c r="BL86" i="2"/>
  <c r="BQ76" i="2"/>
  <c r="BM76" i="2"/>
  <c r="BH86" i="2"/>
  <c r="BH64" i="2"/>
  <c r="BH85" i="2" s="1"/>
  <c r="BH87" i="2"/>
  <c r="BL68" i="2"/>
  <c r="BL70" i="2" s="1"/>
  <c r="BN86" i="2"/>
  <c r="BN64" i="2"/>
  <c r="BR76" i="2"/>
  <c r="BN87" i="2"/>
  <c r="BM64" i="2"/>
  <c r="BI64" i="2"/>
  <c r="BI85" i="2" s="1"/>
  <c r="BI86" i="2"/>
  <c r="BJ64" i="2"/>
  <c r="BJ85" i="2" s="1"/>
  <c r="CB103" i="2"/>
  <c r="DY62" i="2"/>
  <c r="EF23" i="2"/>
  <c r="EG23" i="2" s="1"/>
  <c r="EH23" i="2" s="1"/>
  <c r="EI23" i="2" s="1"/>
  <c r="EJ23" i="2" s="1"/>
  <c r="EK23" i="2" s="1"/>
  <c r="CF67" i="2"/>
  <c r="EC74" i="2"/>
  <c r="EA67" i="2"/>
  <c r="EF21" i="2"/>
  <c r="EG21" i="2" s="1"/>
  <c r="EH21" i="2" s="1"/>
  <c r="EI21" i="2" s="1"/>
  <c r="EJ21" i="2" s="1"/>
  <c r="EK21" i="2" s="1"/>
  <c r="CE67" i="2"/>
  <c r="EF24" i="2"/>
  <c r="EG24" i="2" s="1"/>
  <c r="EH24" i="2" s="1"/>
  <c r="EI24" i="2" s="1"/>
  <c r="EJ24" i="2" s="1"/>
  <c r="EK24" i="2" s="1"/>
  <c r="CC67" i="2"/>
  <c r="EF20" i="2"/>
  <c r="EG20" i="2" s="1"/>
  <c r="EH20" i="2" s="1"/>
  <c r="EI20" i="2" s="1"/>
  <c r="EJ20" i="2" s="1"/>
  <c r="EK20" i="2" s="1"/>
  <c r="CD67" i="2"/>
  <c r="BY62" i="2"/>
  <c r="BX62" i="2"/>
  <c r="BV27" i="2"/>
  <c r="EA27" i="2" s="1"/>
  <c r="BV25" i="2"/>
  <c r="EA25" i="2" s="1"/>
  <c r="BV21" i="2"/>
  <c r="EA21" i="2" s="1"/>
  <c r="BV17" i="2"/>
  <c r="BW139" i="2"/>
  <c r="BW131" i="2"/>
  <c r="BW130" i="2"/>
  <c r="BW127" i="2"/>
  <c r="BW113" i="2"/>
  <c r="BW105" i="2"/>
  <c r="BW98" i="2"/>
  <c r="BW92" i="2"/>
  <c r="BX113" i="2"/>
  <c r="BX105" i="2"/>
  <c r="BX98" i="2"/>
  <c r="BX92" i="2"/>
  <c r="BY113" i="2"/>
  <c r="BY105" i="2"/>
  <c r="BY98" i="2"/>
  <c r="BY92" i="2"/>
  <c r="CA22" i="2"/>
  <c r="CD22" i="2" s="1"/>
  <c r="BZ32" i="2"/>
  <c r="EB32" i="2" s="1"/>
  <c r="BZ113" i="2"/>
  <c r="EB113" i="2" s="1"/>
  <c r="BZ105" i="2"/>
  <c r="EB105" i="2" s="1"/>
  <c r="BZ98" i="2"/>
  <c r="EB98" i="2" s="1"/>
  <c r="BZ92" i="2"/>
  <c r="EB92" i="2" s="1"/>
  <c r="BZ27" i="2"/>
  <c r="EB27" i="2" s="1"/>
  <c r="BZ25" i="2"/>
  <c r="EB25" i="2" s="1"/>
  <c r="BZ21" i="2"/>
  <c r="EB21" i="2" s="1"/>
  <c r="BZ17" i="2"/>
  <c r="EB17" i="2" s="1"/>
  <c r="EB5" i="2"/>
  <c r="CH82" i="2"/>
  <c r="CC82" i="2"/>
  <c r="CE82" i="2"/>
  <c r="CH81" i="2"/>
  <c r="CG81" i="2"/>
  <c r="CA82" i="2"/>
  <c r="BZ82" i="2"/>
  <c r="BY82" i="2"/>
  <c r="BX82" i="2"/>
  <c r="BW82" i="2"/>
  <c r="BV82" i="2"/>
  <c r="BU82" i="2"/>
  <c r="BT82" i="2"/>
  <c r="BS82" i="2"/>
  <c r="CA81" i="2"/>
  <c r="BZ81" i="2"/>
  <c r="BY81" i="2"/>
  <c r="BX81" i="2"/>
  <c r="BW81" i="2"/>
  <c r="BV81" i="2"/>
  <c r="BU81" i="2"/>
  <c r="BT81" i="2"/>
  <c r="BS81" i="2"/>
  <c r="CH80" i="2"/>
  <c r="CG80" i="2"/>
  <c r="BZ80" i="2"/>
  <c r="BY80" i="2"/>
  <c r="BX80" i="2"/>
  <c r="BW80" i="2"/>
  <c r="BV80" i="2"/>
  <c r="BU80" i="2"/>
  <c r="BT80" i="2"/>
  <c r="BS80" i="2"/>
  <c r="CA80" i="2"/>
  <c r="BH68" i="2" l="1"/>
  <c r="BH70" i="2" s="1"/>
  <c r="BX131" i="2"/>
  <c r="BY131" i="2" s="1"/>
  <c r="BZ131" i="2" s="1"/>
  <c r="EB131" i="2" s="1"/>
  <c r="DY64" i="2"/>
  <c r="DZ64" i="2"/>
  <c r="DZ85" i="2" s="1"/>
  <c r="DZ76" i="2"/>
  <c r="ED67" i="2"/>
  <c r="CD20" i="2"/>
  <c r="EC20" i="2" s="1"/>
  <c r="CH141" i="2"/>
  <c r="ED127" i="2"/>
  <c r="EB3" i="2"/>
  <c r="EB78" i="2"/>
  <c r="EC78" i="2"/>
  <c r="BW133" i="2"/>
  <c r="BW141" i="2" s="1"/>
  <c r="BX130" i="2"/>
  <c r="EE65" i="2"/>
  <c r="EE67" i="2" s="1"/>
  <c r="EC22" i="2"/>
  <c r="CF62" i="2"/>
  <c r="CL6" i="2"/>
  <c r="CK3" i="2"/>
  <c r="EE5" i="2"/>
  <c r="CL3" i="2"/>
  <c r="BJ68" i="2"/>
  <c r="BJ70" i="2" s="1"/>
  <c r="BJ88" i="2" s="1"/>
  <c r="CK11" i="2"/>
  <c r="EE74" i="2"/>
  <c r="EF74" i="2" s="1"/>
  <c r="EG74" i="2" s="1"/>
  <c r="EH74" i="2" s="1"/>
  <c r="EI74" i="2" s="1"/>
  <c r="EJ74" i="2" s="1"/>
  <c r="EK74" i="2" s="1"/>
  <c r="EC67" i="2"/>
  <c r="EE30" i="2"/>
  <c r="EF7" i="2"/>
  <c r="EG7" i="2" s="1"/>
  <c r="EH7" i="2" s="1"/>
  <c r="EI7" i="2" s="1"/>
  <c r="EJ7" i="2" s="1"/>
  <c r="EK7" i="2" s="1"/>
  <c r="EE13" i="2"/>
  <c r="CK78" i="2"/>
  <c r="CL10" i="2"/>
  <c r="CL81" i="2" s="1"/>
  <c r="CK81" i="2"/>
  <c r="CK9" i="2"/>
  <c r="EE12" i="2"/>
  <c r="BD88" i="2"/>
  <c r="BD85" i="2"/>
  <c r="BG68" i="2"/>
  <c r="BG70" i="2" s="1"/>
  <c r="BG88" i="2" s="1"/>
  <c r="BC68" i="2"/>
  <c r="BC70" i="2" s="1"/>
  <c r="BC88" i="2" s="1"/>
  <c r="AY68" i="2"/>
  <c r="AY70" i="2" s="1"/>
  <c r="AY72" i="2" s="1"/>
  <c r="AY73" i="2" s="1"/>
  <c r="BX116" i="2"/>
  <c r="BF72" i="2"/>
  <c r="BF73" i="2" s="1"/>
  <c r="BF88" i="2"/>
  <c r="BE68" i="2"/>
  <c r="BE70" i="2" s="1"/>
  <c r="BE72" i="2" s="1"/>
  <c r="BE73" i="2" s="1"/>
  <c r="BA68" i="2"/>
  <c r="BA70" i="2" s="1"/>
  <c r="BA72" i="2" s="1"/>
  <c r="BA73" i="2" s="1"/>
  <c r="AZ68" i="2"/>
  <c r="AZ70" i="2" s="1"/>
  <c r="AZ72" i="2" s="1"/>
  <c r="AZ73" i="2" s="1"/>
  <c r="BD83" i="2" s="1"/>
  <c r="BB68" i="2"/>
  <c r="BB70" i="2" s="1"/>
  <c r="BB88" i="2" s="1"/>
  <c r="BM68" i="2"/>
  <c r="BM70" i="2" s="1"/>
  <c r="BM85" i="2"/>
  <c r="BL72" i="2"/>
  <c r="BL73" i="2" s="1"/>
  <c r="BL88" i="2"/>
  <c r="BK68" i="2"/>
  <c r="BK70" i="2" s="1"/>
  <c r="BK85" i="2"/>
  <c r="BH72" i="2"/>
  <c r="BH73" i="2" s="1"/>
  <c r="BH83" i="2" s="1"/>
  <c r="BH88" i="2"/>
  <c r="BI68" i="2"/>
  <c r="BI70" i="2" s="1"/>
  <c r="BI72" i="2" s="1"/>
  <c r="BI73" i="2" s="1"/>
  <c r="BN68" i="2"/>
  <c r="BN70" i="2" s="1"/>
  <c r="BN85" i="2"/>
  <c r="EF28" i="2"/>
  <c r="EG28" i="2" s="1"/>
  <c r="EH28" i="2" s="1"/>
  <c r="EI28" i="2" s="1"/>
  <c r="EJ28" i="2" s="1"/>
  <c r="EK28" i="2" s="1"/>
  <c r="EF25" i="2"/>
  <c r="EG25" i="2" s="1"/>
  <c r="EH25" i="2" s="1"/>
  <c r="EI25" i="2" s="1"/>
  <c r="EJ25" i="2" s="1"/>
  <c r="EK25" i="2" s="1"/>
  <c r="EF19" i="2"/>
  <c r="EG19" i="2" s="1"/>
  <c r="EH19" i="2" s="1"/>
  <c r="EI19" i="2" s="1"/>
  <c r="EJ19" i="2" s="1"/>
  <c r="EK19" i="2" s="1"/>
  <c r="BZ62" i="2"/>
  <c r="CF80" i="2"/>
  <c r="CE80" i="2"/>
  <c r="CB81" i="2"/>
  <c r="CF82" i="2"/>
  <c r="BY90" i="2"/>
  <c r="BV62" i="2"/>
  <c r="EA17" i="2"/>
  <c r="CE81" i="2"/>
  <c r="EF15" i="2"/>
  <c r="EG15" i="2" s="1"/>
  <c r="EH15" i="2" s="1"/>
  <c r="EI15" i="2" s="1"/>
  <c r="EJ15" i="2" s="1"/>
  <c r="EK15" i="2" s="1"/>
  <c r="BX90" i="2"/>
  <c r="EF16" i="2"/>
  <c r="EG16" i="2" s="1"/>
  <c r="EH16" i="2" s="1"/>
  <c r="EI16" i="2" s="1"/>
  <c r="EJ16" i="2" s="1"/>
  <c r="EK16" i="2" s="1"/>
  <c r="EF18" i="2"/>
  <c r="EG18" i="2" s="1"/>
  <c r="EH18" i="2" s="1"/>
  <c r="EI18" i="2" s="1"/>
  <c r="EJ18" i="2" s="1"/>
  <c r="EK18" i="2" s="1"/>
  <c r="BZ90" i="2"/>
  <c r="EB90" i="2" s="1"/>
  <c r="CD82" i="2"/>
  <c r="BZ103" i="2"/>
  <c r="EB103" i="2" s="1"/>
  <c r="BZ116" i="2"/>
  <c r="EB116" i="2" s="1"/>
  <c r="BY103" i="2"/>
  <c r="CD81" i="2"/>
  <c r="BX103" i="2"/>
  <c r="CB82" i="2"/>
  <c r="CG82" i="2"/>
  <c r="BY116" i="2"/>
  <c r="CC80" i="2"/>
  <c r="CC81" i="2"/>
  <c r="BW116" i="2"/>
  <c r="BW90" i="2"/>
  <c r="BW103" i="2"/>
  <c r="CF81" i="2"/>
  <c r="CB80" i="2"/>
  <c r="CD80" i="2"/>
  <c r="EE10" i="2" l="1"/>
  <c r="EF10" i="2" s="1"/>
  <c r="EG10" i="2" s="1"/>
  <c r="EH10" i="2" s="1"/>
  <c r="EI10" i="2" s="1"/>
  <c r="EJ10" i="2" s="1"/>
  <c r="EK10" i="2" s="1"/>
  <c r="BY130" i="2"/>
  <c r="BX133" i="2"/>
  <c r="BX141" i="2" s="1"/>
  <c r="BG72" i="2"/>
  <c r="BG73" i="2" s="1"/>
  <c r="ED27" i="2"/>
  <c r="ED62" i="2" s="1"/>
  <c r="CG62" i="2"/>
  <c r="BB72" i="2"/>
  <c r="BB73" i="2" s="1"/>
  <c r="BF83" i="2" s="1"/>
  <c r="BJ72" i="2"/>
  <c r="BJ73" i="2" s="1"/>
  <c r="BJ83" i="2" s="1"/>
  <c r="EE6" i="2"/>
  <c r="EF6" i="2" s="1"/>
  <c r="EG6" i="2" s="1"/>
  <c r="EH6" i="2" s="1"/>
  <c r="EI6" i="2" s="1"/>
  <c r="EJ6" i="2" s="1"/>
  <c r="EK6" i="2" s="1"/>
  <c r="CL79" i="2"/>
  <c r="EF5" i="2"/>
  <c r="EF30" i="2"/>
  <c r="EG30" i="2" s="1"/>
  <c r="EH30" i="2" s="1"/>
  <c r="EI30" i="2" s="1"/>
  <c r="EJ30" i="2" s="1"/>
  <c r="EK30" i="2" s="1"/>
  <c r="EE32" i="2"/>
  <c r="EF32" i="2" s="1"/>
  <c r="EG32" i="2" s="1"/>
  <c r="EH32" i="2" s="1"/>
  <c r="EI32" i="2" s="1"/>
  <c r="EJ32" i="2" s="1"/>
  <c r="EK32" i="2" s="1"/>
  <c r="CK62" i="2"/>
  <c r="CK64" i="2" s="1"/>
  <c r="CL11" i="2"/>
  <c r="CK82" i="2"/>
  <c r="AY88" i="2"/>
  <c r="CL78" i="2"/>
  <c r="BC72" i="2"/>
  <c r="BC73" i="2" s="1"/>
  <c r="CL9" i="2"/>
  <c r="CK80" i="2"/>
  <c r="BI88" i="2"/>
  <c r="BA88" i="2"/>
  <c r="BE88" i="2"/>
  <c r="AZ88" i="2"/>
  <c r="BE83" i="2"/>
  <c r="BI83" i="2"/>
  <c r="EF26" i="2"/>
  <c r="EG26" i="2" s="1"/>
  <c r="EH26" i="2" s="1"/>
  <c r="EI26" i="2" s="1"/>
  <c r="EJ26" i="2" s="1"/>
  <c r="EK26" i="2" s="1"/>
  <c r="BK72" i="2"/>
  <c r="BK73" i="2" s="1"/>
  <c r="BK88" i="2"/>
  <c r="BL83" i="2"/>
  <c r="BM72" i="2"/>
  <c r="BM73" i="2" s="1"/>
  <c r="BM83" i="2" s="1"/>
  <c r="BM88" i="2"/>
  <c r="BN72" i="2"/>
  <c r="BN73" i="2" s="1"/>
  <c r="BN88" i="2"/>
  <c r="EF29" i="2"/>
  <c r="EG29" i="2" s="1"/>
  <c r="EH29" i="2" s="1"/>
  <c r="EI29" i="2" s="1"/>
  <c r="EJ29" i="2" s="1"/>
  <c r="EK29" i="2" s="1"/>
  <c r="EA62" i="2"/>
  <c r="EF22" i="2"/>
  <c r="EG22" i="2" s="1"/>
  <c r="EH22" i="2" s="1"/>
  <c r="EI22" i="2" s="1"/>
  <c r="EJ22" i="2" s="1"/>
  <c r="EK22" i="2" s="1"/>
  <c r="EC3" i="2"/>
  <c r="CA136" i="2"/>
  <c r="CA130" i="2"/>
  <c r="CA127" i="2"/>
  <c r="DZ127" i="2" s="1"/>
  <c r="CA113" i="2"/>
  <c r="CA105" i="2"/>
  <c r="CA98" i="2"/>
  <c r="CA92" i="2"/>
  <c r="BZ78" i="2"/>
  <c r="BY78" i="2"/>
  <c r="BX78" i="2"/>
  <c r="BW78" i="2"/>
  <c r="BV78" i="2"/>
  <c r="BU78" i="2"/>
  <c r="BT78" i="2"/>
  <c r="BS78" i="2"/>
  <c r="CA78" i="2"/>
  <c r="BO67" i="2"/>
  <c r="BP67" i="2"/>
  <c r="BQ67" i="2"/>
  <c r="BR67" i="2"/>
  <c r="BS67" i="2"/>
  <c r="BG83" i="2" l="1"/>
  <c r="BN83" i="2"/>
  <c r="BK83" i="2"/>
  <c r="ED87" i="2"/>
  <c r="EA64" i="2"/>
  <c r="EA68" i="2" s="1"/>
  <c r="EA87" i="2"/>
  <c r="EA76" i="2"/>
  <c r="CA133" i="2"/>
  <c r="CB130" i="2"/>
  <c r="CA139" i="2"/>
  <c r="CA141" i="2" s="1"/>
  <c r="CB136" i="2"/>
  <c r="BZ130" i="2"/>
  <c r="EB130" i="2" s="1"/>
  <c r="BY133" i="2"/>
  <c r="BY141" i="2" s="1"/>
  <c r="EE3" i="2"/>
  <c r="EG5" i="2"/>
  <c r="EG3" i="2" s="1"/>
  <c r="EF3" i="2"/>
  <c r="CK68" i="2"/>
  <c r="CK70" i="2" s="1"/>
  <c r="CK85" i="2"/>
  <c r="CK87" i="2"/>
  <c r="CK86" i="2"/>
  <c r="CL82" i="2"/>
  <c r="EE11" i="2"/>
  <c r="EF11" i="2" s="1"/>
  <c r="EG11" i="2" s="1"/>
  <c r="EH11" i="2" s="1"/>
  <c r="EI11" i="2" s="1"/>
  <c r="EJ11" i="2" s="1"/>
  <c r="EK11" i="2" s="1"/>
  <c r="CK63" i="2"/>
  <c r="BC83" i="2"/>
  <c r="CL80" i="2"/>
  <c r="EE9" i="2"/>
  <c r="EF9" i="2" s="1"/>
  <c r="EG9" i="2" s="1"/>
  <c r="EH9" i="2" s="1"/>
  <c r="EI9" i="2" s="1"/>
  <c r="EJ9" i="2" s="1"/>
  <c r="EK9" i="2" s="1"/>
  <c r="CL62" i="2"/>
  <c r="CA90" i="2"/>
  <c r="EF13" i="2"/>
  <c r="EG13" i="2" s="1"/>
  <c r="EH13" i="2" s="1"/>
  <c r="EI13" i="2" s="1"/>
  <c r="EJ13" i="2" s="1"/>
  <c r="EK13" i="2" s="1"/>
  <c r="CB62" i="2"/>
  <c r="CB64" i="2" s="1"/>
  <c r="CA103" i="2"/>
  <c r="CD62" i="2"/>
  <c r="CD64" i="2" s="1"/>
  <c r="CC62" i="2"/>
  <c r="CC64" i="2" s="1"/>
  <c r="CC68" i="2" s="1"/>
  <c r="CE78" i="2"/>
  <c r="CC78" i="2"/>
  <c r="CB78" i="2"/>
  <c r="CD78" i="2"/>
  <c r="CA116" i="2"/>
  <c r="BT67" i="2"/>
  <c r="BX67" i="2"/>
  <c r="BY86" i="2"/>
  <c r="BX86" i="2"/>
  <c r="AX64" i="2"/>
  <c r="AW62" i="2"/>
  <c r="AV62" i="2"/>
  <c r="AU62" i="2"/>
  <c r="AI61" i="2"/>
  <c r="AI62" i="2" s="1"/>
  <c r="AD61" i="2"/>
  <c r="AD62" i="2" s="1"/>
  <c r="AE61" i="2"/>
  <c r="AE62" i="2" s="1"/>
  <c r="Z61" i="2"/>
  <c r="Z62" i="2" s="1"/>
  <c r="BU67" i="2"/>
  <c r="BY67" i="2"/>
  <c r="BV67" i="2"/>
  <c r="BZ67" i="2"/>
  <c r="BW67" i="2"/>
  <c r="CA67" i="2"/>
  <c r="BZ86" i="2"/>
  <c r="BW12" i="2"/>
  <c r="EB12" i="2" s="1"/>
  <c r="CA12" i="2"/>
  <c r="EC12" i="2" s="1"/>
  <c r="BW14" i="2"/>
  <c r="EB14" i="2" s="1"/>
  <c r="CA14" i="2"/>
  <c r="EC14" i="2" s="1"/>
  <c r="EA85" i="2" l="1"/>
  <c r="EB62" i="2"/>
  <c r="CC130" i="2"/>
  <c r="CB133" i="2"/>
  <c r="BZ133" i="2"/>
  <c r="CB139" i="2"/>
  <c r="CC136" i="2"/>
  <c r="CJ62" i="2"/>
  <c r="EE27" i="2"/>
  <c r="EF27" i="2" s="1"/>
  <c r="EG27" i="2" s="1"/>
  <c r="EH27" i="2" s="1"/>
  <c r="EI27" i="2" s="1"/>
  <c r="EJ27" i="2" s="1"/>
  <c r="EK27" i="2" s="1"/>
  <c r="CI62" i="2"/>
  <c r="CH62" i="2"/>
  <c r="CH64" i="2" s="1"/>
  <c r="CK71" i="2"/>
  <c r="CK88" i="2" s="1"/>
  <c r="CL64" i="2"/>
  <c r="CL68" i="2" s="1"/>
  <c r="CL70" i="2" s="1"/>
  <c r="CL87" i="2"/>
  <c r="CL86" i="2"/>
  <c r="AV87" i="2"/>
  <c r="AV64" i="2"/>
  <c r="AV86" i="2"/>
  <c r="AZ76" i="2"/>
  <c r="AW87" i="2"/>
  <c r="AW86" i="2"/>
  <c r="AW64" i="2"/>
  <c r="BA76" i="2"/>
  <c r="AU86" i="2"/>
  <c r="AU64" i="2"/>
  <c r="AU87" i="2"/>
  <c r="AY76" i="2"/>
  <c r="AX68" i="2"/>
  <c r="AX70" i="2" s="1"/>
  <c r="AX85" i="2"/>
  <c r="ED3" i="2"/>
  <c r="EF17" i="2"/>
  <c r="EG17" i="2" s="1"/>
  <c r="EH17" i="2" s="1"/>
  <c r="EI17" i="2" s="1"/>
  <c r="EJ17" i="2" s="1"/>
  <c r="EK17" i="2" s="1"/>
  <c r="EF14" i="2"/>
  <c r="EG14" i="2" s="1"/>
  <c r="EH14" i="2" s="1"/>
  <c r="EI14" i="2" s="1"/>
  <c r="EJ14" i="2" s="1"/>
  <c r="EK14" i="2" s="1"/>
  <c r="EC62" i="2"/>
  <c r="ED76" i="2" s="1"/>
  <c r="EC63" i="2"/>
  <c r="CC87" i="2"/>
  <c r="CC86" i="2"/>
  <c r="CB87" i="2"/>
  <c r="CB86" i="2"/>
  <c r="BW62" i="2"/>
  <c r="CD87" i="2"/>
  <c r="CD86" i="2"/>
  <c r="CH78" i="2"/>
  <c r="CF78" i="2"/>
  <c r="CD76" i="2"/>
  <c r="CB76" i="2"/>
  <c r="CC76" i="2"/>
  <c r="CK76" i="2"/>
  <c r="CG78" i="2"/>
  <c r="CA62" i="2"/>
  <c r="BQ87" i="2"/>
  <c r="BQ86" i="2"/>
  <c r="BQ64" i="2"/>
  <c r="BZ87" i="2"/>
  <c r="BT64" i="2"/>
  <c r="BT85" i="2" s="1"/>
  <c r="BT76" i="2"/>
  <c r="BO87" i="2"/>
  <c r="BO64" i="2"/>
  <c r="BO86" i="2"/>
  <c r="BP87" i="2"/>
  <c r="BP86" i="2"/>
  <c r="BP64" i="2"/>
  <c r="BU64" i="2"/>
  <c r="BU68" i="2" s="1"/>
  <c r="BU70" i="2" s="1"/>
  <c r="BU72" i="2" s="1"/>
  <c r="BU76" i="2"/>
  <c r="BT87" i="2"/>
  <c r="BS86" i="2"/>
  <c r="BS64" i="2"/>
  <c r="BS87" i="2"/>
  <c r="BX76" i="2"/>
  <c r="BT86" i="2"/>
  <c r="BV76" i="2"/>
  <c r="BY76" i="2"/>
  <c r="BY87" i="2"/>
  <c r="BZ76" i="2"/>
  <c r="BV64" i="2"/>
  <c r="BV85" i="2" s="1"/>
  <c r="BU86" i="2"/>
  <c r="BR64" i="2"/>
  <c r="BR87" i="2"/>
  <c r="BR86" i="2"/>
  <c r="BU87" i="2"/>
  <c r="BV87" i="2"/>
  <c r="BX87" i="2"/>
  <c r="BV86" i="2"/>
  <c r="BZ64" i="2"/>
  <c r="BZ85" i="2" s="1"/>
  <c r="BY64" i="2"/>
  <c r="BY85" i="2" s="1"/>
  <c r="BX64" i="2"/>
  <c r="BX85" i="2" s="1"/>
  <c r="DY2" i="2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DQ74" i="2"/>
  <c r="DQ71" i="2"/>
  <c r="DQ66" i="2"/>
  <c r="DQ65" i="2"/>
  <c r="DQ63" i="2"/>
  <c r="DR63" i="2"/>
  <c r="DR71" i="2"/>
  <c r="DP71" i="2"/>
  <c r="DO71" i="2"/>
  <c r="DR66" i="2"/>
  <c r="DR65" i="2"/>
  <c r="DS66" i="2"/>
  <c r="AL62" i="2"/>
  <c r="AL87" i="2" s="1"/>
  <c r="DS74" i="2"/>
  <c r="DR21" i="2"/>
  <c r="DQ21" i="2"/>
  <c r="DS43" i="2"/>
  <c r="DR41" i="2"/>
  <c r="DR43" i="2"/>
  <c r="DR40" i="2"/>
  <c r="DR39" i="2"/>
  <c r="DR23" i="2"/>
  <c r="DR35" i="2"/>
  <c r="DR13" i="2"/>
  <c r="DR14" i="2"/>
  <c r="DR56" i="2"/>
  <c r="DR17" i="2"/>
  <c r="DR12" i="2"/>
  <c r="DR25" i="2"/>
  <c r="DR27" i="2"/>
  <c r="DS17" i="2"/>
  <c r="AJ127" i="2"/>
  <c r="AK127" i="2" s="1"/>
  <c r="AL127" i="2" s="1"/>
  <c r="AJ105" i="2"/>
  <c r="AJ116" i="2" s="1"/>
  <c r="AJ92" i="2"/>
  <c r="AJ67" i="2"/>
  <c r="AJ62" i="2"/>
  <c r="AJ64" i="2" s="1"/>
  <c r="AK105" i="2"/>
  <c r="AK116" i="2" s="1"/>
  <c r="AK92" i="2"/>
  <c r="AK103" i="2" s="1"/>
  <c r="AL105" i="2"/>
  <c r="AL116" i="2" s="1"/>
  <c r="AL92" i="2"/>
  <c r="AL103" i="2" s="1"/>
  <c r="AL67" i="2"/>
  <c r="AN62" i="2"/>
  <c r="AN64" i="2" s="1"/>
  <c r="AN85" i="2" s="1"/>
  <c r="AM62" i="2"/>
  <c r="AM86" i="2" s="1"/>
  <c r="AM105" i="2"/>
  <c r="AM116" i="2" s="1"/>
  <c r="AM92" i="2"/>
  <c r="AM103" i="2" s="1"/>
  <c r="AN127" i="2"/>
  <c r="AO127" i="2" s="1"/>
  <c r="AN105" i="2"/>
  <c r="AN116" i="2" s="1"/>
  <c r="AN92" i="2"/>
  <c r="AN103" i="2" s="1"/>
  <c r="AO105" i="2"/>
  <c r="AO116" i="2" s="1"/>
  <c r="AO92" i="2"/>
  <c r="AM69" i="2"/>
  <c r="AM67" i="2"/>
  <c r="AN69" i="2"/>
  <c r="AN67" i="2"/>
  <c r="AK69" i="2"/>
  <c r="DR69" i="2" s="1"/>
  <c r="AK67" i="2"/>
  <c r="T62" i="2"/>
  <c r="AH62" i="2"/>
  <c r="AO69" i="2"/>
  <c r="AO67" i="2"/>
  <c r="AO24" i="2"/>
  <c r="AO62" i="2" s="1"/>
  <c r="CL85" i="2" l="1"/>
  <c r="CB141" i="2"/>
  <c r="EE62" i="2"/>
  <c r="EE76" i="2" s="1"/>
  <c r="EB76" i="2"/>
  <c r="EC76" i="2"/>
  <c r="BU73" i="2"/>
  <c r="BU118" i="2"/>
  <c r="DZ118" i="2" s="1"/>
  <c r="EC87" i="2"/>
  <c r="BZ141" i="2"/>
  <c r="CD130" i="2"/>
  <c r="EC130" i="2" s="1"/>
  <c r="CC133" i="2"/>
  <c r="CD136" i="2"/>
  <c r="EC136" i="2" s="1"/>
  <c r="CC139" i="2"/>
  <c r="EB87" i="2"/>
  <c r="EB64" i="2"/>
  <c r="EB68" i="2" s="1"/>
  <c r="EB70" i="2" s="1"/>
  <c r="EB88" i="2" s="1"/>
  <c r="CL76" i="2"/>
  <c r="CI86" i="2"/>
  <c r="CI64" i="2"/>
  <c r="CI87" i="2"/>
  <c r="CJ64" i="2"/>
  <c r="CJ76" i="2"/>
  <c r="CJ86" i="2"/>
  <c r="CJ87" i="2"/>
  <c r="CL63" i="2"/>
  <c r="EE63" i="2" s="1"/>
  <c r="CK72" i="2"/>
  <c r="CK73" i="2" s="1"/>
  <c r="CL71" i="2"/>
  <c r="CL88" i="2" s="1"/>
  <c r="CF64" i="2"/>
  <c r="AV68" i="2"/>
  <c r="AV70" i="2" s="1"/>
  <c r="AV85" i="2"/>
  <c r="AU85" i="2"/>
  <c r="AU68" i="2"/>
  <c r="AU70" i="2" s="1"/>
  <c r="AW68" i="2"/>
  <c r="AW70" i="2" s="1"/>
  <c r="AW85" i="2"/>
  <c r="AX72" i="2"/>
  <c r="AX73" i="2" s="1"/>
  <c r="BB83" i="2" s="1"/>
  <c r="AX88" i="2"/>
  <c r="DS12" i="2"/>
  <c r="EB86" i="2"/>
  <c r="EC86" i="2"/>
  <c r="CH76" i="2"/>
  <c r="CH87" i="2"/>
  <c r="CH86" i="2"/>
  <c r="CF76" i="2"/>
  <c r="CF87" i="2"/>
  <c r="CF86" i="2"/>
  <c r="CD85" i="2"/>
  <c r="CD68" i="2"/>
  <c r="CD70" i="2" s="1"/>
  <c r="EC64" i="2"/>
  <c r="EC68" i="2" s="1"/>
  <c r="CE62" i="2"/>
  <c r="CI76" i="2" s="1"/>
  <c r="CC85" i="2"/>
  <c r="CC70" i="2"/>
  <c r="CG76" i="2"/>
  <c r="CG87" i="2"/>
  <c r="CG64" i="2"/>
  <c r="CG63" i="2" s="1"/>
  <c r="ED63" i="2" s="1"/>
  <c r="ED64" i="2" s="1"/>
  <c r="ED68" i="2" s="1"/>
  <c r="ED70" i="2" s="1"/>
  <c r="CG86" i="2"/>
  <c r="CB85" i="2"/>
  <c r="CB68" i="2"/>
  <c r="CB70" i="2" s="1"/>
  <c r="BY68" i="2"/>
  <c r="BY70" i="2" s="1"/>
  <c r="BY72" i="2" s="1"/>
  <c r="BX68" i="2"/>
  <c r="BX70" i="2" s="1"/>
  <c r="BX72" i="2" s="1"/>
  <c r="BT68" i="2"/>
  <c r="BT70" i="2" s="1"/>
  <c r="BT88" i="2" s="1"/>
  <c r="BU88" i="2"/>
  <c r="BP85" i="2"/>
  <c r="BP68" i="2"/>
  <c r="BP70" i="2" s="1"/>
  <c r="BO85" i="2"/>
  <c r="BO68" i="2"/>
  <c r="BO70" i="2" s="1"/>
  <c r="BQ85" i="2"/>
  <c r="BQ68" i="2"/>
  <c r="BQ70" i="2" s="1"/>
  <c r="BU85" i="2"/>
  <c r="BZ68" i="2"/>
  <c r="BZ70" i="2" s="1"/>
  <c r="BZ72" i="2" s="1"/>
  <c r="BR85" i="2"/>
  <c r="BR68" i="2"/>
  <c r="BR70" i="2" s="1"/>
  <c r="BV68" i="2"/>
  <c r="BV70" i="2" s="1"/>
  <c r="CA87" i="2"/>
  <c r="CA86" i="2"/>
  <c r="BS85" i="2"/>
  <c r="BS68" i="2"/>
  <c r="BS70" i="2" s="1"/>
  <c r="BW64" i="2"/>
  <c r="BW76" i="2"/>
  <c r="BW86" i="2"/>
  <c r="BW87" i="2"/>
  <c r="CA64" i="2"/>
  <c r="CA76" i="2"/>
  <c r="DQ67" i="2"/>
  <c r="AR67" i="2"/>
  <c r="DR67" i="2"/>
  <c r="DS65" i="2"/>
  <c r="DS67" i="2" s="1"/>
  <c r="DS69" i="2"/>
  <c r="DS25" i="2"/>
  <c r="DS21" i="2"/>
  <c r="AN90" i="2"/>
  <c r="AL64" i="2"/>
  <c r="AL68" i="2" s="1"/>
  <c r="AT62" i="2"/>
  <c r="AX76" i="2" s="1"/>
  <c r="DS56" i="2"/>
  <c r="DS39" i="2"/>
  <c r="AO90" i="2"/>
  <c r="DS27" i="2"/>
  <c r="DS13" i="2"/>
  <c r="DS40" i="2"/>
  <c r="AP67" i="2"/>
  <c r="AQ67" i="2"/>
  <c r="DS35" i="2"/>
  <c r="DS24" i="2"/>
  <c r="DS14" i="2"/>
  <c r="AJ90" i="2"/>
  <c r="DS23" i="2"/>
  <c r="AP62" i="2"/>
  <c r="DS63" i="2"/>
  <c r="AS67" i="2"/>
  <c r="DS41" i="2"/>
  <c r="AL86" i="2"/>
  <c r="AL76" i="2"/>
  <c r="AJ86" i="2"/>
  <c r="AN86" i="2"/>
  <c r="AJ85" i="2"/>
  <c r="AJ68" i="2"/>
  <c r="AJ70" i="2" s="1"/>
  <c r="AO86" i="2"/>
  <c r="AO87" i="2"/>
  <c r="AM87" i="2"/>
  <c r="AL90" i="2"/>
  <c r="AJ87" i="2"/>
  <c r="AN87" i="2"/>
  <c r="AO103" i="2"/>
  <c r="AJ103" i="2"/>
  <c r="AK90" i="2"/>
  <c r="AM90" i="2"/>
  <c r="AM64" i="2"/>
  <c r="AM85" i="2" s="1"/>
  <c r="AN68" i="2"/>
  <c r="AN70" i="2" s="1"/>
  <c r="AN88" i="2" s="1"/>
  <c r="AI105" i="2"/>
  <c r="AI116" i="2" s="1"/>
  <c r="AI92" i="2"/>
  <c r="AI103" i="2" s="1"/>
  <c r="AI67" i="2"/>
  <c r="EE64" i="2" l="1"/>
  <c r="EE68" i="2" s="1"/>
  <c r="EE70" i="2" s="1"/>
  <c r="EE71" i="2" s="1"/>
  <c r="EE72" i="2" s="1"/>
  <c r="EE73" i="2" s="1"/>
  <c r="CC141" i="2"/>
  <c r="BZ73" i="2"/>
  <c r="BZ118" i="2"/>
  <c r="EB118" i="2" s="1"/>
  <c r="CD139" i="2"/>
  <c r="BY73" i="2"/>
  <c r="BY83" i="2" s="1"/>
  <c r="BY118" i="2"/>
  <c r="BX73" i="2"/>
  <c r="BX118" i="2"/>
  <c r="CD133" i="2"/>
  <c r="CJ68" i="2"/>
  <c r="CJ70" i="2" s="1"/>
  <c r="CJ85" i="2"/>
  <c r="CI68" i="2"/>
  <c r="CI70" i="2" s="1"/>
  <c r="CI85" i="2"/>
  <c r="CL72" i="2"/>
  <c r="CL73" i="2" s="1"/>
  <c r="CE64" i="2"/>
  <c r="AW72" i="2"/>
  <c r="AW73" i="2" s="1"/>
  <c r="AW88" i="2"/>
  <c r="AU72" i="2"/>
  <c r="AU73" i="2" s="1"/>
  <c r="AY83" i="2" s="1"/>
  <c r="AU88" i="2"/>
  <c r="AV72" i="2"/>
  <c r="AV73" i="2" s="1"/>
  <c r="AZ83" i="2" s="1"/>
  <c r="AV88" i="2"/>
  <c r="AP64" i="2"/>
  <c r="AP85" i="2" s="1"/>
  <c r="EC70" i="2"/>
  <c r="EC85" i="2"/>
  <c r="EH5" i="2"/>
  <c r="EH3" i="2" s="1"/>
  <c r="EC71" i="2"/>
  <c r="CE86" i="2"/>
  <c r="CE87" i="2"/>
  <c r="CD88" i="2"/>
  <c r="BY88" i="2"/>
  <c r="CH85" i="2"/>
  <c r="CH68" i="2"/>
  <c r="CH70" i="2" s="1"/>
  <c r="CG85" i="2"/>
  <c r="CG68" i="2"/>
  <c r="CG70" i="2" s="1"/>
  <c r="CF85" i="2"/>
  <c r="CF68" i="2"/>
  <c r="CF70" i="2" s="1"/>
  <c r="CE76" i="2"/>
  <c r="CB88" i="2"/>
  <c r="BZ88" i="2"/>
  <c r="BT72" i="2"/>
  <c r="BX88" i="2"/>
  <c r="BP72" i="2"/>
  <c r="BP88" i="2"/>
  <c r="BQ88" i="2"/>
  <c r="BQ72" i="2"/>
  <c r="BO72" i="2"/>
  <c r="BO88" i="2"/>
  <c r="BW85" i="2"/>
  <c r="BW68" i="2"/>
  <c r="BW70" i="2" s="1"/>
  <c r="BS88" i="2"/>
  <c r="BS72" i="2"/>
  <c r="BV72" i="2"/>
  <c r="BV88" i="2"/>
  <c r="BR88" i="2"/>
  <c r="BR72" i="2"/>
  <c r="CA68" i="2"/>
  <c r="CA70" i="2" s="1"/>
  <c r="CA85" i="2"/>
  <c r="AQ62" i="2"/>
  <c r="AS62" i="2"/>
  <c r="AL85" i="2"/>
  <c r="AT86" i="2"/>
  <c r="AT64" i="2"/>
  <c r="AT85" i="2" s="1"/>
  <c r="AR62" i="2"/>
  <c r="AT76" i="2"/>
  <c r="AP86" i="2"/>
  <c r="AP87" i="2"/>
  <c r="AP76" i="2"/>
  <c r="AT67" i="2"/>
  <c r="AT87" i="2"/>
  <c r="AJ72" i="2"/>
  <c r="AJ73" i="2" s="1"/>
  <c r="AJ88" i="2"/>
  <c r="AM68" i="2"/>
  <c r="AM70" i="2" s="1"/>
  <c r="AM88" i="2" s="1"/>
  <c r="AN72" i="2"/>
  <c r="AN73" i="2" s="1"/>
  <c r="AI90" i="2"/>
  <c r="DQ40" i="2"/>
  <c r="DP40" i="2"/>
  <c r="EC133" i="2" l="1"/>
  <c r="DZ133" i="2"/>
  <c r="EB133" i="2"/>
  <c r="EC139" i="2"/>
  <c r="EC141" i="2" s="1"/>
  <c r="DZ139" i="2"/>
  <c r="DZ141" i="2" s="1"/>
  <c r="EA139" i="2"/>
  <c r="EA141" i="2" s="1"/>
  <c r="EB139" i="2"/>
  <c r="EB141" i="2" s="1"/>
  <c r="EA133" i="2"/>
  <c r="BR73" i="2"/>
  <c r="BR83" i="2" s="1"/>
  <c r="BR118" i="2"/>
  <c r="BQ73" i="2"/>
  <c r="BU83" i="2" s="1"/>
  <c r="BQ118" i="2"/>
  <c r="BP73" i="2"/>
  <c r="BP83" i="2" s="1"/>
  <c r="BP118" i="2"/>
  <c r="BO73" i="2"/>
  <c r="BO83" i="2" s="1"/>
  <c r="BO118" i="2"/>
  <c r="BV73" i="2"/>
  <c r="BZ83" i="2" s="1"/>
  <c r="BV118" i="2"/>
  <c r="EA118" i="2" s="1"/>
  <c r="BT73" i="2"/>
  <c r="BX83" i="2" s="1"/>
  <c r="BT118" i="2"/>
  <c r="BS73" i="2"/>
  <c r="BS83" i="2" s="1"/>
  <c r="BS118" i="2"/>
  <c r="CD141" i="2"/>
  <c r="CI88" i="2"/>
  <c r="CI72" i="2"/>
  <c r="CJ88" i="2"/>
  <c r="CJ72" i="2"/>
  <c r="EB85" i="2"/>
  <c r="AP68" i="2"/>
  <c r="AP70" i="2" s="1"/>
  <c r="AP72" i="2" s="1"/>
  <c r="AR64" i="2"/>
  <c r="AR85" i="2" s="1"/>
  <c r="AV76" i="2"/>
  <c r="AS64" i="2"/>
  <c r="AS85" i="2" s="1"/>
  <c r="AW76" i="2"/>
  <c r="BA83" i="2"/>
  <c r="AQ76" i="2"/>
  <c r="AU76" i="2"/>
  <c r="CC88" i="2"/>
  <c r="EC88" i="2"/>
  <c r="CB72" i="2"/>
  <c r="EI5" i="2"/>
  <c r="EI3" i="2" s="1"/>
  <c r="EF12" i="2"/>
  <c r="EF62" i="2" s="1"/>
  <c r="EF76" i="2" s="1"/>
  <c r="ED86" i="2"/>
  <c r="CG71" i="2"/>
  <c r="ED71" i="2" s="1"/>
  <c r="ED72" i="2" s="1"/>
  <c r="ED73" i="2" s="1"/>
  <c r="CH88" i="2"/>
  <c r="CE85" i="2"/>
  <c r="CE68" i="2"/>
  <c r="CE70" i="2" s="1"/>
  <c r="CF88" i="2"/>
  <c r="CD72" i="2"/>
  <c r="CC72" i="2"/>
  <c r="CA72" i="2"/>
  <c r="CA88" i="2"/>
  <c r="BW72" i="2"/>
  <c r="BW88" i="2"/>
  <c r="AQ87" i="2"/>
  <c r="AQ86" i="2"/>
  <c r="AQ64" i="2"/>
  <c r="AQ68" i="2" s="1"/>
  <c r="AQ70" i="2" s="1"/>
  <c r="AT68" i="2"/>
  <c r="AS86" i="2"/>
  <c r="AS87" i="2"/>
  <c r="AS76" i="2"/>
  <c r="AR76" i="2"/>
  <c r="AR86" i="2"/>
  <c r="AR87" i="2"/>
  <c r="AM72" i="2"/>
  <c r="AM73" i="2" s="1"/>
  <c r="DH86" i="2"/>
  <c r="BV83" i="2" l="1"/>
  <c r="BQ83" i="2"/>
  <c r="BT83" i="2"/>
  <c r="AS68" i="2"/>
  <c r="AS70" i="2" s="1"/>
  <c r="AS88" i="2" s="1"/>
  <c r="CB73" i="2"/>
  <c r="CB83" i="2" s="1"/>
  <c r="CB118" i="2"/>
  <c r="CD73" i="2"/>
  <c r="CD83" i="2" s="1"/>
  <c r="CD118" i="2"/>
  <c r="EC118" i="2" s="1"/>
  <c r="CC73" i="2"/>
  <c r="CC83" i="2" s="1"/>
  <c r="CC118" i="2"/>
  <c r="CJ118" i="2"/>
  <c r="CJ73" i="2"/>
  <c r="AR68" i="2"/>
  <c r="AR70" i="2" s="1"/>
  <c r="AR88" i="2" s="1"/>
  <c r="CI73" i="2"/>
  <c r="CI118" i="2"/>
  <c r="AT70" i="2"/>
  <c r="AT72" i="2" s="1"/>
  <c r="AT73" i="2" s="1"/>
  <c r="AX83" i="2" s="1"/>
  <c r="CH72" i="2"/>
  <c r="CG88" i="2"/>
  <c r="EE85" i="2"/>
  <c r="ED85" i="2"/>
  <c r="EC72" i="2"/>
  <c r="EC73" i="2" s="1"/>
  <c r="EG12" i="2"/>
  <c r="EJ5" i="2"/>
  <c r="EJ3" i="2" s="1"/>
  <c r="AQ85" i="2"/>
  <c r="CE88" i="2"/>
  <c r="CF72" i="2"/>
  <c r="CG72" i="2"/>
  <c r="BW73" i="2"/>
  <c r="BW83" i="2" s="1"/>
  <c r="BW118" i="2"/>
  <c r="CA73" i="2"/>
  <c r="CA118" i="2"/>
  <c r="AQ88" i="2"/>
  <c r="AP73" i="2"/>
  <c r="AP88" i="2"/>
  <c r="DS71" i="2"/>
  <c r="DO74" i="2"/>
  <c r="DO69" i="2"/>
  <c r="DO66" i="2"/>
  <c r="DO65" i="2"/>
  <c r="DP74" i="2"/>
  <c r="AH105" i="2"/>
  <c r="AH116" i="2" s="1"/>
  <c r="AH92" i="2"/>
  <c r="AH103" i="2" s="1"/>
  <c r="DQ27" i="2"/>
  <c r="AH64" i="2"/>
  <c r="AH67" i="2"/>
  <c r="DQ43" i="2"/>
  <c r="DT65" i="2"/>
  <c r="DT67" i="2" s="1"/>
  <c r="DQ39" i="2"/>
  <c r="DQ23" i="2"/>
  <c r="DQ35" i="2"/>
  <c r="DQ13" i="2"/>
  <c r="DQ14" i="2"/>
  <c r="DQ56" i="2"/>
  <c r="DQ17" i="2"/>
  <c r="DQ12" i="2"/>
  <c r="DQ41" i="2"/>
  <c r="DQ25" i="2"/>
  <c r="AG69" i="2"/>
  <c r="AG67" i="2"/>
  <c r="AF69" i="2"/>
  <c r="AF67" i="2"/>
  <c r="AD90" i="2"/>
  <c r="DN24" i="2"/>
  <c r="DM24" i="2"/>
  <c r="DL24" i="2"/>
  <c r="DL62" i="2" s="1"/>
  <c r="DK24" i="2"/>
  <c r="DJ24" i="2"/>
  <c r="DJ62" i="2" s="1"/>
  <c r="DI24" i="2"/>
  <c r="AD67" i="2"/>
  <c r="DM67" i="2"/>
  <c r="DL67" i="2"/>
  <c r="DK67" i="2"/>
  <c r="DJ67" i="2"/>
  <c r="DI67" i="2"/>
  <c r="DH67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DP43" i="2"/>
  <c r="DO43" i="2"/>
  <c r="DP66" i="2"/>
  <c r="DP65" i="2"/>
  <c r="DP21" i="2"/>
  <c r="DP39" i="2"/>
  <c r="DP23" i="2"/>
  <c r="DP35" i="2"/>
  <c r="DP13" i="2"/>
  <c r="DP14" i="2"/>
  <c r="DP56" i="2"/>
  <c r="DP17" i="2"/>
  <c r="DP12" i="2"/>
  <c r="DP41" i="2"/>
  <c r="DP27" i="2"/>
  <c r="AC69" i="2"/>
  <c r="DP69" i="2" s="1"/>
  <c r="AC67" i="2"/>
  <c r="AB67" i="2"/>
  <c r="DP25" i="2"/>
  <c r="DO13" i="2"/>
  <c r="DN13" i="2"/>
  <c r="DO39" i="2"/>
  <c r="DO23" i="2"/>
  <c r="DO54" i="2"/>
  <c r="DO35" i="2"/>
  <c r="DO14" i="2"/>
  <c r="DO56" i="2"/>
  <c r="DO17" i="2"/>
  <c r="DO12" i="2"/>
  <c r="DN54" i="2"/>
  <c r="DN35" i="2"/>
  <c r="DN14" i="2"/>
  <c r="DN56" i="2"/>
  <c r="DN17" i="2"/>
  <c r="DM56" i="2"/>
  <c r="DM12" i="2"/>
  <c r="DM41" i="2"/>
  <c r="DN12" i="2"/>
  <c r="DO41" i="2"/>
  <c r="DO27" i="2"/>
  <c r="DN41" i="2"/>
  <c r="DM25" i="2"/>
  <c r="DN25" i="2"/>
  <c r="DO25" i="2"/>
  <c r="Z67" i="2"/>
  <c r="AA67" i="2"/>
  <c r="DN27" i="2"/>
  <c r="DN23" i="2"/>
  <c r="DN39" i="2"/>
  <c r="DN44" i="2"/>
  <c r="DN45" i="2"/>
  <c r="DO45" i="2" s="1"/>
  <c r="DN36" i="2"/>
  <c r="DO36" i="2" s="1"/>
  <c r="DP36" i="2" s="1"/>
  <c r="DN43" i="2"/>
  <c r="DN52" i="2"/>
  <c r="DO52" i="2" s="1"/>
  <c r="DP52" i="2" s="1"/>
  <c r="DN65" i="2"/>
  <c r="DN66" i="2"/>
  <c r="DN48" i="2"/>
  <c r="DO48" i="2" s="1"/>
  <c r="DN50" i="2"/>
  <c r="DO50" i="2" s="1"/>
  <c r="DP50" i="2" s="1"/>
  <c r="DN55" i="2"/>
  <c r="DO55" i="2" s="1"/>
  <c r="DP55" i="2" s="1"/>
  <c r="S44" i="2"/>
  <c r="T64" i="2"/>
  <c r="T68" i="2" s="1"/>
  <c r="T70" i="2" s="1"/>
  <c r="T88" i="2" s="1"/>
  <c r="R54" i="2"/>
  <c r="R43" i="2"/>
  <c r="T87" i="2"/>
  <c r="T86" i="2"/>
  <c r="DM27" i="2"/>
  <c r="J4" i="1"/>
  <c r="J7" i="1" s="1"/>
  <c r="C23" i="3"/>
  <c r="C22" i="3"/>
  <c r="C26" i="5"/>
  <c r="T74" i="2"/>
  <c r="DN74" i="2" s="1"/>
  <c r="DH68" i="2"/>
  <c r="DH70" i="2" s="1"/>
  <c r="DH72" i="2" s="1"/>
  <c r="DH73" i="2" s="1"/>
  <c r="K39" i="2"/>
  <c r="M12" i="2"/>
  <c r="M54" i="2"/>
  <c r="AE67" i="2"/>
  <c r="AS72" i="2" l="1"/>
  <c r="AS73" i="2" s="1"/>
  <c r="AW83" i="2" s="1"/>
  <c r="CG73" i="2"/>
  <c r="CG83" i="2" s="1"/>
  <c r="CG118" i="2"/>
  <c r="CF73" i="2"/>
  <c r="CJ83" i="2" s="1"/>
  <c r="CF118" i="2"/>
  <c r="CH73" i="2"/>
  <c r="CL83" i="2" s="1"/>
  <c r="CH118" i="2"/>
  <c r="CF83" i="2"/>
  <c r="CH83" i="2"/>
  <c r="AT83" i="2"/>
  <c r="AT88" i="2"/>
  <c r="ED88" i="2"/>
  <c r="EF64" i="2"/>
  <c r="EF63" i="2" s="1"/>
  <c r="EK5" i="2"/>
  <c r="EK3" i="2" s="1"/>
  <c r="EH12" i="2"/>
  <c r="EG62" i="2"/>
  <c r="EE86" i="2"/>
  <c r="EF65" i="2"/>
  <c r="CE72" i="2"/>
  <c r="CA83" i="2"/>
  <c r="AQ72" i="2"/>
  <c r="AQ73" i="2" s="1"/>
  <c r="DN67" i="2"/>
  <c r="DQ69" i="2"/>
  <c r="AR72" i="2"/>
  <c r="AR73" i="2" s="1"/>
  <c r="DP62" i="2"/>
  <c r="DP86" i="2" s="1"/>
  <c r="DN62" i="2"/>
  <c r="DN86" i="2" s="1"/>
  <c r="DK62" i="2"/>
  <c r="DI62" i="2"/>
  <c r="DM62" i="2"/>
  <c r="DO62" i="2"/>
  <c r="AK62" i="2"/>
  <c r="S62" i="2"/>
  <c r="S87" i="2" s="1"/>
  <c r="DP67" i="2"/>
  <c r="AH85" i="2"/>
  <c r="AH68" i="2"/>
  <c r="AH70" i="2" s="1"/>
  <c r="T85" i="2"/>
  <c r="DJ86" i="2"/>
  <c r="DJ64" i="2"/>
  <c r="DJ68" i="2" s="1"/>
  <c r="DJ70" i="2" s="1"/>
  <c r="DJ72" i="2" s="1"/>
  <c r="DJ73" i="2" s="1"/>
  <c r="T72" i="2"/>
  <c r="T73" i="2" s="1"/>
  <c r="DL86" i="2"/>
  <c r="DL64" i="2"/>
  <c r="AH87" i="2"/>
  <c r="AH86" i="2"/>
  <c r="DU65" i="2"/>
  <c r="DO67" i="2"/>
  <c r="DR74" i="2"/>
  <c r="DK86" i="2" l="1"/>
  <c r="DK76" i="2"/>
  <c r="DI86" i="2"/>
  <c r="DI76" i="2"/>
  <c r="DJ76" i="2"/>
  <c r="CK83" i="2"/>
  <c r="CE73" i="2"/>
  <c r="CI83" i="2" s="1"/>
  <c r="CE118" i="2"/>
  <c r="ED118" i="2" s="1"/>
  <c r="AQ83" i="2"/>
  <c r="AU83" i="2"/>
  <c r="AR83" i="2"/>
  <c r="AV83" i="2"/>
  <c r="EG64" i="2"/>
  <c r="EG63" i="2" s="1"/>
  <c r="EF85" i="2"/>
  <c r="EI12" i="2"/>
  <c r="EH62" i="2"/>
  <c r="EF67" i="2"/>
  <c r="EF68" i="2" s="1"/>
  <c r="EF86" i="2"/>
  <c r="EG65" i="2"/>
  <c r="EG76" i="2"/>
  <c r="DI64" i="2"/>
  <c r="DI68" i="2" s="1"/>
  <c r="DI70" i="2" s="1"/>
  <c r="DI72" i="2" s="1"/>
  <c r="DI73" i="2" s="1"/>
  <c r="DI83" i="2" s="1"/>
  <c r="DL76" i="2"/>
  <c r="DK64" i="2"/>
  <c r="DK68" i="2" s="1"/>
  <c r="DK70" i="2" s="1"/>
  <c r="DK72" i="2" s="1"/>
  <c r="DK73" i="2" s="1"/>
  <c r="DK83" i="2" s="1"/>
  <c r="DT74" i="2"/>
  <c r="DU74" i="2" s="1"/>
  <c r="DV74" i="2" s="1"/>
  <c r="DW74" i="2" s="1"/>
  <c r="DT62" i="2"/>
  <c r="DT86" i="2" s="1"/>
  <c r="DS62" i="2"/>
  <c r="DS64" i="2" s="1"/>
  <c r="DP76" i="2"/>
  <c r="AK87" i="2"/>
  <c r="AK64" i="2"/>
  <c r="AK85" i="2" s="1"/>
  <c r="AK86" i="2"/>
  <c r="S64" i="2"/>
  <c r="S68" i="2" s="1"/>
  <c r="S70" i="2" s="1"/>
  <c r="AL70" i="2"/>
  <c r="AL88" i="2" s="1"/>
  <c r="S86" i="2"/>
  <c r="AN76" i="2"/>
  <c r="DM86" i="2"/>
  <c r="DM76" i="2"/>
  <c r="DM64" i="2"/>
  <c r="AH88" i="2"/>
  <c r="AH72" i="2"/>
  <c r="AH73" i="2" s="1"/>
  <c r="DN76" i="2"/>
  <c r="DU67" i="2"/>
  <c r="DL85" i="2"/>
  <c r="DL68" i="2"/>
  <c r="DL70" i="2" s="1"/>
  <c r="DL72" i="2" s="1"/>
  <c r="DL73" i="2" s="1"/>
  <c r="DO86" i="2"/>
  <c r="DN64" i="2"/>
  <c r="DO76" i="2"/>
  <c r="CE83" i="2" l="1"/>
  <c r="EH64" i="2"/>
  <c r="EH63" i="2" s="1"/>
  <c r="EG86" i="2"/>
  <c r="EG67" i="2"/>
  <c r="EG68" i="2" s="1"/>
  <c r="EJ12" i="2"/>
  <c r="EJ62" i="2" s="1"/>
  <c r="EJ64" i="2" s="1"/>
  <c r="EI62" i="2"/>
  <c r="EG85" i="2"/>
  <c r="EH65" i="2"/>
  <c r="EH76" i="2"/>
  <c r="DL83" i="2"/>
  <c r="DJ83" i="2"/>
  <c r="DS85" i="2"/>
  <c r="DS68" i="2"/>
  <c r="DS70" i="2" s="1"/>
  <c r="AK68" i="2"/>
  <c r="AK70" i="2" s="1"/>
  <c r="S85" i="2"/>
  <c r="S72" i="2"/>
  <c r="S73" i="2" s="1"/>
  <c r="S88" i="2"/>
  <c r="DV67" i="2"/>
  <c r="DM68" i="2"/>
  <c r="DM70" i="2" s="1"/>
  <c r="DM72" i="2" s="1"/>
  <c r="DM73" i="2" s="1"/>
  <c r="DM83" i="2" s="1"/>
  <c r="DM85" i="2"/>
  <c r="DS86" i="2"/>
  <c r="DN68" i="2"/>
  <c r="DN70" i="2" s="1"/>
  <c r="DN71" i="2" s="1"/>
  <c r="DN72" i="2" s="1"/>
  <c r="DN73" i="2" s="1"/>
  <c r="DN63" i="2"/>
  <c r="AL72" i="2"/>
  <c r="AL73" i="2" s="1"/>
  <c r="DT76" i="2"/>
  <c r="EI64" i="2" l="1"/>
  <c r="EI63" i="2" s="1"/>
  <c r="EE88" i="2"/>
  <c r="EH85" i="2"/>
  <c r="EH67" i="2"/>
  <c r="EH68" i="2" s="1"/>
  <c r="EH86" i="2"/>
  <c r="EI65" i="2"/>
  <c r="EI76" i="2"/>
  <c r="EK12" i="2"/>
  <c r="EK62" i="2" s="1"/>
  <c r="AL83" i="2"/>
  <c r="AP83" i="2"/>
  <c r="DU86" i="2"/>
  <c r="AK88" i="2"/>
  <c r="AK72" i="2"/>
  <c r="AK73" i="2" s="1"/>
  <c r="DS72" i="2"/>
  <c r="DN83" i="2"/>
  <c r="EK64" i="2" l="1"/>
  <c r="EK63" i="2" s="1"/>
  <c r="EK65" i="2"/>
  <c r="EK67" i="2" s="1"/>
  <c r="EJ63" i="2"/>
  <c r="EJ65" i="2"/>
  <c r="EJ67" i="2" s="1"/>
  <c r="EJ68" i="2" s="1"/>
  <c r="EJ76" i="2"/>
  <c r="EK76" i="2"/>
  <c r="EI85" i="2"/>
  <c r="EI67" i="2"/>
  <c r="EI68" i="2" s="1"/>
  <c r="EI86" i="2"/>
  <c r="DX67" i="2"/>
  <c r="DU64" i="2"/>
  <c r="DU68" i="2" s="1"/>
  <c r="DU70" i="2" s="1"/>
  <c r="DU76" i="2"/>
  <c r="DV86" i="2"/>
  <c r="AN83" i="2"/>
  <c r="DS73" i="2"/>
  <c r="EK68" i="2" l="1"/>
  <c r="EE90" i="2"/>
  <c r="EF69" i="2" s="1"/>
  <c r="EF70" i="2" s="1"/>
  <c r="EF71" i="2" s="1"/>
  <c r="EK85" i="2"/>
  <c r="EK86" i="2"/>
  <c r="EJ85" i="2"/>
  <c r="EJ86" i="2"/>
  <c r="DY67" i="2"/>
  <c r="DY68" i="2" s="1"/>
  <c r="DU63" i="2"/>
  <c r="DV68" i="2"/>
  <c r="DV70" i="2" s="1"/>
  <c r="DX62" i="2"/>
  <c r="DW86" i="2"/>
  <c r="DV76" i="2"/>
  <c r="DX64" i="2" l="1"/>
  <c r="DX68" i="2" s="1"/>
  <c r="DY76" i="2"/>
  <c r="EF88" i="2"/>
  <c r="EF72" i="2"/>
  <c r="DX86" i="2"/>
  <c r="DZ67" i="2"/>
  <c r="DZ68" i="2" s="1"/>
  <c r="DW70" i="2"/>
  <c r="DW76" i="2"/>
  <c r="DU71" i="2"/>
  <c r="DU72" i="2" s="1"/>
  <c r="EF73" i="2" l="1"/>
  <c r="EF90" i="2"/>
  <c r="DX76" i="2"/>
  <c r="DU73" i="2"/>
  <c r="EG69" i="2" l="1"/>
  <c r="EG70" i="2" s="1"/>
  <c r="EG71" i="2" s="1"/>
  <c r="DX70" i="2"/>
  <c r="DY70" i="2"/>
  <c r="DY86" i="2"/>
  <c r="DV71" i="2"/>
  <c r="DV72" i="2" s="1"/>
  <c r="EG88" i="2" l="1"/>
  <c r="EG72" i="2"/>
  <c r="DY72" i="2"/>
  <c r="DY73" i="2" s="1"/>
  <c r="DZ70" i="2"/>
  <c r="DV73" i="2"/>
  <c r="DV83" i="2" s="1"/>
  <c r="DZ72" i="2" l="1"/>
  <c r="DZ73" i="2" s="1"/>
  <c r="DZ88" i="2"/>
  <c r="EG73" i="2"/>
  <c r="EG90" i="2"/>
  <c r="DZ83" i="2"/>
  <c r="EB72" i="2"/>
  <c r="EB73" i="2" s="1"/>
  <c r="EA70" i="2"/>
  <c r="EA86" i="2"/>
  <c r="DW72" i="2"/>
  <c r="EA72" i="2" l="1"/>
  <c r="EA73" i="2" s="1"/>
  <c r="EA88" i="2"/>
  <c r="EH69" i="2"/>
  <c r="EH70" i="2" s="1"/>
  <c r="EH71" i="2" s="1"/>
  <c r="DW73" i="2"/>
  <c r="DW83" i="2" s="1"/>
  <c r="EH88" i="2" l="1"/>
  <c r="EH72" i="2"/>
  <c r="DX72" i="2"/>
  <c r="EH73" i="2" l="1"/>
  <c r="EH90" i="2"/>
  <c r="DX73" i="2"/>
  <c r="EI69" i="2" l="1"/>
  <c r="EI70" i="2" s="1"/>
  <c r="EI71" i="2" s="1"/>
  <c r="DX83" i="2"/>
  <c r="DY83" i="2"/>
  <c r="EI88" i="2" l="1"/>
  <c r="EI72" i="2"/>
  <c r="P62" i="2"/>
  <c r="P87" i="2" s="1"/>
  <c r="EI73" i="2" l="1"/>
  <c r="EI90" i="2"/>
  <c r="P86" i="2"/>
  <c r="AO76" i="2"/>
  <c r="AO64" i="2"/>
  <c r="P64" i="2"/>
  <c r="EJ69" i="2" l="1"/>
  <c r="EJ70" i="2" s="1"/>
  <c r="EJ71" i="2" s="1"/>
  <c r="AO85" i="2"/>
  <c r="AO68" i="2"/>
  <c r="AO70" i="2" s="1"/>
  <c r="AO88" i="2" s="1"/>
  <c r="P68" i="2"/>
  <c r="P70" i="2" s="1"/>
  <c r="P85" i="2"/>
  <c r="L62" i="2"/>
  <c r="L87" i="2" s="1"/>
  <c r="EJ88" i="2" l="1"/>
  <c r="P72" i="2"/>
  <c r="P73" i="2" s="1"/>
  <c r="T83" i="2" s="1"/>
  <c r="P88" i="2"/>
  <c r="AO72" i="2"/>
  <c r="AO73" i="2" s="1"/>
  <c r="L86" i="2"/>
  <c r="L64" i="2"/>
  <c r="EJ72" i="2" l="1"/>
  <c r="AO83" i="2"/>
  <c r="AS83" i="2"/>
  <c r="L68" i="2"/>
  <c r="L70" i="2" s="1"/>
  <c r="L85" i="2"/>
  <c r="EJ73" i="2" l="1"/>
  <c r="EJ90" i="2"/>
  <c r="EK69" i="2" s="1"/>
  <c r="EK70" i="2" s="1"/>
  <c r="EK71" i="2" s="1"/>
  <c r="EK72" i="2" s="1"/>
  <c r="L72" i="2"/>
  <c r="L73" i="2" s="1"/>
  <c r="P83" i="2" s="1"/>
  <c r="L88" i="2"/>
  <c r="M62" i="2"/>
  <c r="M86" i="2" s="1"/>
  <c r="M87" i="2" l="1"/>
  <c r="M64" i="2"/>
  <c r="EK88" i="2" l="1"/>
  <c r="M85" i="2"/>
  <c r="M68" i="2"/>
  <c r="M70" i="2" s="1"/>
  <c r="M88" i="2" l="1"/>
  <c r="M72" i="2"/>
  <c r="M73" i="2" s="1"/>
  <c r="K62" i="2"/>
  <c r="K87" i="2" s="1"/>
  <c r="EL72" i="2" l="1"/>
  <c r="EK73" i="2"/>
  <c r="EK90" i="2"/>
  <c r="K64" i="2"/>
  <c r="K86" i="2"/>
  <c r="EM72" i="2" l="1"/>
  <c r="EN72" i="2" s="1"/>
  <c r="EO72" i="2" s="1"/>
  <c r="EP72" i="2" s="1"/>
  <c r="EQ72" i="2" s="1"/>
  <c r="ER72" i="2" s="1"/>
  <c r="ES72" i="2" s="1"/>
  <c r="ET72" i="2" s="1"/>
  <c r="EU72" i="2" s="1"/>
  <c r="EV72" i="2" s="1"/>
  <c r="EW72" i="2" s="1"/>
  <c r="EX72" i="2" s="1"/>
  <c r="EY72" i="2" s="1"/>
  <c r="EZ72" i="2" s="1"/>
  <c r="FA72" i="2" s="1"/>
  <c r="FB72" i="2" s="1"/>
  <c r="FC72" i="2" s="1"/>
  <c r="FD72" i="2" s="1"/>
  <c r="FE72" i="2" s="1"/>
  <c r="FF72" i="2" s="1"/>
  <c r="FG72" i="2" s="1"/>
  <c r="FH72" i="2" s="1"/>
  <c r="FI72" i="2" s="1"/>
  <c r="FJ72" i="2" s="1"/>
  <c r="FK72" i="2" s="1"/>
  <c r="FL72" i="2" s="1"/>
  <c r="FM72" i="2" s="1"/>
  <c r="FN72" i="2" s="1"/>
  <c r="FO72" i="2" s="1"/>
  <c r="FP72" i="2" s="1"/>
  <c r="FQ72" i="2" s="1"/>
  <c r="FR72" i="2" s="1"/>
  <c r="FS72" i="2" s="1"/>
  <c r="FT72" i="2" s="1"/>
  <c r="FU72" i="2" s="1"/>
  <c r="FV72" i="2" s="1"/>
  <c r="FW72" i="2" s="1"/>
  <c r="FX72" i="2" s="1"/>
  <c r="FY72" i="2" s="1"/>
  <c r="FZ72" i="2" s="1"/>
  <c r="GA72" i="2" s="1"/>
  <c r="GB72" i="2" s="1"/>
  <c r="GC72" i="2" s="1"/>
  <c r="GD72" i="2" s="1"/>
  <c r="GE72" i="2" s="1"/>
  <c r="GF72" i="2" s="1"/>
  <c r="GG72" i="2" s="1"/>
  <c r="GH72" i="2" s="1"/>
  <c r="GI72" i="2" s="1"/>
  <c r="GJ72" i="2" s="1"/>
  <c r="GK72" i="2" s="1"/>
  <c r="GL72" i="2" s="1"/>
  <c r="GM72" i="2" s="1"/>
  <c r="GN72" i="2" s="1"/>
  <c r="GO72" i="2" s="1"/>
  <c r="GP72" i="2" s="1"/>
  <c r="GQ72" i="2" s="1"/>
  <c r="GR72" i="2" s="1"/>
  <c r="GS72" i="2" s="1"/>
  <c r="GT72" i="2" s="1"/>
  <c r="GU72" i="2" s="1"/>
  <c r="GV72" i="2" s="1"/>
  <c r="GW72" i="2" s="1"/>
  <c r="GX72" i="2" s="1"/>
  <c r="GY72" i="2" s="1"/>
  <c r="GZ72" i="2" s="1"/>
  <c r="HA72" i="2" s="1"/>
  <c r="HB72" i="2" s="1"/>
  <c r="HC72" i="2" s="1"/>
  <c r="HD72" i="2" s="1"/>
  <c r="HE72" i="2" s="1"/>
  <c r="HF72" i="2" s="1"/>
  <c r="HG72" i="2" s="1"/>
  <c r="HH72" i="2" s="1"/>
  <c r="HI72" i="2" s="1"/>
  <c r="HJ72" i="2" s="1"/>
  <c r="HK72" i="2" s="1"/>
  <c r="EM91" i="2" s="1"/>
  <c r="K68" i="2"/>
  <c r="K70" i="2" s="1"/>
  <c r="K85" i="2"/>
  <c r="EM92" i="2" l="1"/>
  <c r="K88" i="2"/>
  <c r="K72" i="2"/>
  <c r="K73" i="2" s="1"/>
  <c r="O62" i="2"/>
  <c r="O87" i="2" s="1"/>
  <c r="O86" i="2" l="1"/>
  <c r="O64" i="2"/>
  <c r="O85" i="2" l="1"/>
  <c r="O68" i="2"/>
  <c r="O70" i="2" s="1"/>
  <c r="Q62" i="2"/>
  <c r="Q86" i="2" s="1"/>
  <c r="Q64" i="2" l="1"/>
  <c r="Q85" i="2" s="1"/>
  <c r="O72" i="2"/>
  <c r="O73" i="2" s="1"/>
  <c r="O88" i="2"/>
  <c r="Q87" i="2"/>
  <c r="Q68" i="2" l="1"/>
  <c r="Q70" i="2" s="1"/>
  <c r="O83" i="2"/>
  <c r="S83" i="2"/>
  <c r="J62" i="2"/>
  <c r="J87" i="2" s="1"/>
  <c r="Q88" i="2" l="1"/>
  <c r="Q72" i="2"/>
  <c r="Q73" i="2" s="1"/>
  <c r="J86" i="2"/>
  <c r="J64" i="2"/>
  <c r="Q83" i="2" l="1"/>
  <c r="J68" i="2"/>
  <c r="J70" i="2" s="1"/>
  <c r="J85" i="2"/>
  <c r="J88" i="2" l="1"/>
  <c r="J72" i="2"/>
  <c r="J73" i="2" s="1"/>
  <c r="N62" i="2"/>
  <c r="N86" i="2" s="1"/>
  <c r="N87" i="2" l="1"/>
  <c r="N64" i="2"/>
  <c r="N85" i="2" l="1"/>
  <c r="N68" i="2"/>
  <c r="N70" i="2" s="1"/>
  <c r="N88" i="2" l="1"/>
  <c r="N72" i="2"/>
  <c r="N73" i="2" s="1"/>
  <c r="DT64" i="2"/>
  <c r="DT68" i="2" s="1"/>
  <c r="DT70" i="2" s="1"/>
  <c r="DT71" i="2" l="1"/>
  <c r="DT72" i="2" s="1"/>
  <c r="DT63" i="2"/>
  <c r="DT73" i="2" l="1"/>
  <c r="DU83" i="2" l="1"/>
  <c r="DT83" i="2"/>
  <c r="W24" i="2" l="1"/>
  <c r="W62" i="2" s="1"/>
  <c r="W64" i="2" s="1"/>
  <c r="Y24" i="2"/>
  <c r="Y62" i="2" s="1"/>
  <c r="X24" i="2"/>
  <c r="X62" i="2" s="1"/>
  <c r="X87" i="2" s="1"/>
  <c r="R24" i="2"/>
  <c r="R62" i="2" s="1"/>
  <c r="V24" i="2"/>
  <c r="V62" i="2" s="1"/>
  <c r="V87" i="2" s="1"/>
  <c r="U24" i="2"/>
  <c r="U62" i="2" s="1"/>
  <c r="U64" i="2" s="1"/>
  <c r="U87" i="2" l="1"/>
  <c r="U86" i="2"/>
  <c r="V64" i="2"/>
  <c r="V85" i="2" s="1"/>
  <c r="R86" i="2"/>
  <c r="R87" i="2"/>
  <c r="R64" i="2"/>
  <c r="Y64" i="2"/>
  <c r="Y68" i="2" s="1"/>
  <c r="Y70" i="2" s="1"/>
  <c r="Y72" i="2" s="1"/>
  <c r="Y73" i="2" s="1"/>
  <c r="Y76" i="2"/>
  <c r="Y86" i="2"/>
  <c r="Y87" i="2"/>
  <c r="W68" i="2"/>
  <c r="W70" i="2" s="1"/>
  <c r="W72" i="2" s="1"/>
  <c r="W73" i="2" s="1"/>
  <c r="W83" i="2" s="1"/>
  <c r="U68" i="2"/>
  <c r="U70" i="2" s="1"/>
  <c r="U85" i="2"/>
  <c r="X76" i="2"/>
  <c r="W86" i="2"/>
  <c r="V86" i="2"/>
  <c r="X86" i="2"/>
  <c r="W87" i="2"/>
  <c r="X64" i="2"/>
  <c r="X68" i="2" s="1"/>
  <c r="X70" i="2" s="1"/>
  <c r="X72" i="2" s="1"/>
  <c r="X73" i="2" s="1"/>
  <c r="X83" i="2" s="1"/>
  <c r="V68" i="2" l="1"/>
  <c r="V70" i="2" s="1"/>
  <c r="V88" i="2" s="1"/>
  <c r="U72" i="2"/>
  <c r="U73" i="2" s="1"/>
  <c r="U83" i="2" s="1"/>
  <c r="U88" i="2"/>
  <c r="R85" i="2"/>
  <c r="R68" i="2"/>
  <c r="R70" i="2" s="1"/>
  <c r="Y83" i="2" l="1"/>
  <c r="V72" i="2"/>
  <c r="V73" i="2" s="1"/>
  <c r="R88" i="2"/>
  <c r="R72" i="2"/>
  <c r="R73" i="2" s="1"/>
  <c r="R83" i="2" s="1"/>
  <c r="V83" i="2" l="1"/>
  <c r="Z76" i="2" l="1"/>
  <c r="Z87" i="2"/>
  <c r="Z86" i="2"/>
  <c r="Z64" i="2"/>
  <c r="Z68" i="2" s="1"/>
  <c r="Z70" i="2" s="1"/>
  <c r="Z72" i="2" s="1"/>
  <c r="Z73" i="2" s="1"/>
  <c r="Z83" i="2" s="1"/>
  <c r="DO64" i="2" l="1"/>
  <c r="DO85" i="2" s="1"/>
  <c r="DO63" i="2" l="1"/>
  <c r="DO68" i="2"/>
  <c r="DO70" i="2" s="1"/>
  <c r="DO72" i="2" s="1"/>
  <c r="DO73" i="2" s="1"/>
  <c r="DO83" i="2" s="1"/>
  <c r="AE87" i="2" l="1"/>
  <c r="AE86" i="2"/>
  <c r="AE64" i="2"/>
  <c r="AE85" i="2" l="1"/>
  <c r="AE68" i="2"/>
  <c r="AE70" i="2" s="1"/>
  <c r="AE72" i="2" l="1"/>
  <c r="AE88" i="2"/>
  <c r="AE90" i="2" l="1"/>
  <c r="AE73" i="2"/>
  <c r="AC61" i="2"/>
  <c r="AC62" i="2" s="1"/>
  <c r="AC87" i="2" s="1"/>
  <c r="AC64" i="2" l="1"/>
  <c r="AC86" i="2"/>
  <c r="AC76" i="2"/>
  <c r="AC68" i="2" l="1"/>
  <c r="AC70" i="2" s="1"/>
  <c r="AC85" i="2"/>
  <c r="AC72" i="2" l="1"/>
  <c r="AC73" i="2" s="1"/>
  <c r="AC83" i="2" s="1"/>
  <c r="AC88" i="2"/>
  <c r="AD64" i="2"/>
  <c r="AD68" i="2" s="1"/>
  <c r="AD70" i="2" s="1"/>
  <c r="AD76" i="2"/>
  <c r="AH76" i="2"/>
  <c r="AD86" i="2"/>
  <c r="AD87" i="2"/>
  <c r="AD72" i="2" l="1"/>
  <c r="AD73" i="2" s="1"/>
  <c r="AD88" i="2"/>
  <c r="AD85" i="2"/>
  <c r="AD83" i="2" l="1"/>
  <c r="AH83" i="2"/>
  <c r="DR24" i="2"/>
  <c r="DR62" i="2" s="1"/>
  <c r="DS76" i="2" l="1"/>
  <c r="DR64" i="2"/>
  <c r="DR86" i="2"/>
  <c r="AI87" i="2"/>
  <c r="AI86" i="2"/>
  <c r="AI76" i="2"/>
  <c r="AM76" i="2"/>
  <c r="AI64" i="2"/>
  <c r="AI85" i="2" l="1"/>
  <c r="AI68" i="2"/>
  <c r="AI70" i="2" s="1"/>
  <c r="DR85" i="2"/>
  <c r="DR68" i="2"/>
  <c r="DR70" i="2" s="1"/>
  <c r="DR72" i="2" s="1"/>
  <c r="DR73" i="2" l="1"/>
  <c r="AI88" i="2"/>
  <c r="AI72" i="2"/>
  <c r="AI73" i="2" s="1"/>
  <c r="DS83" i="2" l="1"/>
  <c r="AI83" i="2"/>
  <c r="AM83" i="2"/>
  <c r="AA61" i="2"/>
  <c r="AA62" i="2" s="1"/>
  <c r="AA87" i="2" s="1"/>
  <c r="AA64" i="2" l="1"/>
  <c r="AA85" i="2" s="1"/>
  <c r="AE76" i="2"/>
  <c r="AA86" i="2"/>
  <c r="AA76" i="2"/>
  <c r="AA68" i="2" l="1"/>
  <c r="AA70" i="2" s="1"/>
  <c r="AA88" i="2" s="1"/>
  <c r="AA72" i="2" l="1"/>
  <c r="AA73" i="2" s="1"/>
  <c r="AA83" i="2" s="1"/>
  <c r="AB61" i="2"/>
  <c r="AB62" i="2" s="1"/>
  <c r="AB87" i="2" s="1"/>
  <c r="AE83" i="2" l="1"/>
  <c r="AB64" i="2"/>
  <c r="AB85" i="2" s="1"/>
  <c r="AB86" i="2"/>
  <c r="AB76" i="2"/>
  <c r="DP64" i="2" l="1"/>
  <c r="DP85" i="2" s="1"/>
  <c r="AB68" i="2"/>
  <c r="AB70" i="2" s="1"/>
  <c r="AG61" i="2"/>
  <c r="AG62" i="2" s="1"/>
  <c r="AG76" i="2" s="1"/>
  <c r="DP68" i="2" l="1"/>
  <c r="DP70" i="2" s="1"/>
  <c r="DP72" i="2" s="1"/>
  <c r="DP73" i="2" s="1"/>
  <c r="DP83" i="2" s="1"/>
  <c r="DP63" i="2"/>
  <c r="AB72" i="2"/>
  <c r="AB73" i="2" s="1"/>
  <c r="AB83" i="2" s="1"/>
  <c r="AB88" i="2"/>
  <c r="AK76" i="2"/>
  <c r="AG64" i="2"/>
  <c r="AG86" i="2"/>
  <c r="AG87" i="2"/>
  <c r="AG68" i="2" l="1"/>
  <c r="AG70" i="2" s="1"/>
  <c r="AG85" i="2"/>
  <c r="AG72" i="2" l="1"/>
  <c r="AG73" i="2" s="1"/>
  <c r="AG88" i="2"/>
  <c r="AK83" i="2" l="1"/>
  <c r="AG83" i="2"/>
  <c r="DQ24" i="2"/>
  <c r="DQ62" i="2" s="1"/>
  <c r="DQ64" i="2" s="1"/>
  <c r="AF61" i="2"/>
  <c r="AF62" i="2" s="1"/>
  <c r="AF64" i="2" s="1"/>
  <c r="AF85" i="2" l="1"/>
  <c r="AF68" i="2"/>
  <c r="AF70" i="2" s="1"/>
  <c r="AF72" i="2" s="1"/>
  <c r="AF73" i="2" s="1"/>
  <c r="AJ83" i="2" s="1"/>
  <c r="AF87" i="2"/>
  <c r="DQ68" i="2"/>
  <c r="DQ70" i="2" s="1"/>
  <c r="DQ72" i="2" s="1"/>
  <c r="DQ73" i="2" s="1"/>
  <c r="DQ85" i="2"/>
  <c r="DQ76" i="2"/>
  <c r="DQ86" i="2"/>
  <c r="DR76" i="2"/>
  <c r="AF76" i="2"/>
  <c r="AJ76" i="2"/>
  <c r="AF86" i="2"/>
  <c r="AF88" i="2" l="1"/>
  <c r="AF83" i="2"/>
  <c r="DQ83" i="2"/>
  <c r="DR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4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tc={EA475891-7DAB-5B42-A37D-6815334EAFF1}</author>
    <author>tc={E7A7648A-AC02-E948-A141-F239D41E7779}</author>
    <author>tc={F7EEE25E-A1A6-4B35-B1EF-801B6A1015FB}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CH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DU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CB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CH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EC6" authorId="5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CH7" authorId="6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ED7" authorId="7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EA8" authorId="8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EC8" authorId="9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BD9" authorId="10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DW9" authorId="11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BJ10" authorId="12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DX10" authorId="13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AI12" authorId="14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3" authorId="1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W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4" authorId="1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DY15" authorId="15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DU16" authorId="16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S17" authorId="17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7" authorId="1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DJ17" authorId="18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DV18" authorId="19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AI23" authorId="1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5" authorId="17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5" authorId="2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5" authorId="14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5" authorId="14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B25" authorId="21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CE25" authorId="22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CF25" authorId="23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CG25" authorId="24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DN25" authorId="17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DR25" authorId="14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S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7" authorId="14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DQ27" authorId="14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DT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8" authorId="25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8" authorId="26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CF31" authorId="27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BX32" authorId="28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5" authorId="14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W35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DO39" authorId="14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41" authorId="1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DQ41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DG44" authorId="29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DI44" authorId="30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AI56" authorId="1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DS56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62" authorId="14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62" authorId="31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BS62" authorId="32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62" authorId="33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62" authorId="34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62" authorId="35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62" authorId="36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62" authorId="37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62" authorId="38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62" authorId="39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F62" authorId="40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</t>
      </text>
    </comment>
    <comment ref="CH62" authorId="41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DM62" authorId="17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DN62" authorId="17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DO62" authorId="42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DP62" authorId="1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DQ62" authorId="1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ED62" authorId="43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EE62" authorId="44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</t>
      </text>
    </comment>
    <comment ref="T68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8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9" authorId="17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DN69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DN71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O71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P71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Q71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72" authorId="45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72" authorId="46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CD72" authorId="47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CH72" authorId="48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Q73" authorId="49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73" authorId="17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73" authorId="49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73" authorId="14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D73" authorId="50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CH73" authorId="51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M73" authorId="17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DN73" authorId="17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DO73" authorId="42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DQ73" authorId="20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DR73" authorId="14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EE73" authorId="52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</t>
      </text>
    </comment>
    <comment ref="CH76" authorId="53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N85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CG125" authorId="54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<sst xmlns="http://schemas.openxmlformats.org/spreadsheetml/2006/main" count="1252" uniqueCount="832">
  <si>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</si>
  <si>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</si>
  <si>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</si>
  <si>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</si>
  <si>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</si>
  <si>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</si>
  <si>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</si>
  <si>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</si>
  <si>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</si>
  <si>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</si>
  <si>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</si>
  <si>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</si>
  <si>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</si>
  <si>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</si>
  <si>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</si>
  <si>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</si>
  <si>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</si>
  <si>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</si>
  <si>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</si>
  <si>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</si>
  <si>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</si>
  <si>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</si>
  <si>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</si>
  <si>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</si>
  <si>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</si>
  <si>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</si>
  <si>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</si>
  <si>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</si>
  <si>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</si>
  <si>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</si>
  <si>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</si>
  <si>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</si>
  <si>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</si>
  <si>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</si>
  <si>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</si>
  <si>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</si>
  <si>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</si>
  <si>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</si>
  <si>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</si>
  <si>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</si>
  <si>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</si>
  <si>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</si>
  <si>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</si>
  <si>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</si>
  <si>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</si>
  <si>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</si>
  <si>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</si>
  <si>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</si>
  <si>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</si>
  <si>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</si>
  <si>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</si>
  <si>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</si>
  <si>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</si>
  <si>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</si>
  <si>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</si>
  <si>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</si>
  <si>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</si>
  <si>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</si>
  <si>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</si>
  <si>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</si>
  <si>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</si>
  <si>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</si>
  <si>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</si>
  <si>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</si>
  <si>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</si>
  <si>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</si>
  <si>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</si>
  <si>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</si>
  <si>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</si>
  <si>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</si>
  <si>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</si>
  <si>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</si>
  <si>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</si>
  <si>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</si>
  <si>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</si>
  <si>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</si>
  <si>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</si>
  <si>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</si>
  <si>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</si>
  <si>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</si>
  <si>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</si>
  <si>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</si>
  <si>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</si>
  <si>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</si>
  <si>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</si>
  <si>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</si>
  <si>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</si>
  <si>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</si>
  <si>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</si>
  <si>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</si>
  <si>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</si>
  <si>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</si>
  <si>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</si>
  <si>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</si>
  <si>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</si>
  <si>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</si>
  <si>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</si>
  <si>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</si>
  <si>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</si>
  <si>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</si>
  <si>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</si>
  <si>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</si>
  <si>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</si>
  <si>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</si>
  <si>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</si>
  <si>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</si>
  <si>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</si>
  <si>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</si>
  <si>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</si>
  <si>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</si>
  <si>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</si>
  <si>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</si>
  <si>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</si>
  <si>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</si>
  <si>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</si>
  <si>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</si>
  <si>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</si>
  <si>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</si>
  <si>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</si>
  <si>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</si>
  <si>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</si>
  <si>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</si>
  <si>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</si>
  <si>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</si>
  <si>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</si>
  <si>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</si>
  <si>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</si>
  <si>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</si>
  <si>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</si>
  <si>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</si>
  <si>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</si>
  <si>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</si>
  <si>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</si>
  <si>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</si>
  <si>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</si>
  <si>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</si>
  <si>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</si>
  <si>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</si>
  <si>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</si>
  <si>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</si>
  <si>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</si>
  <si>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</si>
  <si>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</si>
  <si>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</si>
  <si>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</si>
  <si>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</si>
  <si>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</si>
  <si>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</si>
  <si>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</si>
  <si>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</si>
  <si>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</si>
  <si>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</si>
  <si>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</si>
  <si>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</si>
  <si>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</si>
  <si>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</si>
  <si>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</si>
  <si>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</si>
  <si>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</si>
  <si>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</si>
  <si>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</si>
  <si>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</si>
  <si>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</si>
  <si>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</si>
  <si>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</si>
  <si>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</si>
  <si>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</si>
  <si>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</si>
  <si>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</si>
  <si>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</si>
  <si>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</si>
  <si>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</si>
  <si>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</si>
  <si>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</si>
  <si>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</si>
  <si>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</si>
  <si>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</si>
  <si>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</si>
  <si>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</si>
  <si>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</si>
  <si>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</si>
  <si>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</si>
  <si>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</si>
  <si>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</si>
  <si>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</si>
  <si>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</si>
  <si>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</si>
  <si>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</si>
  <si>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</si>
  <si>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</si>
  <si>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</si>
  <si>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</si>
  <si>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</si>
  <si>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</si>
  <si>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</si>
  <si>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</si>
  <si>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</si>
  <si>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</si>
  <si>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</si>
  <si>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</si>
  <si>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</si>
  <si>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</si>
  <si>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</si>
  <si>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</si>
  <si>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</si>
  <si>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</si>
  <si>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</si>
  <si>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</si>
  <si>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</si>
  <si>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</si>
  <si>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</si>
  <si>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</si>
  <si>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</si>
  <si>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</si>
  <si>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</si>
  <si>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</si>
  <si>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</si>
  <si>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</si>
  <si>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</si>
  <si>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</si>
  <si>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</si>
  <si>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</si>
  <si>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</si>
  <si>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</si>
  <si>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</si>
  <si>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</si>
  <si>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</si>
  <si>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</si>
  <si>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</si>
  <si>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</si>
  <si>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</si>
  <si>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</si>
  <si>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</si>
  <si>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</si>
  <si>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</si>
  <si>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</si>
  <si>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</si>
  <si>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</si>
  <si>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</si>
  <si>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</si>
  <si>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</si>
  <si>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</si>
  <si>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</si>
  <si>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</si>
  <si>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</si>
  <si>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</si>
  <si>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</si>
  <si>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</si>
  <si>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</si>
  <si>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</si>
  <si>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</si>
  <si>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</si>
  <si>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</si>
  <si>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</si>
  <si>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</si>
  <si>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</si>
  <si>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</si>
  <si>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</si>
  <si>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</si>
  <si>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</si>
  <si>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</si>
  <si>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</si>
  <si>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</si>
  <si>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</si>
  <si>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</si>
  <si>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</si>
  <si>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</si>
  <si>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</si>
  <si>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</si>
  <si>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</si>
  <si>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</si>
  <si>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</si>
  <si>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</si>
  <si>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</si>
  <si>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</si>
  <si>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</si>
  <si>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</si>
  <si>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</si>
  <si>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</si>
  <si>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</si>
  <si>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</si>
  <si>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</si>
  <si>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</si>
  <si>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</si>
  <si>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</si>
  <si>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</si>
  <si>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</si>
  <si>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</si>
  <si>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</si>
  <si>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</si>
  <si>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</si>
  <si>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</si>
  <si>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</si>
  <si>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</si>
  <si>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</si>
  <si>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</si>
  <si>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</si>
  <si>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</si>
  <si>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</si>
  <si>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</si>
  <si>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</si>
  <si>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</si>
  <si>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</si>
  <si>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</si>
  <si>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</si>
  <si>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</si>
  <si>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</si>
  <si>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</si>
  <si>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</si>
  <si>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</si>
  <si>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</si>
  <si>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</si>
  <si>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</si>
  <si>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</si>
  <si>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</si>
  <si>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</si>
  <si>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</si>
  <si>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</si>
  <si>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</si>
  <si>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</si>
  <si>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</si>
  <si>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</si>
  <si>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</si>
  <si>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</si>
  <si>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</si>
  <si>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</si>
  <si>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</si>
  <si>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</si>
  <si>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</si>
  <si>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</si>
  <si>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</si>
  <si>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</si>
  <si>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</si>
  <si>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</si>
  <si>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</si>
  <si>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</si>
  <si>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</si>
  <si>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</si>
  <si>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</si>
  <si>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</si>
  <si>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</si>
  <si>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</si>
  <si>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</si>
  <si>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</si>
  <si>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</si>
  <si>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</si>
  <si>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</si>
  <si>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</si>
  <si>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</si>
  <si>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</si>
  <si>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</si>
  <si>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</si>
  <si>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</si>
  <si>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</si>
  <si>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</si>
  <si>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</si>
  <si>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</si>
  <si>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</si>
  <si>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</si>
  <si>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</si>
  <si>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</si>
  <si>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</si>
  <si>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</si>
  <si>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</si>
  <si>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</si>
  <si>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</si>
  <si>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</si>
  <si>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</si>
  <si>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</si>
  <si>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</si>
  <si>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</si>
  <si>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</si>
  <si>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</si>
  <si>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</si>
  <si>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</si>
  <si>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</si>
  <si>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</si>
  <si>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</si>
  <si>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</si>
  <si>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</si>
  <si>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</si>
  <si>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</si>
  <si>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</si>
  <si>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</si>
  <si>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</si>
  <si>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</si>
  <si>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</si>
  <si>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</si>
  <si>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</si>
  <si>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</si>
  <si>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</si>
  <si>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</si>
  <si>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</si>
  <si>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</si>
  <si>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</si>
  <si>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</si>
  <si>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</si>
  <si>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</si>
  <si>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</si>
  <si>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</si>
  <si>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</si>
  <si>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</si>
  <si>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</si>
  <si>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</si>
  <si>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</si>
  <si>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</si>
  <si>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</si>
  <si>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</si>
  <si>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</si>
  <si>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</si>
  <si>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</si>
  <si>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</si>
  <si>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</si>
  <si>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</si>
  <si>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</si>
  <si>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</si>
  <si>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</si>
  <si>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</si>
  <si>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</si>
  <si>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</si>
  <si>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</si>
  <si>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</si>
  <si>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</si>
  <si>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</si>
  <si>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</si>
  <si>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</si>
  <si>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</si>
  <si>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</si>
  <si>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</si>
  <si>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</si>
  <si>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</si>
  <si>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</si>
  <si>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</si>
  <si>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</si>
  <si>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</si>
  <si>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</si>
  <si>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</si>
  <si>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</si>
  <si>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</si>
  <si>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</si>
  <si>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</si>
  <si>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</si>
  <si>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</si>
  <si>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</si>
  <si>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</si>
  <si>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</si>
  <si>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</si>
  <si>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</si>
  <si>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</si>
  <si>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</si>
  <si>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</si>
  <si>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</si>
  <si>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</si>
  <si>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</si>
  <si>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</si>
  <si>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</si>
  <si>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</si>
  <si>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</si>
  <si>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</si>
  <si>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</si>
  <si>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</si>
  <si>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</si>
  <si>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</si>
  <si>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</si>
  <si>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</si>
  <si>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</si>
  <si>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</si>
  <si>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</si>
  <si>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</si>
  <si>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</si>
  <si>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</si>
  <si>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</si>
  <si>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</si>
  <si>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</si>
  <si>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</si>
  <si>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</si>
  <si>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</si>
  <si>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</si>
  <si>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</si>
  <si>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</si>
  <si>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</si>
  <si>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</si>
  <si>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</si>
  <si>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</si>
  <si>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</si>
  <si>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</si>
  <si>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</si>
  <si>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</si>
  <si>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</si>
  <si>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</si>
  <si>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</si>
  <si>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</si>
  <si>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</si>
  <si>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</si>
  <si>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</si>
  <si>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</si>
  <si>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</si>
  <si>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</si>
  <si>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</si>
  <si>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</si>
  <si>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</si>
  <si>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</si>
  <si>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</si>
  <si>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</si>
  <si>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</si>
  <si>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</si>
  <si>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</si>
  <si>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</si>
  <si>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</si>
  <si>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</si>
  <si>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</si>
  <si>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</si>
  <si>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</si>
  <si>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</si>
  <si>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</si>
  <si>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</si>
  <si>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</si>
  <si>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</si>
  <si>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</si>
  <si>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</si>
  <si>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</si>
  <si>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</si>
  <si>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</si>
  <si>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</si>
  <si>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ALM in EU, CRL in US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</si>
  <si>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</si>
  <si>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</si>
  <si>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</si>
  <si>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</si>
  <si>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</si>
  <si>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</si>
  <si>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</si>
  <si>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</si>
  <si>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</si>
  <si>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</si>
  <si>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</si>
  <si>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</si>
  <si>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</si>
  <si>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</si>
  <si>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</si>
  <si>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</si>
  <si>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</si>
  <si>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</si>
  <si>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</si>
  <si>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</si>
  <si>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</si>
  <si>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</si>
  <si>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</si>
  <si>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</si>
  <si>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</si>
  <si>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</si>
  <si>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</si>
  <si>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</si>
  <si>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</si>
  <si>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</si>
  <si>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</si>
  <si>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</si>
  <si>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</si>
  <si>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</si>
  <si>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</si>
  <si>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</si>
  <si>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</si>
  <si>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</si>
  <si>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</si>
  <si>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</si>
  <si>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</si>
  <si>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</si>
  <si>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</si>
  <si>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</si>
  <si>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</si>
  <si>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</si>
  <si>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</si>
  <si>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</si>
  <si>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</si>
  <si>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</si>
  <si>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</si>
  <si>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</si>
  <si>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</si>
  <si>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</si>
  <si>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</si>
  <si>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</si>
  <si>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</si>
  <si>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</si>
  <si>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</si>
  <si>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</si>
  <si>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</si>
  <si>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</si>
  <si>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</si>
  <si>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</si>
  <si>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</si>
  <si>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</si>
  <si>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</si>
  <si>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</si>
  <si>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</si>
  <si>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</si>
  <si>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</si>
  <si>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</si>
  <si>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</si>
  <si>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</si>
  <si>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</si>
  <si>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</si>
  <si>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</si>
  <si>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</si>
  <si>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</si>
  <si>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</si>
  <si>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</si>
  <si>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</si>
  <si>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</si>
  <si>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</si>
  <si>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</si>
  <si>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</si>
  <si>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</si>
  <si>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</si>
  <si>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</si>
  <si>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</si>
  <si>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</si>
  <si>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</si>
  <si>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</si>
  <si>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</si>
  <si>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</si>
  <si>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</si>
  <si>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</si>
  <si>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</si>
  <si>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</si>
  <si>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</si>
  <si>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</si>
  <si>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</si>
  <si>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</si>
  <si>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</si>
  <si>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</si>
  <si>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</si>
  <si>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</si>
  <si>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</si>
  <si>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</si>
  <si>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</si>
  <si>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</si>
  <si>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</si>
  <si>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</si>
  <si>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</si>
  <si>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</si>
  <si>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</si>
  <si>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</si>
  <si>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</si>
  <si>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</si>
  <si>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</si>
  <si>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</si>
  <si>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</si>
  <si>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</si>
  <si>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</si>
  <si>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</si>
  <si>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</si>
  <si>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</si>
  <si>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</si>
  <si>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</si>
  <si>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</si>
  <si>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</si>
  <si>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</si>
  <si>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</si>
  <si>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</si>
  <si>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</si>
  <si>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</si>
  <si>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</si>
  <si>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</si>
  <si>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</si>
  <si>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</si>
  <si>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</si>
  <si>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</si>
  <si>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</si>
  <si>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</si>
  <si>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</si>
  <si>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</si>
  <si>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</si>
  <si>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</si>
  <si>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</si>
  <si>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</si>
  <si>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</si>
  <si>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</si>
  <si>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</si>
  <si>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</si>
  <si>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</si>
  <si>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</si>
  <si>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</si>
  <si>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</si>
  <si>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</si>
  <si>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</si>
  <si>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</si>
  <si>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</si>
  <si>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</si>
  <si>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</si>
  <si>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</si>
  <si>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</si>
  <si>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</si>
  <si>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</si>
  <si>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</si>
  <si>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</si>
  <si>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</si>
  <si>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</si>
  <si>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</si>
  <si>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</si>
  <si>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</si>
  <si>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</si>
  <si>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</si>
  <si>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</si>
  <si>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</si>
  <si>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</si>
  <si>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</si>
  <si>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</si>
  <si>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</si>
  <si>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</si>
  <si>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</si>
  <si>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</si>
  <si>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</si>
  <si>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</si>
  <si>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</si>
  <si>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</si>
  <si>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</si>
  <si>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</si>
  <si>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</si>
  <si>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</si>
  <si>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</si>
  <si>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</si>
  <si>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</si>
  <si>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</si>
  <si>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</si>
  <si>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</si>
  <si>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</si>
  <si>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</si>
  <si>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</si>
  <si>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</si>
  <si>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</si>
  <si>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</si>
  <si>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</si>
  <si>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</si>
  <si>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</si>
  <si>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</si>
  <si>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</si>
  <si>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</si>
  <si>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</si>
  <si>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</si>
  <si>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</si>
  <si>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</si>
  <si>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</si>
  <si>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</si>
  <si>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</si>
  <si>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</si>
  <si>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</si>
  <si>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</si>
  <si>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Phase III "TRAILBLAZER-ALZ 2" early symptomatic AD</t>
  </si>
  <si>
    <t>Kinsula (donanemab)</t>
  </si>
  <si>
    <t>8/8/24: Q224 results.</t>
  </si>
  <si>
    <t>92</t>
  </si>
  <si>
    <t>86</t>
  </si>
  <si>
    <t>95</t>
  </si>
  <si>
    <t>104</t>
  </si>
  <si>
    <t>CFO: Anat Ashkenazi left for Google.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</si>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</sst>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22564</xdr:colOff>
      <xdr:row>0</xdr:row>
      <xdr:rowOff>0</xdr:rowOff>
    </xdr:from>
    <xdr:to>
      <xdr:col>88</xdr:col>
      <xdr:colOff>22564</xdr:colOff>
      <xdr:row>149</xdr:row>
      <xdr:rowOff>163285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41973385" y="0"/>
          <a:ext cx="0" cy="2416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134</xdr:col>
      <xdr:colOff>50800</xdr:colOff>
      <xdr:row>0</xdr:row>
      <xdr:rowOff>0</xdr:rowOff>
    </xdr:from>
    <xdr:to>
      <xdr:col>134</xdr:col>
      <xdr:colOff>50800</xdr:colOff>
      <xdr:row>144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H5" dT="2024-02-27T00:19:09.68" personId="{13399233-BA81-4949-9BE8-57EDDD85014C}" id="{305C25D8-EC5F-F64B-B9EB-E27AF5972BCF}">
    <text>Supply constrained</text>
  </threadedComment>
  <threadedComment ref="DU5" dT="2024-10-03T20:00:28.15" personId="{13399233-BA81-4949-9BE8-57EDDD85014C}" id="{18EDECF3-07E9-E64C-BB5F-7F8C1AE658D1}">
    <text>FDA approval 9/18/2014</text>
  </threadedComment>
  <threadedComment ref="CB6" dT="2024-10-03T20:04:15.51" personId="{13399233-BA81-4949-9BE8-57EDDD85014C}" id="{D110C76F-F305-4B4E-81AC-1163B81E3DFE}">
    <text>5/13/2022 FDA approval</text>
  </threadedComment>
  <threadedComment ref="CH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EC6" dT="2024-10-03T20:01:17.49" personId="{13399233-BA81-4949-9BE8-57EDDD85014C}" id="{B6EB371A-0A56-AB4A-ABD9-92DAC5F36509}">
    <text>FDA approval 5/13/2022</text>
  </threadedComment>
  <threadedComment ref="CH7" dT="2024-10-03T20:03:54.28" personId="{13399233-BA81-4949-9BE8-57EDDD85014C}" id="{A9BC4FE8-80DC-7A41-916B-FD3A3AC43432}">
    <text>11/8/2023 FDA approval</text>
  </threadedComment>
  <threadedComment ref="ED7" dT="2024-10-03T20:01:33.13" personId="{13399233-BA81-4949-9BE8-57EDDD85014C}" id="{1F40E5FC-CF54-AC45-BC0B-9404824FFEE4}">
    <text>FDA approval 11/8/2023</text>
  </threadedComment>
  <threadedComment ref="EA8" dT="2024-10-03T21:25:52.29" personId="{13399233-BA81-4949-9BE8-57EDDD85014C}" id="{7094BEE2-B255-6946-B53D-312828A0E8FE}">
    <text>bamlanivimab EUA 11/9/2020</text>
  </threadedComment>
  <threadedComment ref="EC8" dT="2024-10-03T21:24:06.45" personId="{13399233-BA81-4949-9BE8-57EDDD85014C}" id="{4711E078-60E3-A24C-B7C8-30E07B67A17D}">
    <text>bebtelovimab approved 2/11/22</text>
  </threadedComment>
  <threadedComment ref="BD9" dT="2024-10-03T20:02:17.68" personId="{13399233-BA81-4949-9BE8-57EDDD85014C}" id="{2AB795EB-C43C-DF4A-B48D-CE2A18193A70}">
    <text>3/22/16 FDA approval</text>
  </threadedComment>
  <threadedComment ref="DW9" dT="2024-10-03T20:07:54.37" personId="{13399233-BA81-4949-9BE8-57EDDD85014C}" id="{298B0D48-B580-7140-B810-8C16E6EEE655}">
    <text>FDA approval 3/2016</text>
  </threadedComment>
  <threadedComment ref="BJ10" dT="2024-10-03T20:03:04.11" personId="{13399233-BA81-4949-9BE8-57EDDD85014C}" id="{BFDA6941-6E61-D14F-960B-69FE7FDBB07D}">
    <text>9/28/2017 FDA approval</text>
  </threadedComment>
  <threadedComment ref="DX10" dT="2024-10-03T20:08:07.91" personId="{13399233-BA81-4949-9BE8-57EDDD85014C}" id="{94562225-C4CE-0C4D-A578-B06EF230FD49}">
    <text>FDA approval 9/2017</text>
  </threadedComment>
  <threadedComment ref="DY15" dT="2024-10-03T20:08:52.60" personId="{13399233-BA81-4949-9BE8-57EDDD85014C}" id="{FC3313FA-6E66-F54B-BE29-1B33FA52BFD4}">
    <text>5/31/2018 FDA approval</text>
  </threadedComment>
  <threadedComment ref="DU16" dT="2024-10-03T20:10:01.58" personId="{13399233-BA81-4949-9BE8-57EDDD85014C}" id="{1462D965-411F-AB4E-9A9C-0EBC71E25E0E}">
    <text>4/21/2014 FDA approval</text>
  </threadedComment>
  <threadedComment ref="DJ17" dT="2024-10-03T20:12:18.02" personId="{13399233-BA81-4949-9BE8-57EDDD85014C}" id="{446C103B-2230-B14A-A972-079F64690778}">
    <text>FDA approval 11/21/2003</text>
  </threadedComment>
  <threadedComment ref="DV18" dT="2024-10-03T20:09:24.44" personId="{13399233-BA81-4949-9BE8-57EDDD85014C}" id="{E533C1B4-8234-9040-8B49-186CC437E345}">
    <text>12/16/2015 FDA approval</text>
  </threadedComment>
  <threadedComment ref="CB25" dT="2024-08-25T17:26:15.56" personId="{13399233-BA81-4949-9BE8-57EDDD85014C}" id="{8F4CD8C8-C5AD-42CC-9BCE-BBE94D1E731F}">
    <text>Sold to Cheplapharm</text>
  </threadedComment>
  <threadedComment ref="CE25" dT="2024-08-25T21:12:48.93" personId="{13399233-BA81-4949-9BE8-57EDDD85014C}" id="{F4F327C3-D382-4618-9A25-20A26153AC90}">
    <text>Not in 10-Q</text>
  </threadedComment>
  <threadedComment ref="CF25" dT="2024-08-25T21:13:23.65" personId="{13399233-BA81-4949-9BE8-57EDDD85014C}" id="{86E2D938-06E9-45D6-B748-F134DEE4AE39}">
    <text>Not in 10-Q</text>
  </threadedComment>
  <threadedComment ref="CG25" dT="2024-08-25T18:32:00.35" personId="{13399233-BA81-4949-9BE8-57EDDD85014C}" id="{AC99C3F7-4BA9-45D9-94D4-E0C841BBA79A}">
    <text>Sold to Cheplapharm for 1.4B</text>
  </threadedComment>
  <threadedComment ref="BV28" dT="2022-08-02T13:03:18.23" personId="{13399233-BA81-4949-9BE8-57EDDD85014C}" id="{C53B26C9-8602-47A2-80EC-A28651A52E20}">
    <text>359m as per 2021 10-K</text>
  </threadedComment>
  <threadedComment ref="BZ28" dT="2022-08-01T18:27:07.85" personId="{13399233-BA81-4949-9BE8-57EDDD85014C}" id="{63959650-84D7-46CF-829F-FD9E350BCC20}">
    <text>372.5m</text>
  </threadedComment>
  <threadedComment ref="CF31" dT="2024-08-25T17:29:33.54" personId="{13399233-BA81-4949-9BE8-57EDDD85014C}" id="{5CD0ABE8-7806-4ECB-8790-D95D213DFB7E}">
    <text>Sold to Amphastar for 625m</text>
  </threadedComment>
  <threadedComment ref="BX32" dT="2022-08-02T13:15:28.62" personId="{13399233-BA81-4949-9BE8-57EDDD85014C}" id="{A9214E8B-BB63-4C5A-81B6-161440AC7FDE}">
    <text>last quarter of Qbrexza</text>
  </threadedComment>
  <threadedComment ref="DG44" dT="2024-10-03T20:17:21.70" personId="{13399233-BA81-4949-9BE8-57EDDD85014C}" id="{C66F5119-A7C1-5741-A5D9-2B573CE6D33E}">
    <text>Includes Sarafem sales of 14.6m</text>
  </threadedComment>
  <threadedComment ref="DI44" dT="2024-10-03T21:00:28.39" personId="{13399233-BA81-4949-9BE8-57EDDD85014C}" id="{D94A1F2D-0D94-A840-8ACB-E2C95F3F4C07}">
    <text>Also had 656, maybe didn’t include weekly &amp; sarafem?</text>
  </threadedComment>
  <threadedComment ref="BO62" dT="2024-08-26T00:48:52.06" personId="{13399233-BA81-4949-9BE8-57EDDD85014C}" id="{F6E279B7-B537-4FD2-9F94-8042A4D12872}">
    <text>5,092</text>
  </threadedComment>
  <threadedComment ref="BS62" dT="2022-08-01T19:29:14.28" personId="{13399233-BA81-4949-9BE8-57EDDD85014C}" id="{E60352B4-4A0D-4646-997E-29633AD2D222}">
    <text>5859.8m reported revenue</text>
  </threadedComment>
  <threadedComment ref="BT62" dT="2022-08-01T19:13:29.91" personId="{13399233-BA81-4949-9BE8-57EDDD85014C}" id="{D23219C3-585B-4401-96E4-A54AA852CF63}">
    <text>5499.4m reported revenue</text>
  </threadedComment>
  <threadedComment ref="BU62" dT="2022-08-01T19:08:14.14" personId="{13399233-BA81-4949-9BE8-57EDDD85014C}" id="{A2E464E0-CBDF-4ECE-9C4E-FC1B4BA053F8}">
    <text>5740.6 reported revenue</text>
  </threadedComment>
  <threadedComment ref="BV62" dT="2022-08-01T18:51:30.86" personId="{13399233-BA81-4949-9BE8-57EDDD85014C}" id="{F1B0E7D4-F86C-4460-9BB2-30549C72BA4D}">
    <text>7440.0 actual reported</text>
  </threadedComment>
  <threadedComment ref="BW62" dT="2022-08-01T19:28:46.54" personId="{13399233-BA81-4949-9BE8-57EDDD85014C}" id="{27F9AA8E-4F00-4838-B3AE-5C359EA80361}">
    <text>6805.6 reported</text>
  </threadedComment>
  <threadedComment ref="BX62" dT="2022-08-01T19:13:16.67" personId="{13399233-BA81-4949-9BE8-57EDDD85014C}" id="{AFC9B85C-9AC1-4E0B-A0FD-4EC0747D6C85}">
    <text>6740 reported revenue</text>
  </threadedComment>
  <threadedComment ref="BY62" dT="2022-08-01T19:08:01.93" personId="{13399233-BA81-4949-9BE8-57EDDD85014C}" id="{3630D8DA-CEAE-49F9-B57E-A7443096F4CE}">
    <text>6772.8 reported revenue</text>
  </threadedComment>
  <threadedComment ref="BZ62" dT="2022-08-01T18:31:56.86" personId="{13399233-BA81-4949-9BE8-57EDDD85014C}" id="{D7A857CD-B43A-4E52-BA69-3F839DE07274}">
    <text>Actual reported 7999.9</text>
  </threadedComment>
  <threadedComment ref="CF62" dT="2023-10-23T04:05:00.50" personId="{13399233-BA81-4949-9BE8-57EDDD85014C}" id="{7F77C49B-1A2C-41FA-8A63-291465846371}">
    <text>Excluding Baqsimi sale of 579m</text>
  </threadedComment>
  <threadedComment ref="CH62" dT="2024-02-26T23:55:47.20" personId="{13399233-BA81-4949-9BE8-57EDDD85014C}" id="{E9AE85F5-95A1-1746-8695-2448A65CBE0D}">
    <text>$65m one-time milestone for Ebglyss launch.</text>
  </threadedComment>
  <threadedComment ref="ED62" dT="2024-02-27T00:16:20.93" personId="{13399233-BA81-4949-9BE8-57EDDD85014C}" id="{44F04AEB-60ED-E244-B275-73D80CAB84D6}">
    <text>34124m actual</text>
  </threadedComment>
  <threadedComment ref="EE62" dT="2024-02-22T18:16:29.86" personId="{13399233-BA81-4949-9BE8-57EDDD85014C}" id="{DCF6DE87-1143-A848-8919-609B3D10ACF2}">
    <text>Q423 guidance: 40.4-41.6</text>
  </threadedComment>
  <threadedComment ref="BW72" dT="2022-08-01T18:07:16.89" personId="{13399233-BA81-4949-9BE8-57EDDD85014C}" id="{00F4491F-C819-44C1-AC45-2ABA1B7BE593}">
    <text>actual adjusted 1465.5</text>
  </threadedComment>
  <threadedComment ref="CA72" dT="2022-08-01T18:06:59.44" personId="{13399233-BA81-4949-9BE8-57EDDD85014C}" id="{8874A794-CB8F-4280-B6A0-27B01371D863}">
    <text>actual adjusted 2372.8</text>
  </threadedComment>
  <threadedComment ref="CD72" dT="2024-02-24T02:28:04.80" personId="{13399233-BA81-4949-9BE8-57EDDD85014C}" id="{E2B8392D-784C-1C43-9C17-6F8F6E8E10E8}">
    <text>1893.1m NG NI</text>
  </threadedComment>
  <threadedComment ref="CH72" dT="2024-02-24T02:27:29.45" personId="{13399233-BA81-4949-9BE8-57EDDD85014C}" id="{D3E83574-E8FE-5147-B547-53DDC5467704}">
    <text>2249.4m NG NI</text>
  </threadedComment>
  <threadedComment ref="CD73" dT="2024-02-24T02:28:12.49" personId="{13399233-BA81-4949-9BE8-57EDDD85014C}" id="{C09F6605-4B5E-4E4F-877F-AF898C62BEE7}">
    <text>2.09 NG NI</text>
  </threadedComment>
  <threadedComment ref="CH73" dT="2024-02-24T02:27:39.45" personId="{13399233-BA81-4949-9BE8-57EDDD85014C}" id="{6446E119-F193-1142-9DE3-B2093A985B4F}">
    <text>2.49 NG NI</text>
  </threadedComment>
  <threadedComment ref="EE73" dT="2024-02-22T18:16:50.67" personId="{13399233-BA81-4949-9BE8-57EDDD85014C}" id="{EA475891-7DAB-5B42-A37D-6815334EAFF1}">
    <text>Q423 guidance: 12.20-12.70</text>
  </threadedComment>
  <threadedComment ref="CH76" dT="2024-02-26T23:55:19.60" personId="{13399233-BA81-4949-9BE8-57EDDD85014C}" id="{E7A7648A-AC02-E948-A141-F239D41E7779}">
    <text>16% higher prices (Mounjaro savings card dynamics)
11% volume
1% FX</text>
  </threadedComment>
  <threadedComment ref="CG125" dT="2024-08-25T18:15:49.06" personId="{13399233-BA81-4949-9BE8-57EDDD85014C}" id="{F7EEE25E-A1A6-4B35-B1EF-801B6A1015FB}">
    <text>Sold Zyprexa, Baqsimi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98"/>
  <sheetViews>
    <sheetView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B62" sqref="B62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497</v>
      </c>
      <c r="J2" s="38" t="s">
        <v>579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764</v>
      </c>
      <c r="G3" s="38"/>
      <c r="H3" s="38"/>
      <c r="J3" s="38"/>
    </row>
    <row r="4" spans="1:10" x14ac:dyDescent="0.2">
      <c r="B4" s="14" t="s">
        <v>19</v>
      </c>
      <c r="C4" s="38" t="s">
        <v>228</v>
      </c>
      <c r="D4" s="6" t="s">
        <v>116</v>
      </c>
      <c r="F4" s="40">
        <v>1</v>
      </c>
      <c r="G4" s="30">
        <v>38021</v>
      </c>
      <c r="H4" s="7">
        <v>2016</v>
      </c>
    </row>
    <row r="5" spans="1:10" x14ac:dyDescent="0.2">
      <c r="B5" s="38" t="s">
        <v>802</v>
      </c>
      <c r="C5" s="38" t="s">
        <v>803</v>
      </c>
      <c r="D5" s="37" t="s">
        <v>79</v>
      </c>
      <c r="F5" s="40"/>
      <c r="G5" s="30"/>
      <c r="H5" s="6"/>
    </row>
    <row r="6" spans="1:10" x14ac:dyDescent="0.2">
      <c r="B6" s="38" t="s">
        <v>768</v>
      </c>
      <c r="C6" s="38" t="s">
        <v>804</v>
      </c>
      <c r="D6" s="37" t="s">
        <v>805</v>
      </c>
      <c r="E6" s="38" t="s">
        <v>801</v>
      </c>
      <c r="F6" s="40"/>
      <c r="G6" s="30"/>
      <c r="H6" s="6"/>
    </row>
    <row r="7" spans="1:10" x14ac:dyDescent="0.2">
      <c r="B7" s="38" t="s">
        <v>277</v>
      </c>
      <c r="C7" s="38"/>
      <c r="D7" s="38"/>
      <c r="E7" s="38"/>
    </row>
    <row r="8" spans="1:10" x14ac:dyDescent="0.2">
      <c r="B8" s="38" t="s">
        <v>454</v>
      </c>
      <c r="C8" s="38" t="s">
        <v>470</v>
      </c>
      <c r="D8" s="38"/>
      <c r="E8" s="38"/>
    </row>
    <row r="9" spans="1:10" x14ac:dyDescent="0.2">
      <c r="B9" s="38" t="s">
        <v>478</v>
      </c>
      <c r="C9" s="38" t="s">
        <v>479</v>
      </c>
      <c r="D9" s="38"/>
      <c r="E9" s="38"/>
      <c r="F9" t="s">
        <v>274</v>
      </c>
    </row>
    <row r="10" spans="1:10" x14ac:dyDescent="0.2">
      <c r="B10" s="38" t="s">
        <v>63</v>
      </c>
      <c r="C10" s="38" t="s">
        <v>775</v>
      </c>
      <c r="D10" s="38"/>
      <c r="E10" s="38"/>
    </row>
    <row r="11" spans="1:10" x14ac:dyDescent="0.2">
      <c r="B11" s="14" t="s">
        <v>552</v>
      </c>
      <c r="C11" s="6" t="s">
        <v>40</v>
      </c>
      <c r="D11" s="6" t="s">
        <v>108</v>
      </c>
      <c r="E11" s="11">
        <v>1</v>
      </c>
      <c r="G11" s="7">
        <v>2016</v>
      </c>
      <c r="J11" s="30">
        <v>37946</v>
      </c>
    </row>
    <row r="12" spans="1:10" x14ac:dyDescent="0.2">
      <c r="B12" s="38" t="s">
        <v>807</v>
      </c>
      <c r="C12" s="110" t="s">
        <v>806</v>
      </c>
      <c r="D12" s="38" t="s">
        <v>79</v>
      </c>
      <c r="E12" s="38"/>
      <c r="G12" s="38" t="s">
        <v>795</v>
      </c>
    </row>
    <row r="13" spans="1:10" x14ac:dyDescent="0.2">
      <c r="B13" s="38" t="s">
        <v>808</v>
      </c>
      <c r="C13" s="110" t="s">
        <v>809</v>
      </c>
      <c r="D13" s="38" t="s">
        <v>79</v>
      </c>
      <c r="E13" s="38"/>
      <c r="G13" s="38"/>
    </row>
    <row r="14" spans="1:10" x14ac:dyDescent="0.2">
      <c r="B14" s="38" t="s">
        <v>14</v>
      </c>
      <c r="C14" s="38" t="s">
        <v>404</v>
      </c>
      <c r="D14" s="38" t="s">
        <v>406</v>
      </c>
      <c r="E14" s="38" t="s">
        <v>107</v>
      </c>
      <c r="F14" s="11">
        <v>1</v>
      </c>
      <c r="G14" s="30">
        <v>38202</v>
      </c>
      <c r="H14" s="44" t="s">
        <v>549</v>
      </c>
    </row>
    <row r="15" spans="1:10" x14ac:dyDescent="0.2">
      <c r="B15" s="38" t="s">
        <v>73</v>
      </c>
      <c r="C15" s="38"/>
      <c r="D15" s="38" t="s">
        <v>790</v>
      </c>
      <c r="E15" s="38"/>
      <c r="F15" s="11"/>
      <c r="G15" s="30"/>
      <c r="H15" s="37"/>
    </row>
    <row r="16" spans="1:10" x14ac:dyDescent="0.2">
      <c r="B16" s="38" t="s">
        <v>370</v>
      </c>
      <c r="C16" s="38"/>
      <c r="D16" s="38"/>
      <c r="E16" s="38"/>
    </row>
    <row r="17" spans="2:7" x14ac:dyDescent="0.2">
      <c r="B17" s="38" t="s">
        <v>810</v>
      </c>
      <c r="C17" s="110" t="s">
        <v>811</v>
      </c>
      <c r="D17" s="38" t="s">
        <v>194</v>
      </c>
      <c r="E17" s="38"/>
    </row>
    <row r="18" spans="2:7" x14ac:dyDescent="0.2">
      <c r="B18" s="38" t="s">
        <v>763</v>
      </c>
      <c r="C18" s="38"/>
      <c r="D18" s="38" t="s">
        <v>194</v>
      </c>
      <c r="E18" s="38"/>
    </row>
    <row r="19" spans="2:7" x14ac:dyDescent="0.2">
      <c r="B19" s="38" t="s">
        <v>71</v>
      </c>
      <c r="C19" s="38" t="s">
        <v>812</v>
      </c>
      <c r="D19" s="38" t="s">
        <v>786</v>
      </c>
      <c r="E19" s="38"/>
    </row>
    <row r="20" spans="2:7" x14ac:dyDescent="0.2">
      <c r="B20" s="38" t="s">
        <v>783</v>
      </c>
      <c r="C20" s="38" t="s">
        <v>813</v>
      </c>
      <c r="D20" s="38"/>
      <c r="E20" s="38" t="s">
        <v>784</v>
      </c>
    </row>
    <row r="21" spans="2:7" x14ac:dyDescent="0.2">
      <c r="B21" s="38" t="s">
        <v>261</v>
      </c>
      <c r="C21" s="38" t="s">
        <v>435</v>
      </c>
      <c r="D21" s="38" t="s">
        <v>93</v>
      </c>
      <c r="E21" s="38" t="s">
        <v>90</v>
      </c>
      <c r="F21" s="38" t="s">
        <v>436</v>
      </c>
    </row>
    <row r="22" spans="2:7" x14ac:dyDescent="0.2">
      <c r="B22" s="38" t="s">
        <v>794</v>
      </c>
      <c r="C22" s="38"/>
      <c r="D22" s="38" t="s">
        <v>308</v>
      </c>
      <c r="E22" s="38"/>
      <c r="F22" s="38"/>
    </row>
    <row r="23" spans="2:7" x14ac:dyDescent="0.2">
      <c r="B23" s="38" t="s">
        <v>375</v>
      </c>
      <c r="C23" s="38"/>
      <c r="D23" s="38"/>
      <c r="E23" s="38"/>
      <c r="F23" s="38"/>
    </row>
    <row r="24" spans="2:7" x14ac:dyDescent="0.2">
      <c r="B24" s="38" t="s">
        <v>17</v>
      </c>
      <c r="C24" s="38"/>
      <c r="D24" s="38" t="s">
        <v>111</v>
      </c>
      <c r="E24" s="38" t="s">
        <v>110</v>
      </c>
    </row>
    <row r="25" spans="2:7" x14ac:dyDescent="0.2">
      <c r="B25" s="14" t="s">
        <v>550</v>
      </c>
      <c r="C25" s="6" t="s">
        <v>111</v>
      </c>
      <c r="D25" s="6"/>
      <c r="E25" s="40" t="s">
        <v>282</v>
      </c>
      <c r="F25" s="30">
        <v>37586</v>
      </c>
      <c r="G25" s="44" t="s">
        <v>551</v>
      </c>
    </row>
    <row r="26" spans="2:7" x14ac:dyDescent="0.2">
      <c r="B26" s="38" t="s">
        <v>55</v>
      </c>
      <c r="C26" s="38" t="s">
        <v>437</v>
      </c>
      <c r="D26" s="38"/>
      <c r="E26" s="38"/>
    </row>
    <row r="27" spans="2:7" x14ac:dyDescent="0.2">
      <c r="B27" s="38" t="s">
        <v>495</v>
      </c>
      <c r="C27" s="38"/>
      <c r="D27" s="38"/>
      <c r="E27" s="38"/>
    </row>
    <row r="28" spans="2:7" x14ac:dyDescent="0.2">
      <c r="B28" s="38" t="s">
        <v>54</v>
      </c>
      <c r="C28" s="38" t="s">
        <v>814</v>
      </c>
      <c r="D28" s="38" t="s">
        <v>713</v>
      </c>
      <c r="E28" s="38" t="s">
        <v>773</v>
      </c>
    </row>
    <row r="29" spans="2:7" x14ac:dyDescent="0.2">
      <c r="B29" s="38" t="s">
        <v>69</v>
      </c>
      <c r="C29" s="38" t="s">
        <v>815</v>
      </c>
      <c r="D29" s="38" t="s">
        <v>778</v>
      </c>
      <c r="E29" s="38" t="s">
        <v>779</v>
      </c>
    </row>
    <row r="30" spans="2:7" x14ac:dyDescent="0.2">
      <c r="B30" s="38" t="s">
        <v>57</v>
      </c>
      <c r="C30" s="38" t="s">
        <v>772</v>
      </c>
      <c r="D30" s="38" t="s">
        <v>713</v>
      </c>
      <c r="E30" s="38" t="s">
        <v>774</v>
      </c>
    </row>
    <row r="31" spans="2:7" x14ac:dyDescent="0.2">
      <c r="B31" s="38" t="s">
        <v>770</v>
      </c>
      <c r="C31" s="38" t="s">
        <v>816</v>
      </c>
      <c r="D31" s="38" t="s">
        <v>713</v>
      </c>
      <c r="E31" s="38" t="s">
        <v>771</v>
      </c>
    </row>
    <row r="32" spans="2:7" x14ac:dyDescent="0.2">
      <c r="B32" s="38" t="s">
        <v>368</v>
      </c>
      <c r="C32" s="38"/>
      <c r="D32" s="38" t="s">
        <v>36</v>
      </c>
      <c r="E32" s="38"/>
    </row>
    <row r="33" spans="2:8" x14ac:dyDescent="0.2">
      <c r="B33" s="38" t="s">
        <v>766</v>
      </c>
      <c r="C33" s="110" t="s">
        <v>817</v>
      </c>
      <c r="D33" s="38"/>
      <c r="E33" s="38" t="s">
        <v>777</v>
      </c>
    </row>
    <row r="34" spans="2:8" x14ac:dyDescent="0.2">
      <c r="B34" s="38" t="s">
        <v>776</v>
      </c>
      <c r="C34" s="110" t="s">
        <v>817</v>
      </c>
      <c r="D34" s="38"/>
      <c r="E34" s="38" t="s">
        <v>777</v>
      </c>
    </row>
    <row r="35" spans="2:8" x14ac:dyDescent="0.2">
      <c r="B35" s="38" t="s">
        <v>781</v>
      </c>
      <c r="C35" s="110" t="s">
        <v>818</v>
      </c>
      <c r="D35" s="38"/>
      <c r="E35" s="38" t="s">
        <v>785</v>
      </c>
    </row>
    <row r="36" spans="2:8" x14ac:dyDescent="0.2">
      <c r="B36" s="38" t="s">
        <v>782</v>
      </c>
      <c r="C36" s="110" t="s">
        <v>819</v>
      </c>
      <c r="D36" s="38"/>
      <c r="E36" s="38" t="s">
        <v>785</v>
      </c>
    </row>
    <row r="37" spans="2:8" x14ac:dyDescent="0.2">
      <c r="B37" s="38" t="s">
        <v>407</v>
      </c>
      <c r="C37" s="38" t="s">
        <v>408</v>
      </c>
      <c r="D37" s="38" t="s">
        <v>409</v>
      </c>
      <c r="E37" s="38" t="s">
        <v>800</v>
      </c>
      <c r="F37" s="38" t="s">
        <v>265</v>
      </c>
    </row>
    <row r="38" spans="2:8" x14ac:dyDescent="0.2">
      <c r="B38" s="38" t="s">
        <v>64</v>
      </c>
      <c r="C38" s="110" t="s">
        <v>820</v>
      </c>
      <c r="D38" s="38"/>
      <c r="E38" s="38" t="s">
        <v>799</v>
      </c>
      <c r="F38" s="38"/>
    </row>
    <row r="39" spans="2:8" x14ac:dyDescent="0.2">
      <c r="B39" s="38" t="s">
        <v>798</v>
      </c>
      <c r="C39" s="110" t="s">
        <v>821</v>
      </c>
      <c r="D39" s="38"/>
      <c r="E39" s="38" t="s">
        <v>785</v>
      </c>
      <c r="F39" s="38"/>
    </row>
    <row r="40" spans="2:8" x14ac:dyDescent="0.2">
      <c r="B40" s="38" t="s">
        <v>822</v>
      </c>
      <c r="C40" s="110" t="s">
        <v>823</v>
      </c>
      <c r="D40" s="38"/>
      <c r="E40" s="38"/>
      <c r="F40" s="38"/>
    </row>
    <row r="41" spans="2:8" x14ac:dyDescent="0.2">
      <c r="B41" s="38" t="s">
        <v>765</v>
      </c>
      <c r="C41" s="38" t="s">
        <v>824</v>
      </c>
      <c r="D41" s="38"/>
      <c r="E41" s="38" t="s">
        <v>789</v>
      </c>
      <c r="F41" s="38"/>
    </row>
    <row r="42" spans="2:8" x14ac:dyDescent="0.2">
      <c r="B42" s="38" t="s">
        <v>440</v>
      </c>
      <c r="C42" s="38" t="s">
        <v>441</v>
      </c>
      <c r="D42" s="38" t="s">
        <v>239</v>
      </c>
      <c r="E42" s="38" t="s">
        <v>266</v>
      </c>
      <c r="F42" s="38" t="s">
        <v>267</v>
      </c>
    </row>
    <row r="43" spans="2:8" x14ac:dyDescent="0.2">
      <c r="B43" s="38" t="s">
        <v>791</v>
      </c>
      <c r="C43" s="38" t="s">
        <v>825</v>
      </c>
      <c r="D43" s="38" t="s">
        <v>792</v>
      </c>
      <c r="E43" s="38"/>
      <c r="F43" s="38"/>
    </row>
    <row r="44" spans="2:8" x14ac:dyDescent="0.2">
      <c r="B44" s="38" t="s">
        <v>418</v>
      </c>
      <c r="C44" s="38" t="s">
        <v>826</v>
      </c>
      <c r="D44" s="38" t="s">
        <v>769</v>
      </c>
      <c r="E44" s="38"/>
      <c r="F44" s="38"/>
      <c r="G44" s="21" t="s">
        <v>419</v>
      </c>
    </row>
    <row r="45" spans="2:8" x14ac:dyDescent="0.2">
      <c r="B45" s="38" t="s">
        <v>61</v>
      </c>
      <c r="C45" s="38" t="s">
        <v>827</v>
      </c>
      <c r="D45" s="38" t="s">
        <v>37</v>
      </c>
      <c r="E45" s="38"/>
      <c r="F45" s="38"/>
      <c r="G45" s="21"/>
    </row>
    <row r="46" spans="2:8" x14ac:dyDescent="0.2">
      <c r="B46" s="38" t="s">
        <v>496</v>
      </c>
      <c r="C46" s="38"/>
      <c r="D46" s="38"/>
      <c r="E46" s="38"/>
      <c r="F46" s="38"/>
      <c r="G46" s="21"/>
      <c r="H46" s="38" t="s">
        <v>498</v>
      </c>
    </row>
    <row r="47" spans="2:8" x14ac:dyDescent="0.2">
      <c r="B47" s="38" t="s">
        <v>72</v>
      </c>
      <c r="C47" s="38" t="s">
        <v>828</v>
      </c>
      <c r="D47" s="38" t="s">
        <v>787</v>
      </c>
      <c r="E47" s="38"/>
      <c r="F47" s="38" t="s">
        <v>788</v>
      </c>
      <c r="G47" s="21"/>
      <c r="H47" s="38"/>
    </row>
    <row r="48" spans="2:8" x14ac:dyDescent="0.2">
      <c r="B48" s="38" t="s">
        <v>377</v>
      </c>
      <c r="C48" s="38"/>
      <c r="D48" s="38"/>
      <c r="E48" s="38"/>
      <c r="F48" s="38"/>
      <c r="G48" s="21"/>
    </row>
    <row r="49" spans="2:10" x14ac:dyDescent="0.2">
      <c r="B49" s="38" t="s">
        <v>455</v>
      </c>
      <c r="C49" s="38" t="s">
        <v>499</v>
      </c>
      <c r="D49" s="38" t="s">
        <v>453</v>
      </c>
      <c r="E49" s="38"/>
      <c r="F49" s="38"/>
      <c r="G49" s="21"/>
    </row>
    <row r="50" spans="2:10" x14ac:dyDescent="0.2">
      <c r="B50" s="38" t="s">
        <v>15</v>
      </c>
      <c r="C50" s="38" t="s">
        <v>410</v>
      </c>
      <c r="D50" s="38" t="s">
        <v>38</v>
      </c>
      <c r="J50" s="16"/>
    </row>
    <row r="51" spans="2:10" x14ac:dyDescent="0.2">
      <c r="B51" s="38" t="s">
        <v>41</v>
      </c>
      <c r="C51" s="38"/>
      <c r="D51" s="38" t="s">
        <v>414</v>
      </c>
    </row>
    <row r="52" spans="2:10" x14ac:dyDescent="0.2">
      <c r="B52" s="38" t="s">
        <v>443</v>
      </c>
      <c r="C52" s="38" t="s">
        <v>444</v>
      </c>
      <c r="D52" s="38" t="s">
        <v>239</v>
      </c>
      <c r="E52" s="38" t="s">
        <v>442</v>
      </c>
      <c r="F52" s="77">
        <v>1</v>
      </c>
    </row>
    <row r="53" spans="2:10" x14ac:dyDescent="0.2">
      <c r="B53" s="38" t="s">
        <v>780</v>
      </c>
      <c r="C53" s="38" t="s">
        <v>829</v>
      </c>
      <c r="D53" s="38"/>
      <c r="E53" s="38" t="s">
        <v>785</v>
      </c>
      <c r="F53" s="77"/>
    </row>
    <row r="54" spans="2:10" x14ac:dyDescent="0.2">
      <c r="B54" s="38" t="s">
        <v>493</v>
      </c>
      <c r="C54" s="38"/>
      <c r="D54" s="38" t="s">
        <v>36</v>
      </c>
      <c r="E54" s="38"/>
      <c r="F54" s="77"/>
    </row>
    <row r="55" spans="2:10" x14ac:dyDescent="0.2">
      <c r="B55" s="38" t="s">
        <v>463</v>
      </c>
      <c r="C55" s="38" t="s">
        <v>462</v>
      </c>
      <c r="D55" s="38" t="s">
        <v>36</v>
      </c>
      <c r="E55" s="38" t="s">
        <v>118</v>
      </c>
      <c r="F55" s="77"/>
    </row>
    <row r="56" spans="2:10" x14ac:dyDescent="0.2">
      <c r="B56" s="38" t="s">
        <v>66</v>
      </c>
      <c r="C56" s="38" t="s">
        <v>830</v>
      </c>
      <c r="D56" s="38"/>
      <c r="E56" s="38" t="s">
        <v>777</v>
      </c>
      <c r="F56" s="77"/>
      <c r="H56" s="38" t="s">
        <v>767</v>
      </c>
    </row>
    <row r="57" spans="2:10" x14ac:dyDescent="0.2">
      <c r="B57" s="38" t="s">
        <v>793</v>
      </c>
      <c r="C57" s="38" t="s">
        <v>831</v>
      </c>
      <c r="D57" s="38" t="s">
        <v>451</v>
      </c>
      <c r="E57" s="38"/>
      <c r="F57" s="77"/>
      <c r="H57" s="38"/>
    </row>
    <row r="58" spans="2:10" x14ac:dyDescent="0.2">
      <c r="B58" s="38" t="s">
        <v>369</v>
      </c>
      <c r="C58" s="38"/>
      <c r="D58" s="38"/>
      <c r="E58" s="38"/>
      <c r="F58" s="77"/>
    </row>
    <row r="59" spans="2:10" x14ac:dyDescent="0.2">
      <c r="B59" s="38" t="s">
        <v>416</v>
      </c>
      <c r="C59" s="38"/>
      <c r="D59" s="38"/>
      <c r="G59" s="21" t="s">
        <v>417</v>
      </c>
    </row>
    <row r="60" spans="2:10" x14ac:dyDescent="0.2">
      <c r="B60" s="38" t="s">
        <v>7</v>
      </c>
      <c r="C60" s="38" t="s">
        <v>85</v>
      </c>
      <c r="D60" s="38" t="s">
        <v>411</v>
      </c>
      <c r="E60" s="38" t="s">
        <v>412</v>
      </c>
      <c r="G60" s="21" t="s">
        <v>415</v>
      </c>
    </row>
    <row r="61" spans="2:10" x14ac:dyDescent="0.2">
      <c r="B61" s="36" t="s">
        <v>448</v>
      </c>
      <c r="C61" s="37" t="s">
        <v>450</v>
      </c>
      <c r="D61" s="6"/>
      <c r="E61" s="40"/>
      <c r="F61" s="6"/>
      <c r="G61" s="7"/>
    </row>
    <row r="62" spans="2:10" x14ac:dyDescent="0.2">
      <c r="B62" s="36" t="s">
        <v>449</v>
      </c>
      <c r="C62" s="37" t="s">
        <v>450</v>
      </c>
      <c r="D62" s="6"/>
      <c r="E62" s="40"/>
      <c r="F62" s="6"/>
      <c r="G62" s="7"/>
      <c r="J62" s="21"/>
    </row>
    <row r="69" spans="2:8" x14ac:dyDescent="0.2">
      <c r="B69" s="38" t="s">
        <v>402</v>
      </c>
      <c r="C69" s="38" t="s">
        <v>403</v>
      </c>
      <c r="D69" s="38" t="s">
        <v>1</v>
      </c>
      <c r="E69" s="38" t="s">
        <v>405</v>
      </c>
      <c r="F69" s="38" t="s">
        <v>2</v>
      </c>
      <c r="G69" s="38" t="s">
        <v>5</v>
      </c>
      <c r="H69" s="38" t="s">
        <v>474</v>
      </c>
    </row>
    <row r="70" spans="2:8" x14ac:dyDescent="0.2">
      <c r="B70" s="38"/>
      <c r="C70" s="38" t="s">
        <v>481</v>
      </c>
      <c r="D70" s="38" t="s">
        <v>120</v>
      </c>
      <c r="E70" s="38" t="s">
        <v>483</v>
      </c>
      <c r="F70" s="38"/>
      <c r="G70" s="38"/>
      <c r="H70" s="38"/>
    </row>
    <row r="71" spans="2:8" x14ac:dyDescent="0.2">
      <c r="C71" s="38" t="s">
        <v>404</v>
      </c>
      <c r="D71" s="38" t="s">
        <v>39</v>
      </c>
    </row>
    <row r="72" spans="2:8" x14ac:dyDescent="0.2">
      <c r="C72" s="38" t="s">
        <v>49</v>
      </c>
      <c r="D72" s="38" t="s">
        <v>121</v>
      </c>
      <c r="E72" s="38" t="s">
        <v>456</v>
      </c>
    </row>
    <row r="73" spans="2:8" x14ac:dyDescent="0.2">
      <c r="B73" t="s">
        <v>25</v>
      </c>
      <c r="D73" s="53" t="s">
        <v>116</v>
      </c>
      <c r="E73" s="53" t="s">
        <v>191</v>
      </c>
      <c r="F73" s="70" t="s">
        <v>192</v>
      </c>
      <c r="G73" s="53" t="s">
        <v>105</v>
      </c>
    </row>
    <row r="74" spans="2:8" x14ac:dyDescent="0.2">
      <c r="C74" s="38" t="s">
        <v>322</v>
      </c>
      <c r="D74" s="38" t="s">
        <v>37</v>
      </c>
      <c r="E74" s="38" t="s">
        <v>193</v>
      </c>
    </row>
    <row r="75" spans="2:8" x14ac:dyDescent="0.2">
      <c r="B75" s="38"/>
      <c r="C75" s="38" t="s">
        <v>323</v>
      </c>
      <c r="D75" s="71" t="s">
        <v>325</v>
      </c>
      <c r="E75" s="71" t="s">
        <v>324</v>
      </c>
      <c r="F75" s="70">
        <v>1</v>
      </c>
      <c r="G75" s="71" t="s">
        <v>47</v>
      </c>
    </row>
    <row r="76" spans="2:8" x14ac:dyDescent="0.2">
      <c r="B76" s="38" t="s">
        <v>423</v>
      </c>
    </row>
    <row r="77" spans="2:8" x14ac:dyDescent="0.2">
      <c r="B77" s="38" t="s">
        <v>432</v>
      </c>
      <c r="D77" t="s">
        <v>120</v>
      </c>
      <c r="E77" s="38" t="s">
        <v>431</v>
      </c>
    </row>
    <row r="78" spans="2:8" x14ac:dyDescent="0.2">
      <c r="B78" s="38" t="s">
        <v>424</v>
      </c>
    </row>
    <row r="79" spans="2:8" x14ac:dyDescent="0.2">
      <c r="B79" s="38" t="s">
        <v>425</v>
      </c>
    </row>
    <row r="80" spans="2:8" x14ac:dyDescent="0.2">
      <c r="C80" s="38" t="s">
        <v>473</v>
      </c>
      <c r="H80" t="s">
        <v>475</v>
      </c>
    </row>
    <row r="81" spans="2:8" x14ac:dyDescent="0.2">
      <c r="B81" s="38" t="s">
        <v>426</v>
      </c>
    </row>
    <row r="82" spans="2:8" x14ac:dyDescent="0.2">
      <c r="B82" s="38" t="s">
        <v>427</v>
      </c>
    </row>
    <row r="83" spans="2:8" x14ac:dyDescent="0.2">
      <c r="B83" s="38"/>
      <c r="C83" t="s">
        <v>476</v>
      </c>
      <c r="G83" t="s">
        <v>477</v>
      </c>
    </row>
    <row r="84" spans="2:8" x14ac:dyDescent="0.2">
      <c r="B84" s="38" t="s">
        <v>428</v>
      </c>
    </row>
    <row r="85" spans="2:8" x14ac:dyDescent="0.2">
      <c r="B85" s="38"/>
      <c r="C85" s="38" t="s">
        <v>430</v>
      </c>
    </row>
    <row r="86" spans="2:8" x14ac:dyDescent="0.2">
      <c r="B86" s="38"/>
      <c r="C86" t="s">
        <v>422</v>
      </c>
    </row>
    <row r="87" spans="2:8" x14ac:dyDescent="0.2">
      <c r="B87" s="38"/>
    </row>
    <row r="88" spans="2:8" x14ac:dyDescent="0.2">
      <c r="B88" s="38" t="s">
        <v>238</v>
      </c>
      <c r="C88" t="s">
        <v>464</v>
      </c>
      <c r="D88" t="s">
        <v>465</v>
      </c>
      <c r="E88" t="s">
        <v>466</v>
      </c>
    </row>
    <row r="89" spans="2:8" x14ac:dyDescent="0.2">
      <c r="C89" s="38" t="s">
        <v>429</v>
      </c>
    </row>
    <row r="90" spans="2:8" x14ac:dyDescent="0.2">
      <c r="B90" s="5" t="s">
        <v>160</v>
      </c>
      <c r="D90" s="6" t="s">
        <v>159</v>
      </c>
      <c r="E90" s="6" t="s">
        <v>502</v>
      </c>
    </row>
    <row r="91" spans="2:8" x14ac:dyDescent="0.2">
      <c r="B91" s="36" t="s">
        <v>178</v>
      </c>
      <c r="C91" t="s">
        <v>482</v>
      </c>
      <c r="D91" s="6" t="s">
        <v>120</v>
      </c>
      <c r="E91" s="6" t="s">
        <v>179</v>
      </c>
      <c r="F91" s="11">
        <v>1</v>
      </c>
      <c r="G91" s="37" t="s">
        <v>47</v>
      </c>
      <c r="H91" s="44" t="s">
        <v>305</v>
      </c>
    </row>
    <row r="92" spans="2:8" x14ac:dyDescent="0.2">
      <c r="C92" s="36" t="s">
        <v>276</v>
      </c>
      <c r="D92" s="6" t="s">
        <v>280</v>
      </c>
      <c r="E92" s="6" t="s">
        <v>281</v>
      </c>
      <c r="F92" s="11" t="s">
        <v>282</v>
      </c>
      <c r="G92" s="37" t="s">
        <v>283</v>
      </c>
    </row>
    <row r="93" spans="2:8" x14ac:dyDescent="0.2">
      <c r="B93" s="5" t="s">
        <v>204</v>
      </c>
      <c r="D93" s="6" t="s">
        <v>194</v>
      </c>
      <c r="E93" s="6" t="s">
        <v>195</v>
      </c>
      <c r="F93" s="11" t="s">
        <v>205</v>
      </c>
      <c r="G93" s="6" t="s">
        <v>105</v>
      </c>
    </row>
    <row r="94" spans="2:8" x14ac:dyDescent="0.2">
      <c r="B94" s="36" t="s">
        <v>309</v>
      </c>
      <c r="C94" s="37" t="s">
        <v>311</v>
      </c>
      <c r="D94" s="37" t="s">
        <v>310</v>
      </c>
      <c r="E94" s="40" t="s">
        <v>282</v>
      </c>
      <c r="F94" s="37" t="s">
        <v>105</v>
      </c>
      <c r="G94" s="7"/>
    </row>
    <row r="95" spans="2:8" x14ac:dyDescent="0.2">
      <c r="B95" s="36" t="s">
        <v>306</v>
      </c>
      <c r="C95" s="37" t="s">
        <v>308</v>
      </c>
      <c r="D95" s="37" t="s">
        <v>307</v>
      </c>
      <c r="E95" s="40" t="s">
        <v>282</v>
      </c>
      <c r="F95" s="37" t="s">
        <v>105</v>
      </c>
      <c r="G95" s="7"/>
    </row>
    <row r="96" spans="2:8" x14ac:dyDescent="0.2">
      <c r="B96" s="5" t="s">
        <v>134</v>
      </c>
      <c r="D96" s="6" t="s">
        <v>36</v>
      </c>
      <c r="E96" s="6" t="s">
        <v>133</v>
      </c>
      <c r="F96" s="11">
        <v>1</v>
      </c>
      <c r="G96" s="6" t="s">
        <v>105</v>
      </c>
    </row>
    <row r="97" spans="2:8" x14ac:dyDescent="0.2">
      <c r="B97" s="5" t="s">
        <v>188</v>
      </c>
      <c r="D97" s="6" t="s">
        <v>36</v>
      </c>
      <c r="E97" s="6" t="s">
        <v>189</v>
      </c>
      <c r="F97" s="6" t="s">
        <v>190</v>
      </c>
      <c r="G97" s="6" t="s">
        <v>119</v>
      </c>
    </row>
    <row r="98" spans="2:8" x14ac:dyDescent="0.2">
      <c r="B98" s="45" t="s">
        <v>23</v>
      </c>
      <c r="D98" s="8" t="s">
        <v>13</v>
      </c>
      <c r="E98" s="9" t="s">
        <v>106</v>
      </c>
      <c r="F98" s="12">
        <v>1</v>
      </c>
      <c r="G98" s="9" t="s">
        <v>207</v>
      </c>
      <c r="H98" s="10">
        <v>2018</v>
      </c>
    </row>
  </sheetData>
  <hyperlinks>
    <hyperlink ref="A1" location="Main!A1" display="Main" xr:uid="{51C43F83-2157-4729-AD8D-12CA9807EE38}"/>
    <hyperlink ref="B25" location="Forteo!A1" display="Forteo" xr:uid="{00000000-0004-0000-0000-000004000000}"/>
    <hyperlink ref="B11" location="Cialis!A1" display="Cialis" xr:uid="{00000000-0004-0000-0000-000007000000}"/>
    <hyperlink ref="B98" location="Zyprexa!A1" display="Zyprexa Depot" xr:uid="{00000000-0004-0000-0000-00000A000000}"/>
    <hyperlink ref="B4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558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565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5"/>
  <sheetViews>
    <sheetView zoomScale="170" zoomScaleNormal="170" workbookViewId="0">
      <selection activeCell="C9" sqref="C9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950</v>
      </c>
    </row>
    <row r="3" spans="1:11" x14ac:dyDescent="0.2">
      <c r="B3" s="14" t="s">
        <v>506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950.42577800000004</v>
      </c>
      <c r="K3" s="39" t="s">
        <v>515</v>
      </c>
    </row>
    <row r="4" spans="1:11" x14ac:dyDescent="0.2">
      <c r="B4" s="14" t="s">
        <v>518</v>
      </c>
      <c r="C4" s="37" t="s">
        <v>519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902904.48910000001</v>
      </c>
      <c r="K4" s="32"/>
    </row>
    <row r="5" spans="1:11" x14ac:dyDescent="0.2">
      <c r="B5" s="14" t="s">
        <v>503</v>
      </c>
      <c r="C5" s="37" t="s">
        <v>521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6242</v>
      </c>
      <c r="K5" s="39" t="s">
        <v>515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28892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925554.48910000001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458</v>
      </c>
    </row>
    <row r="10" spans="1:11" x14ac:dyDescent="0.2">
      <c r="B10" s="36" t="s">
        <v>553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754</v>
      </c>
    </row>
    <row r="11" spans="1:11" x14ac:dyDescent="0.2">
      <c r="B11" s="14" t="s">
        <v>533</v>
      </c>
      <c r="C11" s="37" t="s">
        <v>520</v>
      </c>
      <c r="D11" s="6" t="s">
        <v>486</v>
      </c>
      <c r="E11" s="11">
        <v>1</v>
      </c>
      <c r="F11" s="81">
        <v>44953</v>
      </c>
      <c r="G11" s="44"/>
      <c r="I11" s="21" t="s">
        <v>459</v>
      </c>
    </row>
    <row r="12" spans="1:11" x14ac:dyDescent="0.2">
      <c r="B12" s="14" t="s">
        <v>489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530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554</v>
      </c>
      <c r="G13" s="7"/>
      <c r="I13" s="21" t="s">
        <v>535</v>
      </c>
    </row>
    <row r="14" spans="1:11" x14ac:dyDescent="0.2">
      <c r="B14" s="36" t="s">
        <v>484</v>
      </c>
      <c r="C14" s="37"/>
      <c r="D14" s="37"/>
      <c r="E14" s="40"/>
      <c r="F14" s="30">
        <v>43959</v>
      </c>
      <c r="G14" s="7"/>
      <c r="I14" s="21" t="s">
        <v>797</v>
      </c>
    </row>
    <row r="15" spans="1:11" x14ac:dyDescent="0.2">
      <c r="B15" s="36" t="s">
        <v>439</v>
      </c>
      <c r="C15" s="37" t="s">
        <v>505</v>
      </c>
      <c r="D15" s="37" t="s">
        <v>266</v>
      </c>
      <c r="E15" s="40" t="s">
        <v>267</v>
      </c>
      <c r="F15" s="30">
        <v>43251</v>
      </c>
      <c r="G15" s="7"/>
    </row>
    <row r="16" spans="1:11" x14ac:dyDescent="0.2">
      <c r="B16" s="36" t="s">
        <v>522</v>
      </c>
      <c r="C16" s="37" t="s">
        <v>467</v>
      </c>
      <c r="D16" s="37" t="s">
        <v>523</v>
      </c>
      <c r="E16" s="80" t="s">
        <v>524</v>
      </c>
      <c r="F16" s="37" t="s">
        <v>283</v>
      </c>
      <c r="G16" s="44"/>
      <c r="I16" s="21" t="s">
        <v>559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16" t="s">
        <v>560</v>
      </c>
    </row>
    <row r="19" spans="2:9" x14ac:dyDescent="0.2">
      <c r="B19" s="36" t="s">
        <v>525</v>
      </c>
      <c r="C19" s="37" t="s">
        <v>480</v>
      </c>
      <c r="D19" s="37" t="s">
        <v>526</v>
      </c>
      <c r="E19" s="11" t="s">
        <v>282</v>
      </c>
      <c r="F19" s="81">
        <v>45225</v>
      </c>
      <c r="G19" s="44"/>
      <c r="I19" s="21" t="s">
        <v>561</v>
      </c>
    </row>
    <row r="20" spans="2:9" x14ac:dyDescent="0.2">
      <c r="B20" s="36" t="s">
        <v>748</v>
      </c>
      <c r="C20" s="37" t="s">
        <v>120</v>
      </c>
      <c r="D20" s="37" t="s">
        <v>179</v>
      </c>
      <c r="E20" s="11">
        <v>1</v>
      </c>
      <c r="F20" s="37" t="s">
        <v>47</v>
      </c>
      <c r="G20" s="44"/>
      <c r="I20" s="21" t="s">
        <v>562</v>
      </c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  <c r="I22" s="16" t="s">
        <v>563</v>
      </c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21" t="s">
        <v>564</v>
      </c>
    </row>
    <row r="24" spans="2:9" x14ac:dyDescent="0.2">
      <c r="B24" s="36" t="s">
        <v>487</v>
      </c>
      <c r="C24" s="6" t="s">
        <v>488</v>
      </c>
      <c r="D24" s="6"/>
      <c r="E24" s="11"/>
      <c r="F24" s="37" t="s">
        <v>47</v>
      </c>
      <c r="G24" s="44"/>
    </row>
    <row r="25" spans="2:9" x14ac:dyDescent="0.2">
      <c r="B25" s="36" t="s">
        <v>732</v>
      </c>
      <c r="C25" s="37" t="s">
        <v>120</v>
      </c>
      <c r="D25" s="6"/>
      <c r="E25" s="11"/>
      <c r="F25" s="37" t="s">
        <v>47</v>
      </c>
      <c r="G25" s="44"/>
    </row>
    <row r="26" spans="2:9" x14ac:dyDescent="0.2">
      <c r="B26" s="36" t="s">
        <v>712</v>
      </c>
      <c r="C26" s="37" t="s">
        <v>239</v>
      </c>
      <c r="D26" s="6" t="s">
        <v>501</v>
      </c>
      <c r="E26" s="11" t="s">
        <v>500</v>
      </c>
      <c r="F26" s="37" t="s">
        <v>105</v>
      </c>
      <c r="G26" s="7"/>
    </row>
    <row r="27" spans="2:9" x14ac:dyDescent="0.2">
      <c r="B27" s="36" t="s">
        <v>567</v>
      </c>
      <c r="C27" s="37" t="s">
        <v>519</v>
      </c>
      <c r="D27" s="6"/>
      <c r="E27" s="11"/>
      <c r="F27" s="37" t="s">
        <v>105</v>
      </c>
      <c r="G27" s="7"/>
    </row>
    <row r="28" spans="2:9" x14ac:dyDescent="0.2">
      <c r="B28" s="36" t="s">
        <v>570</v>
      </c>
      <c r="C28" s="37" t="s">
        <v>713</v>
      </c>
      <c r="D28" s="6"/>
      <c r="E28" s="11"/>
      <c r="F28" s="37" t="s">
        <v>47</v>
      </c>
      <c r="G28" s="7"/>
    </row>
    <row r="29" spans="2:9" x14ac:dyDescent="0.2">
      <c r="B29" s="36" t="s">
        <v>569</v>
      </c>
      <c r="C29" s="37" t="s">
        <v>714</v>
      </c>
      <c r="D29" s="6"/>
      <c r="E29" s="11"/>
      <c r="F29" s="37" t="s">
        <v>47</v>
      </c>
      <c r="G29" s="7"/>
    </row>
    <row r="30" spans="2:9" x14ac:dyDescent="0.2">
      <c r="B30" s="36" t="s">
        <v>568</v>
      </c>
      <c r="C30" s="37" t="s">
        <v>519</v>
      </c>
      <c r="D30" s="6"/>
      <c r="E30" s="11"/>
      <c r="F30" s="37" t="s">
        <v>105</v>
      </c>
      <c r="G30" s="7"/>
    </row>
    <row r="31" spans="2:9" x14ac:dyDescent="0.2">
      <c r="B31" s="36" t="s">
        <v>715</v>
      </c>
      <c r="C31" s="37" t="s">
        <v>519</v>
      </c>
      <c r="D31" s="6"/>
      <c r="E31" s="11"/>
      <c r="F31" s="37" t="s">
        <v>105</v>
      </c>
      <c r="G31" s="7"/>
    </row>
    <row r="32" spans="2:9" x14ac:dyDescent="0.2">
      <c r="B32" s="36" t="s">
        <v>716</v>
      </c>
      <c r="C32" s="37" t="s">
        <v>717</v>
      </c>
      <c r="D32" s="6"/>
      <c r="E32" s="11"/>
      <c r="F32" s="37" t="s">
        <v>47</v>
      </c>
      <c r="G32" s="7"/>
    </row>
    <row r="33" spans="2:9" x14ac:dyDescent="0.2">
      <c r="B33" s="36" t="s">
        <v>744</v>
      </c>
      <c r="C33" s="37" t="s">
        <v>745</v>
      </c>
      <c r="D33" s="6"/>
      <c r="E33" s="11"/>
      <c r="F33" s="37" t="s">
        <v>47</v>
      </c>
      <c r="G33" s="7"/>
    </row>
    <row r="34" spans="2:9" x14ac:dyDescent="0.2">
      <c r="B34" s="36" t="s">
        <v>718</v>
      </c>
      <c r="C34" s="37" t="s">
        <v>719</v>
      </c>
      <c r="D34" s="6"/>
      <c r="E34" s="11"/>
      <c r="F34" s="37" t="s">
        <v>105</v>
      </c>
      <c r="G34" s="7"/>
      <c r="I34" s="21" t="s">
        <v>546</v>
      </c>
    </row>
    <row r="35" spans="2:9" x14ac:dyDescent="0.2">
      <c r="B35" s="36" t="s">
        <v>720</v>
      </c>
      <c r="C35" s="37" t="s">
        <v>719</v>
      </c>
      <c r="D35" s="6"/>
      <c r="E35" s="11"/>
      <c r="F35" s="37" t="s">
        <v>105</v>
      </c>
      <c r="G35" s="7"/>
    </row>
    <row r="36" spans="2:9" x14ac:dyDescent="0.2">
      <c r="B36" s="36"/>
      <c r="C36" s="37" t="s">
        <v>724</v>
      </c>
      <c r="D36" s="37" t="s">
        <v>723</v>
      </c>
      <c r="E36" s="11"/>
      <c r="F36" s="37"/>
      <c r="G36" s="7"/>
    </row>
    <row r="37" spans="2:9" x14ac:dyDescent="0.2">
      <c r="B37" s="36" t="s">
        <v>721</v>
      </c>
      <c r="C37" s="37" t="s">
        <v>722</v>
      </c>
      <c r="D37" s="6"/>
      <c r="E37" s="11"/>
      <c r="F37" s="37" t="s">
        <v>105</v>
      </c>
      <c r="G37" s="7"/>
    </row>
    <row r="38" spans="2:9" x14ac:dyDescent="0.2">
      <c r="B38" s="36" t="s">
        <v>725</v>
      </c>
      <c r="C38" s="37" t="s">
        <v>445</v>
      </c>
      <c r="D38" s="6"/>
      <c r="E38" s="11"/>
      <c r="F38" s="37" t="s">
        <v>105</v>
      </c>
      <c r="G38" s="7"/>
    </row>
    <row r="39" spans="2:9" x14ac:dyDescent="0.2">
      <c r="B39" s="36" t="s">
        <v>726</v>
      </c>
      <c r="C39" s="37" t="s">
        <v>727</v>
      </c>
      <c r="D39" s="6"/>
      <c r="E39" s="11"/>
      <c r="F39" s="37" t="s">
        <v>105</v>
      </c>
      <c r="G39" s="7"/>
    </row>
    <row r="40" spans="2:9" x14ac:dyDescent="0.2">
      <c r="B40" s="36"/>
      <c r="C40" s="37" t="s">
        <v>445</v>
      </c>
      <c r="D40" s="37" t="s">
        <v>728</v>
      </c>
      <c r="E40" s="11"/>
      <c r="F40" s="37" t="s">
        <v>105</v>
      </c>
      <c r="G40" s="7"/>
    </row>
    <row r="41" spans="2:9" x14ac:dyDescent="0.2">
      <c r="B41" s="36" t="s">
        <v>729</v>
      </c>
      <c r="C41" s="37" t="s">
        <v>239</v>
      </c>
      <c r="D41" s="37"/>
      <c r="E41" s="11"/>
      <c r="F41" s="37" t="s">
        <v>105</v>
      </c>
      <c r="G41" s="7"/>
    </row>
    <row r="42" spans="2:9" x14ac:dyDescent="0.2">
      <c r="B42" s="36" t="s">
        <v>730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741</v>
      </c>
      <c r="C43" s="37" t="s">
        <v>742</v>
      </c>
      <c r="D43" s="37" t="s">
        <v>743</v>
      </c>
      <c r="E43" s="40"/>
      <c r="F43" s="37" t="s">
        <v>105</v>
      </c>
      <c r="G43" s="7"/>
    </row>
    <row r="44" spans="2:9" x14ac:dyDescent="0.2">
      <c r="B44" s="36" t="s">
        <v>731</v>
      </c>
      <c r="C44" s="37" t="s">
        <v>467</v>
      </c>
      <c r="D44" s="37"/>
      <c r="E44" s="11"/>
      <c r="F44" s="37" t="s">
        <v>105</v>
      </c>
      <c r="G44" s="7"/>
    </row>
    <row r="45" spans="2:9" x14ac:dyDescent="0.2">
      <c r="B45" s="36" t="s">
        <v>738</v>
      </c>
      <c r="C45" s="37" t="s">
        <v>120</v>
      </c>
      <c r="D45" s="37" t="s">
        <v>738</v>
      </c>
      <c r="E45" s="11"/>
      <c r="F45" s="37" t="s">
        <v>105</v>
      </c>
      <c r="G45" s="7"/>
    </row>
    <row r="46" spans="2:9" x14ac:dyDescent="0.2">
      <c r="B46" s="36" t="s">
        <v>739</v>
      </c>
      <c r="C46" s="37" t="s">
        <v>194</v>
      </c>
      <c r="D46" s="37"/>
      <c r="E46" s="11"/>
      <c r="F46" s="37" t="s">
        <v>105</v>
      </c>
      <c r="G46" s="7"/>
    </row>
    <row r="47" spans="2:9" x14ac:dyDescent="0.2">
      <c r="B47" s="36" t="s">
        <v>740</v>
      </c>
      <c r="C47" s="37" t="s">
        <v>194</v>
      </c>
      <c r="D47" s="37"/>
      <c r="E47" s="11"/>
      <c r="F47" s="37" t="s">
        <v>105</v>
      </c>
      <c r="G47" s="7"/>
    </row>
    <row r="48" spans="2:9" x14ac:dyDescent="0.2">
      <c r="B48" s="36" t="s">
        <v>566</v>
      </c>
      <c r="C48" s="37" t="s">
        <v>733</v>
      </c>
      <c r="D48" s="37" t="s">
        <v>735</v>
      </c>
      <c r="E48" s="40"/>
      <c r="F48" s="37" t="s">
        <v>105</v>
      </c>
      <c r="G48" s="7"/>
      <c r="I48" s="21"/>
    </row>
    <row r="49" spans="2:9" x14ac:dyDescent="0.2">
      <c r="B49" s="36" t="s">
        <v>734</v>
      </c>
      <c r="C49" s="37" t="s">
        <v>737</v>
      </c>
      <c r="D49" s="37" t="s">
        <v>736</v>
      </c>
      <c r="E49" s="40"/>
      <c r="F49" s="37" t="s">
        <v>105</v>
      </c>
      <c r="G49" s="7"/>
      <c r="I49" s="21"/>
    </row>
    <row r="50" spans="2:9" x14ac:dyDescent="0.2">
      <c r="B50" s="69" t="s">
        <v>528</v>
      </c>
      <c r="C50" s="72" t="s">
        <v>529</v>
      </c>
      <c r="D50" s="72"/>
      <c r="E50" s="73"/>
      <c r="F50" s="72" t="s">
        <v>105</v>
      </c>
      <c r="G50" s="10"/>
    </row>
    <row r="52" spans="2:9" x14ac:dyDescent="0.2">
      <c r="E52" s="21" t="s">
        <v>749</v>
      </c>
    </row>
    <row r="53" spans="2:9" x14ac:dyDescent="0.2">
      <c r="E53" s="21" t="s">
        <v>545</v>
      </c>
      <c r="F53" s="33"/>
    </row>
    <row r="54" spans="2:9" x14ac:dyDescent="0.2">
      <c r="E54" s="21" t="s">
        <v>531</v>
      </c>
      <c r="F54" s="34"/>
    </row>
    <row r="55" spans="2:9" x14ac:dyDescent="0.2">
      <c r="B55" s="74"/>
      <c r="C55" s="74"/>
      <c r="E55" s="21" t="s">
        <v>504</v>
      </c>
      <c r="F55" s="33"/>
    </row>
    <row r="56" spans="2:9" x14ac:dyDescent="0.2">
      <c r="B56" s="75"/>
      <c r="F56" s="33"/>
    </row>
    <row r="57" spans="2:9" x14ac:dyDescent="0.2">
      <c r="B57" s="75"/>
      <c r="C57" s="75"/>
    </row>
    <row r="58" spans="2:9" x14ac:dyDescent="0.2">
      <c r="B58" s="75"/>
      <c r="C58" s="75"/>
    </row>
    <row r="59" spans="2:9" x14ac:dyDescent="0.2">
      <c r="B59" s="75"/>
      <c r="C59" s="75"/>
    </row>
    <row r="60" spans="2:9" x14ac:dyDescent="0.2">
      <c r="B60" s="75"/>
      <c r="C60" s="75"/>
    </row>
    <row r="61" spans="2:9" x14ac:dyDescent="0.2">
      <c r="B61" s="76"/>
      <c r="C61" s="75"/>
    </row>
    <row r="62" spans="2:9" x14ac:dyDescent="0.2">
      <c r="B62" s="76"/>
      <c r="C62" s="75"/>
    </row>
    <row r="63" spans="2:9" x14ac:dyDescent="0.2">
      <c r="B63" s="76"/>
      <c r="C63" s="75"/>
    </row>
    <row r="64" spans="2:9" x14ac:dyDescent="0.2">
      <c r="B64" s="75"/>
      <c r="C64" s="75"/>
    </row>
    <row r="65" spans="2:3" x14ac:dyDescent="0.2">
      <c r="B65" s="75"/>
      <c r="C65" s="75"/>
    </row>
    <row r="66" spans="2:3" x14ac:dyDescent="0.2">
      <c r="B66" s="76"/>
      <c r="C66" s="75"/>
    </row>
    <row r="67" spans="2:3" x14ac:dyDescent="0.2">
      <c r="B67" s="75"/>
    </row>
    <row r="68" spans="2:3" x14ac:dyDescent="0.2">
      <c r="B68" s="75"/>
    </row>
    <row r="70" spans="2:3" x14ac:dyDescent="0.2">
      <c r="B70" s="75"/>
    </row>
    <row r="71" spans="2:3" x14ac:dyDescent="0.2">
      <c r="C71" s="75"/>
    </row>
    <row r="73" spans="2:3" x14ac:dyDescent="0.2">
      <c r="B73" s="75"/>
    </row>
    <row r="75" spans="2:3" x14ac:dyDescent="0.2">
      <c r="C75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</hyperlink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K149"/>
  <sheetViews>
    <sheetView tabSelected="1" zoomScale="145" zoomScaleNormal="145" workbookViewId="0">
      <pane xSplit="2" ySplit="2" topLeftCell="BX3" activePane="bottomRight" state="frozen"/>
      <selection pane="topRight" activeCell="C1" sqref="C1"/>
      <selection pane="bottomLeft" activeCell="A3" sqref="A3"/>
      <selection pane="bottomRight" activeCell="CK6" sqref="CK6"/>
    </sheetView>
  </sheetViews>
  <sheetFormatPr defaultColWidth="8.85546875" defaultRowHeight="12.75" x14ac:dyDescent="0.2"/>
  <cols>
    <col min="1" max="1" width="5.28515625" customWidth="1"/>
    <col min="2" max="2" width="18.85546875" customWidth="1"/>
    <col min="3" max="21" width="7" style="47" customWidth="1"/>
    <col min="22" max="22" width="6.7109375" style="47" customWidth="1"/>
    <col min="23" max="62" width="7" style="47" customWidth="1"/>
    <col min="63" max="70" width="7.42578125" style="47" customWidth="1"/>
    <col min="71" max="88" width="7.85546875" style="47" customWidth="1"/>
    <col min="89" max="94" width="7.28515625" style="47" customWidth="1"/>
    <col min="95" max="95" width="4.28515625" customWidth="1"/>
    <col min="96" max="111" width="6.7109375" customWidth="1"/>
    <col min="112" max="112" width="6.7109375" style="47" customWidth="1"/>
    <col min="113" max="120" width="6.42578125" style="47" bestFit="1" customWidth="1"/>
    <col min="121" max="121" width="7" style="47" bestFit="1" customWidth="1"/>
    <col min="122" max="122" width="6.42578125" style="47" bestFit="1" customWidth="1"/>
    <col min="123" max="125" width="7" style="47" customWidth="1"/>
    <col min="126" max="128" width="7.42578125" style="47" customWidth="1"/>
    <col min="129" max="136" width="7.42578125" customWidth="1"/>
    <col min="137" max="138" width="7.140625" customWidth="1"/>
    <col min="139" max="140" width="8.140625" customWidth="1"/>
    <col min="141" max="141" width="7.7109375" customWidth="1"/>
  </cols>
  <sheetData>
    <row r="1" spans="1:146" x14ac:dyDescent="0.2">
      <c r="A1" s="46" t="s">
        <v>6</v>
      </c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99"/>
      <c r="DI1" s="99"/>
      <c r="DJ1" s="99"/>
      <c r="DK1" s="99"/>
      <c r="DL1" s="99"/>
      <c r="DM1" s="99"/>
      <c r="DN1" s="99"/>
    </row>
    <row r="2" spans="1:146" x14ac:dyDescent="0.2">
      <c r="A2" s="102"/>
      <c r="C2" s="48" t="s">
        <v>513</v>
      </c>
      <c r="D2" s="48" t="s">
        <v>512</v>
      </c>
      <c r="E2" s="48" t="s">
        <v>511</v>
      </c>
      <c r="F2" s="48" t="s">
        <v>510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244</v>
      </c>
      <c r="AB2" s="48" t="s">
        <v>245</v>
      </c>
      <c r="AC2" s="48" t="s">
        <v>246</v>
      </c>
      <c r="AD2" s="48" t="s">
        <v>247</v>
      </c>
      <c r="AE2" s="48" t="s">
        <v>257</v>
      </c>
      <c r="AF2" s="48" t="s">
        <v>258</v>
      </c>
      <c r="AG2" s="48" t="s">
        <v>259</v>
      </c>
      <c r="AH2" s="48" t="s">
        <v>260</v>
      </c>
      <c r="AI2" s="48" t="s">
        <v>269</v>
      </c>
      <c r="AJ2" s="48" t="s">
        <v>270</v>
      </c>
      <c r="AK2" s="48" t="s">
        <v>271</v>
      </c>
      <c r="AL2" s="48" t="s">
        <v>272</v>
      </c>
      <c r="AM2" s="48" t="s">
        <v>313</v>
      </c>
      <c r="AN2" s="48" t="s">
        <v>314</v>
      </c>
      <c r="AO2" s="48" t="s">
        <v>315</v>
      </c>
      <c r="AP2" s="48" t="s">
        <v>316</v>
      </c>
      <c r="AQ2" s="48" t="s">
        <v>317</v>
      </c>
      <c r="AR2" s="48" t="s">
        <v>318</v>
      </c>
      <c r="AS2" s="48" t="s">
        <v>319</v>
      </c>
      <c r="AT2" s="48" t="s">
        <v>320</v>
      </c>
      <c r="AU2" s="48" t="s">
        <v>331</v>
      </c>
      <c r="AV2" s="48" t="s">
        <v>329</v>
      </c>
      <c r="AW2" s="48" t="s">
        <v>332</v>
      </c>
      <c r="AX2" s="48" t="s">
        <v>333</v>
      </c>
      <c r="AY2" s="48" t="s">
        <v>334</v>
      </c>
      <c r="AZ2" s="48" t="s">
        <v>335</v>
      </c>
      <c r="BA2" s="48" t="s">
        <v>336</v>
      </c>
      <c r="BB2" s="48" t="s">
        <v>337</v>
      </c>
      <c r="BC2" s="48" t="s">
        <v>338</v>
      </c>
      <c r="BD2" s="48" t="s">
        <v>339</v>
      </c>
      <c r="BE2" s="48" t="s">
        <v>340</v>
      </c>
      <c r="BF2" s="48" t="s">
        <v>341</v>
      </c>
      <c r="BG2" s="48" t="s">
        <v>342</v>
      </c>
      <c r="BH2" s="48" t="s">
        <v>343</v>
      </c>
      <c r="BI2" s="48" t="s">
        <v>344</v>
      </c>
      <c r="BJ2" s="48" t="s">
        <v>345</v>
      </c>
      <c r="BK2" s="48" t="s">
        <v>346</v>
      </c>
      <c r="BL2" s="48" t="s">
        <v>347</v>
      </c>
      <c r="BM2" s="48" t="s">
        <v>348</v>
      </c>
      <c r="BN2" s="48" t="s">
        <v>349</v>
      </c>
      <c r="BO2" s="48" t="s">
        <v>350</v>
      </c>
      <c r="BP2" s="48" t="s">
        <v>351</v>
      </c>
      <c r="BQ2" s="48" t="s">
        <v>352</v>
      </c>
      <c r="BR2" s="48" t="s">
        <v>353</v>
      </c>
      <c r="BS2" s="48" t="s">
        <v>354</v>
      </c>
      <c r="BT2" s="48" t="s">
        <v>355</v>
      </c>
      <c r="BU2" s="48" t="s">
        <v>356</v>
      </c>
      <c r="BV2" s="48" t="s">
        <v>357</v>
      </c>
      <c r="BW2" s="48" t="s">
        <v>358</v>
      </c>
      <c r="BX2" s="48" t="s">
        <v>359</v>
      </c>
      <c r="BY2" s="48" t="s">
        <v>360</v>
      </c>
      <c r="BZ2" s="48" t="s">
        <v>361</v>
      </c>
      <c r="CA2" s="48" t="s">
        <v>330</v>
      </c>
      <c r="CB2" s="48" t="s">
        <v>362</v>
      </c>
      <c r="CC2" s="48" t="s">
        <v>363</v>
      </c>
      <c r="CD2" s="48" t="s">
        <v>364</v>
      </c>
      <c r="CE2" s="48" t="s">
        <v>381</v>
      </c>
      <c r="CF2" s="48" t="s">
        <v>382</v>
      </c>
      <c r="CG2" s="48" t="s">
        <v>383</v>
      </c>
      <c r="CH2" s="48" t="s">
        <v>384</v>
      </c>
      <c r="CI2" s="48" t="s">
        <v>514</v>
      </c>
      <c r="CJ2" s="48" t="s">
        <v>515</v>
      </c>
      <c r="CK2" s="48" t="s">
        <v>516</v>
      </c>
      <c r="CL2" s="48" t="s">
        <v>517</v>
      </c>
      <c r="CM2" s="48" t="s">
        <v>693</v>
      </c>
      <c r="CN2" s="48" t="s">
        <v>694</v>
      </c>
      <c r="CO2" s="48" t="s">
        <v>695</v>
      </c>
      <c r="CP2" s="48" t="s">
        <v>696</v>
      </c>
      <c r="CR2">
        <v>1985</v>
      </c>
      <c r="CS2">
        <v>1986</v>
      </c>
      <c r="CT2">
        <v>1987</v>
      </c>
      <c r="CU2">
        <v>1988</v>
      </c>
      <c r="CV2">
        <v>1989</v>
      </c>
      <c r="CW2">
        <v>1990</v>
      </c>
      <c r="CX2">
        <v>1991</v>
      </c>
      <c r="CY2">
        <v>1992</v>
      </c>
      <c r="CZ2">
        <v>1993</v>
      </c>
      <c r="DA2">
        <v>1994</v>
      </c>
      <c r="DB2">
        <v>1995</v>
      </c>
      <c r="DC2">
        <v>1996</v>
      </c>
      <c r="DD2">
        <v>1997</v>
      </c>
      <c r="DE2">
        <v>1998</v>
      </c>
      <c r="DF2">
        <v>1999</v>
      </c>
      <c r="DG2">
        <v>2000</v>
      </c>
      <c r="DH2" s="47">
        <v>2001</v>
      </c>
      <c r="DI2" s="47">
        <v>2002</v>
      </c>
      <c r="DJ2" s="47">
        <v>2003</v>
      </c>
      <c r="DK2" s="47">
        <v>2004</v>
      </c>
      <c r="DL2" s="47">
        <v>2005</v>
      </c>
      <c r="DM2" s="47">
        <v>2006</v>
      </c>
      <c r="DN2" s="47">
        <v>2007</v>
      </c>
      <c r="DO2" s="47">
        <v>2008</v>
      </c>
      <c r="DP2" s="47">
        <v>2009</v>
      </c>
      <c r="DQ2" s="47">
        <v>2010</v>
      </c>
      <c r="DR2" s="47">
        <v>2011</v>
      </c>
      <c r="DS2" s="47">
        <v>2012</v>
      </c>
      <c r="DT2" s="47">
        <v>2013</v>
      </c>
      <c r="DU2" s="47">
        <v>2014</v>
      </c>
      <c r="DV2" s="47">
        <v>2015</v>
      </c>
      <c r="DW2" s="47">
        <v>2016</v>
      </c>
      <c r="DX2" s="47">
        <v>2017</v>
      </c>
      <c r="DY2">
        <f>+DX2+1</f>
        <v>2018</v>
      </c>
      <c r="DZ2">
        <f t="shared" ref="DZ2:EC2" si="0">+DY2+1</f>
        <v>2019</v>
      </c>
      <c r="EA2">
        <f t="shared" si="0"/>
        <v>2020</v>
      </c>
      <c r="EB2">
        <f t="shared" si="0"/>
        <v>2021</v>
      </c>
      <c r="EC2">
        <f t="shared" si="0"/>
        <v>2022</v>
      </c>
      <c r="ED2">
        <f>+EC2+1</f>
        <v>2023</v>
      </c>
      <c r="EE2">
        <f t="shared" ref="EE2:EK2" si="1">+ED2+1</f>
        <v>2024</v>
      </c>
      <c r="EF2">
        <f t="shared" si="1"/>
        <v>2025</v>
      </c>
      <c r="EG2">
        <f t="shared" si="1"/>
        <v>2026</v>
      </c>
      <c r="EH2">
        <f t="shared" si="1"/>
        <v>2027</v>
      </c>
      <c r="EI2">
        <f t="shared" si="1"/>
        <v>2028</v>
      </c>
      <c r="EJ2">
        <f t="shared" si="1"/>
        <v>2029</v>
      </c>
      <c r="EK2">
        <f t="shared" si="1"/>
        <v>2030</v>
      </c>
      <c r="EL2">
        <v>2031</v>
      </c>
      <c r="EM2">
        <v>2032</v>
      </c>
      <c r="EN2">
        <v>2033</v>
      </c>
      <c r="EO2">
        <v>2034</v>
      </c>
      <c r="EP2">
        <v>2035</v>
      </c>
    </row>
    <row r="3" spans="1:146" x14ac:dyDescent="0.2">
      <c r="A3" s="102"/>
      <c r="B3" s="38" t="s">
        <v>118</v>
      </c>
      <c r="C3" s="103"/>
      <c r="D3" s="103"/>
      <c r="E3" s="103"/>
      <c r="F3" s="103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5"/>
      <c r="AS3" s="105"/>
      <c r="AT3" s="105"/>
      <c r="AU3" s="105"/>
      <c r="AV3" s="105"/>
      <c r="AW3" s="52"/>
      <c r="AX3" s="52">
        <f t="shared" ref="AX3:BX3" si="2">SUM(AX5:AX7)</f>
        <v>10.199999999999999</v>
      </c>
      <c r="AY3" s="52">
        <f t="shared" si="2"/>
        <v>18.3</v>
      </c>
      <c r="AZ3" s="52">
        <f t="shared" si="2"/>
        <v>44.3</v>
      </c>
      <c r="BA3" s="52">
        <f t="shared" si="2"/>
        <v>73.7</v>
      </c>
      <c r="BB3" s="52">
        <f t="shared" si="2"/>
        <v>112.5</v>
      </c>
      <c r="BC3" s="52">
        <f t="shared" si="2"/>
        <v>143.6</v>
      </c>
      <c r="BD3" s="52">
        <f t="shared" si="2"/>
        <v>201.3</v>
      </c>
      <c r="BE3" s="52">
        <f t="shared" si="2"/>
        <v>243.6</v>
      </c>
      <c r="BF3" s="52">
        <f t="shared" si="2"/>
        <v>337</v>
      </c>
      <c r="BG3" s="52">
        <f t="shared" si="2"/>
        <v>372.9</v>
      </c>
      <c r="BH3" s="52">
        <f t="shared" si="2"/>
        <v>480.2</v>
      </c>
      <c r="BI3" s="52">
        <f t="shared" si="2"/>
        <v>527.70000000000005</v>
      </c>
      <c r="BJ3" s="52">
        <f t="shared" si="2"/>
        <v>649</v>
      </c>
      <c r="BK3" s="52">
        <f t="shared" si="2"/>
        <v>678.3</v>
      </c>
      <c r="BL3" s="52">
        <f t="shared" si="2"/>
        <v>779.8</v>
      </c>
      <c r="BM3" s="52">
        <f t="shared" si="2"/>
        <v>816.2</v>
      </c>
      <c r="BN3" s="52">
        <f t="shared" si="2"/>
        <v>924.7</v>
      </c>
      <c r="BO3" s="52">
        <f t="shared" si="2"/>
        <v>879.7</v>
      </c>
      <c r="BP3" s="52">
        <f t="shared" si="2"/>
        <v>1028.5</v>
      </c>
      <c r="BQ3" s="52">
        <f t="shared" si="2"/>
        <v>1011.5</v>
      </c>
      <c r="BR3" s="52">
        <f t="shared" si="2"/>
        <v>1208.0999999999999</v>
      </c>
      <c r="BS3" s="52">
        <f t="shared" si="2"/>
        <v>1229.4000000000001</v>
      </c>
      <c r="BT3" s="52">
        <f t="shared" si="2"/>
        <v>1229.8</v>
      </c>
      <c r="BU3" s="52">
        <f t="shared" si="2"/>
        <v>1106.5999999999999</v>
      </c>
      <c r="BV3" s="52">
        <f t="shared" si="2"/>
        <v>1502.4</v>
      </c>
      <c r="BW3" s="52">
        <f t="shared" si="2"/>
        <v>1452.4</v>
      </c>
      <c r="BX3" s="52">
        <f t="shared" si="2"/>
        <v>1535.6</v>
      </c>
      <c r="BY3" s="52">
        <f t="shared" ref="BY3:CG3" si="3">SUM(BY5:BY7)</f>
        <v>1600.1</v>
      </c>
      <c r="BZ3" s="52">
        <f t="shared" si="3"/>
        <v>1883.7</v>
      </c>
      <c r="CA3" s="52">
        <f t="shared" si="3"/>
        <v>1741.3</v>
      </c>
      <c r="CB3" s="52">
        <f t="shared" si="3"/>
        <v>1927.9</v>
      </c>
      <c r="CC3" s="52">
        <f t="shared" si="3"/>
        <v>2037.7</v>
      </c>
      <c r="CD3" s="52">
        <f t="shared" si="3"/>
        <v>2215.4</v>
      </c>
      <c r="CE3" s="52">
        <f t="shared" si="3"/>
        <v>2545.6</v>
      </c>
      <c r="CF3" s="52">
        <f t="shared" si="3"/>
        <v>2792.2</v>
      </c>
      <c r="CG3" s="52">
        <f t="shared" si="3"/>
        <v>3082.8999999999996</v>
      </c>
      <c r="CH3" s="52">
        <f>SUM(CH5:CH7)</f>
        <v>4050.7</v>
      </c>
      <c r="CI3" s="52">
        <f t="shared" ref="CI3:CL3" si="4">SUM(CI5:CI7)</f>
        <v>3780.2000000000003</v>
      </c>
      <c r="CJ3" s="52">
        <f t="shared" si="4"/>
        <v>5579.5999999999995</v>
      </c>
      <c r="CK3" s="52">
        <f t="shared" si="4"/>
        <v>5979.5999999999995</v>
      </c>
      <c r="CL3" s="52">
        <f t="shared" si="4"/>
        <v>6379.5999999999995</v>
      </c>
      <c r="CM3" s="52"/>
      <c r="CN3" s="52"/>
      <c r="CO3" s="52"/>
      <c r="CP3" s="52"/>
      <c r="CR3" s="102"/>
      <c r="CS3" s="102"/>
      <c r="CT3" s="102"/>
      <c r="CU3" s="102"/>
      <c r="CV3" s="102"/>
      <c r="CW3" s="102"/>
      <c r="CX3" s="102"/>
      <c r="CY3" s="102"/>
      <c r="CZ3" s="102"/>
      <c r="DA3" s="102"/>
      <c r="DB3" s="102"/>
      <c r="DC3" s="102"/>
      <c r="DD3" s="102"/>
      <c r="DE3" s="102"/>
      <c r="DF3" s="102"/>
      <c r="DG3" s="102"/>
      <c r="DH3" s="99"/>
      <c r="DI3" s="100"/>
      <c r="DJ3" s="100"/>
      <c r="DK3" s="100"/>
      <c r="DL3" s="100"/>
      <c r="DM3" s="100"/>
      <c r="DN3" s="100"/>
      <c r="DO3" s="100"/>
      <c r="DP3" s="100"/>
      <c r="DQ3" s="99"/>
      <c r="DR3" s="99"/>
      <c r="DS3" s="99"/>
      <c r="DT3" s="99"/>
      <c r="DU3" s="56">
        <f t="shared" ref="DU3:EJ3" si="5">SUM(DU5:DU7)</f>
        <v>10.199999999999999</v>
      </c>
      <c r="DV3" s="56">
        <f t="shared" si="5"/>
        <v>248.8</v>
      </c>
      <c r="DW3" s="56">
        <f t="shared" si="5"/>
        <v>925.5</v>
      </c>
      <c r="DX3" s="56">
        <f t="shared" si="5"/>
        <v>2029.8</v>
      </c>
      <c r="DY3" s="56">
        <f t="shared" si="5"/>
        <v>3199.1</v>
      </c>
      <c r="DZ3" s="56">
        <f t="shared" si="5"/>
        <v>4127.7999999999993</v>
      </c>
      <c r="EA3" s="56">
        <f t="shared" si="5"/>
        <v>5068.2</v>
      </c>
      <c r="EB3" s="56">
        <f t="shared" si="5"/>
        <v>6471.8</v>
      </c>
      <c r="EC3" s="56">
        <f t="shared" si="5"/>
        <v>7922.3</v>
      </c>
      <c r="ED3" s="56">
        <f t="shared" si="5"/>
        <v>12471.4</v>
      </c>
      <c r="EE3" s="56">
        <f t="shared" si="5"/>
        <v>21719</v>
      </c>
      <c r="EF3" s="56">
        <f t="shared" si="5"/>
        <v>28204.705000000002</v>
      </c>
      <c r="EG3" s="56">
        <f t="shared" si="5"/>
        <v>37394.786749999999</v>
      </c>
      <c r="EH3" s="56">
        <f t="shared" si="5"/>
        <v>50365.491212499997</v>
      </c>
      <c r="EI3" s="56">
        <f t="shared" si="5"/>
        <v>59389.784051874987</v>
      </c>
      <c r="EJ3" s="56">
        <f t="shared" si="5"/>
        <v>64730.943377281248</v>
      </c>
      <c r="EK3" s="56">
        <f>SUM(EK5:EK7)</f>
        <v>70446.800213953131</v>
      </c>
    </row>
    <row r="4" spans="1:146" s="102" customFormat="1" x14ac:dyDescent="0.2">
      <c r="C4" s="103"/>
      <c r="D4" s="103"/>
      <c r="E4" s="103"/>
      <c r="F4" s="103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DH4" s="99"/>
      <c r="DI4" s="100"/>
      <c r="DJ4" s="100"/>
      <c r="DK4" s="100"/>
      <c r="DL4" s="100"/>
      <c r="DM4" s="100"/>
      <c r="DN4" s="100"/>
      <c r="DO4" s="100"/>
      <c r="DP4" s="100"/>
      <c r="DQ4" s="99"/>
      <c r="DR4" s="99"/>
      <c r="DS4" s="99"/>
      <c r="DT4" s="99"/>
      <c r="DU4" s="99"/>
      <c r="DV4" s="99"/>
      <c r="DW4" s="99"/>
      <c r="DX4" s="99"/>
    </row>
    <row r="5" spans="1:146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52"/>
      <c r="AX5" s="52">
        <v>10.199999999999999</v>
      </c>
      <c r="AY5" s="52">
        <v>18.3</v>
      </c>
      <c r="AZ5" s="52">
        <v>44.3</v>
      </c>
      <c r="BA5" s="52">
        <v>73.7</v>
      </c>
      <c r="BB5" s="52">
        <v>112.5</v>
      </c>
      <c r="BC5" s="52">
        <v>143.6</v>
      </c>
      <c r="BD5" s="52">
        <v>201.3</v>
      </c>
      <c r="BE5" s="52">
        <v>243.6</v>
      </c>
      <c r="BF5" s="52">
        <v>337</v>
      </c>
      <c r="BG5" s="52">
        <v>372.9</v>
      </c>
      <c r="BH5" s="52">
        <v>480.2</v>
      </c>
      <c r="BI5" s="52">
        <v>527.70000000000005</v>
      </c>
      <c r="BJ5" s="52">
        <v>649</v>
      </c>
      <c r="BK5" s="52">
        <v>678.3</v>
      </c>
      <c r="BL5" s="52">
        <v>779.8</v>
      </c>
      <c r="BM5" s="52">
        <v>816.2</v>
      </c>
      <c r="BN5" s="52">
        <v>924.7</v>
      </c>
      <c r="BO5" s="52">
        <v>879.7</v>
      </c>
      <c r="BP5" s="52">
        <v>1028.5</v>
      </c>
      <c r="BQ5" s="52">
        <v>1011.5</v>
      </c>
      <c r="BR5" s="52">
        <v>1208.0999999999999</v>
      </c>
      <c r="BS5" s="52">
        <v>1229.4000000000001</v>
      </c>
      <c r="BT5" s="52">
        <v>1229.8</v>
      </c>
      <c r="BU5" s="52">
        <v>1106.5999999999999</v>
      </c>
      <c r="BV5" s="52">
        <v>1502.4</v>
      </c>
      <c r="BW5" s="52">
        <v>1452.4</v>
      </c>
      <c r="BX5" s="52">
        <v>1535.6</v>
      </c>
      <c r="BY5" s="52">
        <v>1600.1</v>
      </c>
      <c r="BZ5" s="52">
        <v>1883.7</v>
      </c>
      <c r="CA5" s="52">
        <v>1741.3</v>
      </c>
      <c r="CB5" s="52">
        <v>1911.9</v>
      </c>
      <c r="CC5" s="52">
        <v>1850.4</v>
      </c>
      <c r="CD5" s="52">
        <v>1936.2</v>
      </c>
      <c r="CE5" s="52">
        <v>1977.1</v>
      </c>
      <c r="CF5" s="52">
        <v>1812.5</v>
      </c>
      <c r="CG5" s="52">
        <v>1673.6</v>
      </c>
      <c r="CH5" s="52">
        <v>1669.3</v>
      </c>
      <c r="CI5" s="52">
        <v>1456.3</v>
      </c>
      <c r="CJ5" s="52">
        <v>1245.5999999999999</v>
      </c>
      <c r="CK5" s="52">
        <f>+CJ5-100</f>
        <v>1145.5999999999999</v>
      </c>
      <c r="CL5" s="52">
        <f>+CK5-100</f>
        <v>1045.5999999999999</v>
      </c>
      <c r="CM5" s="52"/>
      <c r="CN5" s="52"/>
      <c r="CO5" s="52"/>
      <c r="CP5" s="52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7"/>
      <c r="DI5" s="101"/>
      <c r="DJ5" s="101"/>
      <c r="DK5" s="101"/>
      <c r="DL5" s="101"/>
      <c r="DM5" s="101"/>
      <c r="DN5" s="101"/>
      <c r="DO5" s="101"/>
      <c r="DP5" s="101"/>
      <c r="DQ5" s="97"/>
      <c r="DR5" s="97"/>
      <c r="DS5" s="97"/>
      <c r="DT5" s="97"/>
      <c r="DU5" s="51">
        <f>SUM(AU5:AX5)</f>
        <v>10.199999999999999</v>
      </c>
      <c r="DV5" s="51">
        <f>SUM(AY5:BB5)</f>
        <v>248.8</v>
      </c>
      <c r="DW5" s="51">
        <f>SUM(BC5:BF5)</f>
        <v>925.5</v>
      </c>
      <c r="DX5" s="51">
        <v>2029.8</v>
      </c>
      <c r="DY5" s="49">
        <v>3199.1</v>
      </c>
      <c r="DZ5" s="49">
        <f>SUM(BO5:BR5)</f>
        <v>4127.7999999999993</v>
      </c>
      <c r="EA5" s="49">
        <f>SUM(BS5:BV5)</f>
        <v>5068.2</v>
      </c>
      <c r="EB5" s="49">
        <f>SUM(BW5:BZ5)</f>
        <v>6471.8</v>
      </c>
      <c r="EC5" s="49">
        <f>SUM(CA5:CD5)</f>
        <v>7439.8</v>
      </c>
      <c r="ED5" s="49">
        <f>SUM(CE5:CH5)</f>
        <v>7132.5</v>
      </c>
      <c r="EE5" s="49">
        <f>SUM(Model!CI5:CL5)</f>
        <v>4893.0999999999995</v>
      </c>
      <c r="EF5" s="49">
        <f>+EE5*0.95</f>
        <v>4648.4449999999997</v>
      </c>
      <c r="EG5" s="49">
        <f>+EF5*0.95</f>
        <v>4416.0227499999992</v>
      </c>
      <c r="EH5" s="49">
        <f>+EG5*0.95</f>
        <v>4195.2216124999986</v>
      </c>
      <c r="EI5" s="49">
        <f>+EH5*0.95</f>
        <v>3985.4605318749987</v>
      </c>
      <c r="EJ5" s="49">
        <f>+EI5*0.95</f>
        <v>3786.1875052812484</v>
      </c>
      <c r="EK5" s="49">
        <f>+EJ5*0.9</f>
        <v>3407.5687547531238</v>
      </c>
    </row>
    <row r="6" spans="1:146" s="49" customFormat="1" x14ac:dyDescent="0.2">
      <c r="A6" s="98"/>
      <c r="B6" s="50" t="s">
        <v>507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52">
        <v>16</v>
      </c>
      <c r="CC6" s="52">
        <v>187.3</v>
      </c>
      <c r="CD6" s="52">
        <v>279.2</v>
      </c>
      <c r="CE6" s="52">
        <v>568.5</v>
      </c>
      <c r="CF6" s="52">
        <v>979.7</v>
      </c>
      <c r="CG6" s="52">
        <v>1409.3</v>
      </c>
      <c r="CH6" s="52">
        <v>2205.6</v>
      </c>
      <c r="CI6" s="52">
        <v>1806.5</v>
      </c>
      <c r="CJ6" s="52">
        <v>3090.8</v>
      </c>
      <c r="CK6" s="52">
        <f>+CJ6+300</f>
        <v>3390.8</v>
      </c>
      <c r="CL6" s="52">
        <f>+CK6+300</f>
        <v>3690.8</v>
      </c>
      <c r="CM6" s="52"/>
      <c r="CN6" s="52"/>
      <c r="CO6" s="52"/>
      <c r="CP6" s="52"/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7"/>
      <c r="DI6" s="101"/>
      <c r="DJ6" s="101"/>
      <c r="DK6" s="101"/>
      <c r="DL6" s="101"/>
      <c r="DM6" s="101"/>
      <c r="DN6" s="101"/>
      <c r="DO6" s="101"/>
      <c r="DP6" s="101"/>
      <c r="DQ6" s="97"/>
      <c r="DR6" s="97"/>
      <c r="DS6" s="97"/>
      <c r="DT6" s="97"/>
      <c r="DU6" s="97"/>
      <c r="DV6" s="97"/>
      <c r="DW6" s="97"/>
      <c r="DX6" s="97"/>
      <c r="DY6" s="98"/>
      <c r="DZ6" s="98"/>
      <c r="EA6" s="98"/>
      <c r="EB6" s="98"/>
      <c r="EC6" s="49">
        <f t="shared" ref="EC6:EC32" si="6">SUM(CA6:CD6)</f>
        <v>482.5</v>
      </c>
      <c r="ED6" s="49">
        <f t="shared" ref="ED6:ED32" si="7">SUM(CE6:CH6)</f>
        <v>5163.1000000000004</v>
      </c>
      <c r="EE6" s="49">
        <f>SUM(Model!CI6:CL6)</f>
        <v>11978.900000000001</v>
      </c>
      <c r="EF6" s="49">
        <f t="shared" ref="EF6:EH7" si="8">EE6*1.4</f>
        <v>16770.460000000003</v>
      </c>
      <c r="EG6" s="49">
        <f t="shared" si="8"/>
        <v>23478.644000000004</v>
      </c>
      <c r="EH6" s="49">
        <f t="shared" si="8"/>
        <v>32870.101600000002</v>
      </c>
      <c r="EI6" s="49">
        <f>EH6*1.2</f>
        <v>39444.121919999998</v>
      </c>
      <c r="EJ6" s="49">
        <f t="shared" ref="EJ6:EJ7" si="9">EI6*1.1</f>
        <v>43388.534112000001</v>
      </c>
      <c r="EK6" s="49">
        <f>+EJ6*1.1</f>
        <v>47727.387523200006</v>
      </c>
    </row>
    <row r="7" spans="1:146" s="49" customFormat="1" x14ac:dyDescent="0.2">
      <c r="A7" s="98"/>
      <c r="B7" s="50" t="s">
        <v>527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52">
        <v>175.8</v>
      </c>
      <c r="CI7" s="52">
        <v>517.4</v>
      </c>
      <c r="CJ7" s="52">
        <v>1243.2</v>
      </c>
      <c r="CK7" s="52">
        <f>CJ7+200</f>
        <v>1443.2</v>
      </c>
      <c r="CL7" s="52">
        <f>CK7+200</f>
        <v>1643.2</v>
      </c>
      <c r="CM7" s="52"/>
      <c r="CN7" s="52"/>
      <c r="CO7" s="52"/>
      <c r="CP7" s="52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7"/>
      <c r="DI7" s="101"/>
      <c r="DJ7" s="101"/>
      <c r="DK7" s="101"/>
      <c r="DL7" s="101"/>
      <c r="DM7" s="101"/>
      <c r="DN7" s="101"/>
      <c r="DO7" s="101"/>
      <c r="DP7" s="101"/>
      <c r="DQ7" s="97"/>
      <c r="DR7" s="97"/>
      <c r="DS7" s="97"/>
      <c r="DT7" s="97"/>
      <c r="DU7" s="97"/>
      <c r="DV7" s="97"/>
      <c r="DW7" s="97"/>
      <c r="DX7" s="97"/>
      <c r="DY7" s="98"/>
      <c r="DZ7" s="98"/>
      <c r="EA7" s="98"/>
      <c r="EB7" s="98"/>
      <c r="EC7" s="98"/>
      <c r="ED7" s="49">
        <f t="shared" si="7"/>
        <v>175.8</v>
      </c>
      <c r="EE7" s="49">
        <f>SUM(Model!CI7:CL7)</f>
        <v>4847</v>
      </c>
      <c r="EF7" s="49">
        <f t="shared" si="8"/>
        <v>6785.7999999999993</v>
      </c>
      <c r="EG7" s="49">
        <f t="shared" si="8"/>
        <v>9500.119999999999</v>
      </c>
      <c r="EH7" s="49">
        <f t="shared" si="8"/>
        <v>13300.167999999998</v>
      </c>
      <c r="EI7" s="49">
        <f>EH7*1.2</f>
        <v>15960.201599999997</v>
      </c>
      <c r="EJ7" s="49">
        <f t="shared" si="9"/>
        <v>17556.221759999997</v>
      </c>
      <c r="EK7" s="49">
        <f>+EJ7*1.1</f>
        <v>19311.843935999997</v>
      </c>
    </row>
    <row r="8" spans="1:146" s="49" customFormat="1" x14ac:dyDescent="0.2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52"/>
      <c r="BO8" s="52"/>
      <c r="BP8" s="52"/>
      <c r="BQ8" s="52"/>
      <c r="BR8" s="52"/>
      <c r="BS8" s="52"/>
      <c r="BT8" s="52"/>
      <c r="BU8" s="52"/>
      <c r="BV8" s="52">
        <v>871.2</v>
      </c>
      <c r="BW8" s="52">
        <v>810.1</v>
      </c>
      <c r="BX8" s="52">
        <v>148.9</v>
      </c>
      <c r="BY8" s="52">
        <v>217.1</v>
      </c>
      <c r="BZ8" s="52">
        <v>1063.0999999999999</v>
      </c>
      <c r="CA8" s="52">
        <v>1469.8</v>
      </c>
      <c r="CB8" s="52">
        <v>129.1</v>
      </c>
      <c r="CC8" s="52">
        <v>386.6</v>
      </c>
      <c r="CD8" s="52">
        <v>38</v>
      </c>
      <c r="CE8" s="52">
        <v>0</v>
      </c>
      <c r="CF8" s="52">
        <v>0</v>
      </c>
      <c r="CG8" s="52">
        <v>0</v>
      </c>
      <c r="CH8" s="52">
        <v>0</v>
      </c>
      <c r="CI8" s="52">
        <v>0</v>
      </c>
      <c r="CJ8" s="52">
        <v>0</v>
      </c>
      <c r="CK8" s="52"/>
      <c r="CL8" s="52"/>
      <c r="CM8" s="52"/>
      <c r="CN8" s="52"/>
      <c r="CO8" s="52"/>
      <c r="CP8" s="52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7"/>
      <c r="DI8" s="101"/>
      <c r="DJ8" s="101"/>
      <c r="DK8" s="101"/>
      <c r="DL8" s="101"/>
      <c r="DM8" s="101"/>
      <c r="DN8" s="101"/>
      <c r="DO8" s="101"/>
      <c r="DP8" s="101"/>
      <c r="DQ8" s="97"/>
      <c r="DR8" s="97"/>
      <c r="DS8" s="97"/>
      <c r="DT8" s="97"/>
      <c r="DU8" s="97"/>
      <c r="DV8" s="97"/>
      <c r="DW8" s="97"/>
      <c r="DX8" s="97"/>
      <c r="DY8" s="98"/>
      <c r="DZ8" s="98"/>
      <c r="EA8" s="49">
        <f t="shared" ref="EA8:EA35" si="10">SUM(BS8:BV8)</f>
        <v>871.2</v>
      </c>
      <c r="EB8" s="49">
        <f t="shared" ref="EB8:EB35" si="11">SUM(BW8:BZ8)</f>
        <v>2239.1999999999998</v>
      </c>
      <c r="EC8" s="49">
        <f t="shared" si="6"/>
        <v>2023.5</v>
      </c>
      <c r="ED8" s="98"/>
      <c r="EE8" s="98"/>
      <c r="EF8" s="98"/>
      <c r="EG8" s="98"/>
      <c r="EH8" s="98"/>
      <c r="EI8" s="98"/>
      <c r="EJ8" s="98"/>
      <c r="EK8" s="98"/>
    </row>
    <row r="9" spans="1:146" x14ac:dyDescent="0.2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52"/>
      <c r="BD9" s="52">
        <v>19.3</v>
      </c>
      <c r="BE9" s="52">
        <v>32.5</v>
      </c>
      <c r="BF9" s="52">
        <v>61.3</v>
      </c>
      <c r="BG9" s="52">
        <v>96.6</v>
      </c>
      <c r="BH9" s="52">
        <v>138.69999999999999</v>
      </c>
      <c r="BI9" s="52">
        <v>151.30000000000001</v>
      </c>
      <c r="BJ9" s="52">
        <v>172.5</v>
      </c>
      <c r="BK9" s="52">
        <v>146.5</v>
      </c>
      <c r="BL9" s="52">
        <v>220.1</v>
      </c>
      <c r="BM9" s="52">
        <v>263.89999999999998</v>
      </c>
      <c r="BN9" s="52">
        <v>307</v>
      </c>
      <c r="BO9" s="52">
        <v>252.5</v>
      </c>
      <c r="BP9" s="52">
        <v>353.8</v>
      </c>
      <c r="BQ9" s="52">
        <v>340</v>
      </c>
      <c r="BR9" s="52">
        <v>420.1</v>
      </c>
      <c r="BS9" s="52">
        <v>443.5</v>
      </c>
      <c r="BT9" s="52">
        <v>395.2</v>
      </c>
      <c r="BU9" s="52">
        <v>454.5</v>
      </c>
      <c r="BV9" s="52">
        <v>495.3</v>
      </c>
      <c r="BW9" s="52">
        <v>403.2</v>
      </c>
      <c r="BX9" s="52">
        <v>569.1</v>
      </c>
      <c r="BY9" s="52">
        <v>593.1</v>
      </c>
      <c r="BZ9" s="52">
        <v>647.4</v>
      </c>
      <c r="CA9" s="52">
        <v>488.1</v>
      </c>
      <c r="CB9" s="52">
        <v>606.20000000000005</v>
      </c>
      <c r="CC9" s="52">
        <v>679.9</v>
      </c>
      <c r="CD9" s="52">
        <v>707.8</v>
      </c>
      <c r="CE9" s="52">
        <v>527</v>
      </c>
      <c r="CF9" s="52">
        <v>703.9</v>
      </c>
      <c r="CG9" s="52">
        <v>744.2</v>
      </c>
      <c r="CH9" s="52">
        <v>784.6</v>
      </c>
      <c r="CI9" s="52">
        <v>604</v>
      </c>
      <c r="CJ9" s="52">
        <v>824.7</v>
      </c>
      <c r="CK9" s="52">
        <f t="shared" ref="CK9:CL11" si="12">+CJ9+20</f>
        <v>844.7</v>
      </c>
      <c r="CL9" s="52">
        <f t="shared" si="12"/>
        <v>864.7</v>
      </c>
      <c r="CM9" s="52"/>
      <c r="CN9" s="52"/>
      <c r="CO9" s="52"/>
      <c r="CP9" s="52"/>
      <c r="CQ9" s="49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7"/>
      <c r="DI9" s="101"/>
      <c r="DJ9" s="101"/>
      <c r="DK9" s="101"/>
      <c r="DL9" s="101"/>
      <c r="DM9" s="101"/>
      <c r="DN9" s="101"/>
      <c r="DO9" s="101"/>
      <c r="DP9" s="101"/>
      <c r="DQ9" s="97"/>
      <c r="DR9" s="97"/>
      <c r="DS9" s="97"/>
      <c r="DT9" s="97"/>
      <c r="DU9" s="97"/>
      <c r="DV9" s="97"/>
      <c r="DW9" s="51">
        <f>SUM(BC9:BF9)</f>
        <v>113.1</v>
      </c>
      <c r="DX9" s="51">
        <f t="shared" ref="DX9:DX15" si="13">SUM(BG9:BJ9)</f>
        <v>559.1</v>
      </c>
      <c r="DY9" s="49">
        <f t="shared" ref="DY9:DY19" si="14">SUM(BK9:BN9)</f>
        <v>937.5</v>
      </c>
      <c r="DZ9" s="49">
        <f t="shared" ref="DZ9:DZ35" si="15">SUM(BO9:BR9)</f>
        <v>1366.4</v>
      </c>
      <c r="EA9" s="49">
        <f t="shared" si="10"/>
        <v>1788.5</v>
      </c>
      <c r="EB9" s="49">
        <f t="shared" si="11"/>
        <v>2212.8000000000002</v>
      </c>
      <c r="EC9" s="49">
        <f t="shared" si="6"/>
        <v>2482</v>
      </c>
      <c r="ED9" s="49">
        <f t="shared" si="7"/>
        <v>2759.7000000000003</v>
      </c>
      <c r="EE9" s="49">
        <f>SUM(Model!CI9:CL9)</f>
        <v>3138.1000000000004</v>
      </c>
      <c r="EF9" s="49">
        <f>+EE9*1.2</f>
        <v>3765.7200000000003</v>
      </c>
      <c r="EG9" s="49">
        <f>+EF9*1.2</f>
        <v>4518.8640000000005</v>
      </c>
      <c r="EH9" s="49">
        <f>+EG9*1.1</f>
        <v>4970.7504000000008</v>
      </c>
      <c r="EI9" s="49">
        <f>+EH9*1.1</f>
        <v>5467.8254400000014</v>
      </c>
      <c r="EJ9" s="49">
        <f>+EI9*1.1</f>
        <v>6014.607984000002</v>
      </c>
      <c r="EK9" s="49">
        <f>+EJ9*1.05</f>
        <v>6315.3383832000027</v>
      </c>
    </row>
    <row r="10" spans="1:146" x14ac:dyDescent="0.2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51"/>
      <c r="BJ10" s="51">
        <v>21</v>
      </c>
      <c r="BK10" s="51">
        <v>29.7</v>
      </c>
      <c r="BL10" s="51">
        <v>57.7</v>
      </c>
      <c r="BM10" s="51">
        <v>84.5</v>
      </c>
      <c r="BN10" s="51">
        <v>83.1</v>
      </c>
      <c r="BO10" s="51">
        <v>109.4</v>
      </c>
      <c r="BP10" s="51">
        <v>133.9</v>
      </c>
      <c r="BQ10" s="51">
        <v>157.19999999999999</v>
      </c>
      <c r="BR10" s="51">
        <v>179.1</v>
      </c>
      <c r="BS10" s="51">
        <v>188</v>
      </c>
      <c r="BT10" s="51">
        <v>208.6</v>
      </c>
      <c r="BU10" s="51">
        <v>234.4</v>
      </c>
      <c r="BV10" s="51">
        <v>281.60000000000002</v>
      </c>
      <c r="BW10" s="51">
        <v>269</v>
      </c>
      <c r="BX10" s="51">
        <v>341.3</v>
      </c>
      <c r="BY10" s="51">
        <v>335.5</v>
      </c>
      <c r="BZ10" s="51">
        <v>404.1</v>
      </c>
      <c r="CA10" s="51">
        <v>469.4</v>
      </c>
      <c r="CB10" s="51">
        <v>588.5</v>
      </c>
      <c r="CC10" s="51">
        <v>617.70000000000005</v>
      </c>
      <c r="CD10" s="51">
        <v>808</v>
      </c>
      <c r="CE10" s="51">
        <v>750.9</v>
      </c>
      <c r="CF10" s="51">
        <v>926.8</v>
      </c>
      <c r="CG10" s="51">
        <v>1040.2</v>
      </c>
      <c r="CH10" s="51">
        <v>1145.4000000000001</v>
      </c>
      <c r="CI10" s="51">
        <v>1050.3</v>
      </c>
      <c r="CJ10" s="51">
        <v>1331.9</v>
      </c>
      <c r="CK10" s="51">
        <f t="shared" si="12"/>
        <v>1351.9</v>
      </c>
      <c r="CL10" s="51">
        <f t="shared" si="12"/>
        <v>1371.9</v>
      </c>
      <c r="CM10" s="51"/>
      <c r="CN10" s="51"/>
      <c r="CO10" s="51"/>
      <c r="CP10" s="51"/>
      <c r="CQ10" s="49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7"/>
      <c r="DI10" s="101"/>
      <c r="DJ10" s="101"/>
      <c r="DK10" s="101"/>
      <c r="DL10" s="101"/>
      <c r="DM10" s="101"/>
      <c r="DN10" s="101"/>
      <c r="DO10" s="101"/>
      <c r="DP10" s="101"/>
      <c r="DQ10" s="97"/>
      <c r="DR10" s="97"/>
      <c r="DS10" s="97"/>
      <c r="DT10" s="97"/>
      <c r="DU10" s="97"/>
      <c r="DV10" s="97"/>
      <c r="DW10" s="97"/>
      <c r="DX10" s="51">
        <f t="shared" si="13"/>
        <v>21</v>
      </c>
      <c r="DY10" s="49">
        <f t="shared" si="14"/>
        <v>255</v>
      </c>
      <c r="DZ10" s="49">
        <f t="shared" si="15"/>
        <v>579.6</v>
      </c>
      <c r="EA10" s="49">
        <f t="shared" si="10"/>
        <v>912.6</v>
      </c>
      <c r="EB10" s="49">
        <f t="shared" si="11"/>
        <v>1349.9</v>
      </c>
      <c r="EC10" s="49">
        <f t="shared" si="6"/>
        <v>2483.6000000000004</v>
      </c>
      <c r="ED10" s="49">
        <f t="shared" si="7"/>
        <v>3863.2999999999997</v>
      </c>
      <c r="EE10" s="49">
        <f>SUM(Model!CI10:CL10)</f>
        <v>5106</v>
      </c>
      <c r="EF10" s="49">
        <f>+EE10*1.01</f>
        <v>5157.0600000000004</v>
      </c>
      <c r="EG10" s="49">
        <f>+EF10*1.01</f>
        <v>5208.6306000000004</v>
      </c>
      <c r="EH10" s="49">
        <f>+EG10*1.01</f>
        <v>5260.7169060000006</v>
      </c>
      <c r="EI10" s="49">
        <f>+EH10*1.01</f>
        <v>5313.3240750600007</v>
      </c>
      <c r="EJ10" s="49">
        <f>+EI10*1.01</f>
        <v>5366.4573158106004</v>
      </c>
      <c r="EK10" s="49">
        <f>+EJ10*0.1</f>
        <v>536.64573158106009</v>
      </c>
    </row>
    <row r="11" spans="1:146" x14ac:dyDescent="0.2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51"/>
      <c r="AV11" s="51"/>
      <c r="AW11" s="51"/>
      <c r="AX11" s="51"/>
      <c r="AY11" s="51">
        <v>19.3</v>
      </c>
      <c r="AZ11" s="51">
        <v>11.1</v>
      </c>
      <c r="BA11" s="51">
        <v>15.4</v>
      </c>
      <c r="BB11" s="51">
        <v>14.6</v>
      </c>
      <c r="BC11" s="51">
        <v>38.200000000000003</v>
      </c>
      <c r="BD11" s="51">
        <v>40.1</v>
      </c>
      <c r="BE11" s="51">
        <v>47.5</v>
      </c>
      <c r="BF11" s="51">
        <v>76.099999999999994</v>
      </c>
      <c r="BG11" s="51">
        <v>74</v>
      </c>
      <c r="BH11" s="51">
        <v>103.2</v>
      </c>
      <c r="BI11" s="51">
        <v>127.2</v>
      </c>
      <c r="BJ11" s="51">
        <v>143.19999999999999</v>
      </c>
      <c r="BK11" s="51">
        <v>151</v>
      </c>
      <c r="BL11" s="51">
        <v>147.19999999999999</v>
      </c>
      <c r="BM11" s="51">
        <v>166.9</v>
      </c>
      <c r="BN11" s="51">
        <v>193.2</v>
      </c>
      <c r="BO11" s="51">
        <v>203.6</v>
      </c>
      <c r="BP11" s="51">
        <v>231.9</v>
      </c>
      <c r="BQ11" s="51">
        <v>240.7</v>
      </c>
      <c r="BR11" s="51">
        <v>268</v>
      </c>
      <c r="BS11" s="51">
        <v>267.5</v>
      </c>
      <c r="BT11" s="51">
        <v>262</v>
      </c>
      <c r="BU11" s="51">
        <v>310.8</v>
      </c>
      <c r="BV11" s="51">
        <v>313.60000000000002</v>
      </c>
      <c r="BW11" s="51">
        <v>312</v>
      </c>
      <c r="BX11" s="51">
        <v>356.5</v>
      </c>
      <c r="BY11" s="51">
        <v>390.4</v>
      </c>
      <c r="BZ11" s="51">
        <v>431.9</v>
      </c>
      <c r="CA11" s="51">
        <v>419.4</v>
      </c>
      <c r="CB11" s="51">
        <v>461</v>
      </c>
      <c r="CC11" s="51">
        <v>573.29999999999995</v>
      </c>
      <c r="CD11" s="51">
        <v>612.29999999999995</v>
      </c>
      <c r="CE11" s="51">
        <v>577.5</v>
      </c>
      <c r="CF11" s="51">
        <v>668.3</v>
      </c>
      <c r="CG11" s="51">
        <v>700.8</v>
      </c>
      <c r="CH11" s="51">
        <v>798.1</v>
      </c>
      <c r="CI11" s="51">
        <v>686.5</v>
      </c>
      <c r="CJ11" s="51">
        <v>769.6</v>
      </c>
      <c r="CK11" s="51">
        <f t="shared" si="12"/>
        <v>789.6</v>
      </c>
      <c r="CL11" s="51">
        <f t="shared" si="12"/>
        <v>809.6</v>
      </c>
      <c r="CM11" s="51"/>
      <c r="CN11" s="51"/>
      <c r="CO11" s="51"/>
      <c r="CP11" s="51"/>
      <c r="CQ11" s="49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7"/>
      <c r="DI11" s="101"/>
      <c r="DJ11" s="101"/>
      <c r="DK11" s="101"/>
      <c r="DL11" s="101"/>
      <c r="DM11" s="101"/>
      <c r="DN11" s="101"/>
      <c r="DO11" s="101"/>
      <c r="DP11" s="101"/>
      <c r="DQ11" s="97"/>
      <c r="DR11" s="97"/>
      <c r="DS11" s="97"/>
      <c r="DT11" s="97"/>
      <c r="DU11" s="97"/>
      <c r="DV11" s="51">
        <f>SUM(AY11:BB11)</f>
        <v>60.4</v>
      </c>
      <c r="DW11" s="51">
        <f>SUM(BC11:BF11)</f>
        <v>201.9</v>
      </c>
      <c r="DX11" s="51">
        <f t="shared" si="13"/>
        <v>447.59999999999997</v>
      </c>
      <c r="DY11" s="49">
        <f t="shared" si="14"/>
        <v>658.3</v>
      </c>
      <c r="DZ11" s="49">
        <f t="shared" si="15"/>
        <v>944.2</v>
      </c>
      <c r="EA11" s="49">
        <f t="shared" si="10"/>
        <v>1153.9000000000001</v>
      </c>
      <c r="EB11" s="49">
        <f t="shared" si="11"/>
        <v>1490.8000000000002</v>
      </c>
      <c r="EC11" s="49">
        <f t="shared" si="6"/>
        <v>2066</v>
      </c>
      <c r="ED11" s="49">
        <f t="shared" si="7"/>
        <v>2744.7</v>
      </c>
      <c r="EE11" s="49">
        <f>SUM(Model!CI11:CL11)</f>
        <v>3055.2999999999997</v>
      </c>
      <c r="EF11" s="49">
        <f>+EE11*1.2</f>
        <v>3666.3599999999997</v>
      </c>
      <c r="EG11" s="49">
        <f>+EF11*1.2</f>
        <v>4399.6319999999996</v>
      </c>
      <c r="EH11" s="49">
        <f>+EG11*1.1</f>
        <v>4839.5951999999997</v>
      </c>
      <c r="EI11" s="49">
        <f>+EH11*1.1</f>
        <v>5323.5547200000001</v>
      </c>
      <c r="EJ11" s="49">
        <f>+EI11*1.1</f>
        <v>5855.9101920000003</v>
      </c>
      <c r="EK11" s="49">
        <f>+EJ11*0.1</f>
        <v>585.59101920000001</v>
      </c>
    </row>
    <row r="12" spans="1:146" x14ac:dyDescent="0.2">
      <c r="A12" s="102"/>
      <c r="B12" t="s">
        <v>54</v>
      </c>
      <c r="C12" s="51">
        <v>248.8</v>
      </c>
      <c r="D12" s="51">
        <v>254.1</v>
      </c>
      <c r="E12" s="51">
        <v>240.2</v>
      </c>
      <c r="F12" s="51">
        <f>1020-E12-D12-C12</f>
        <v>276.89999999999992</v>
      </c>
      <c r="G12" s="51">
        <v>267.2</v>
      </c>
      <c r="H12" s="51">
        <v>285.3</v>
      </c>
      <c r="I12" s="51">
        <v>264.60000000000002</v>
      </c>
      <c r="J12" s="51">
        <v>284.60000000000002</v>
      </c>
      <c r="K12" s="51">
        <v>286.2</v>
      </c>
      <c r="L12" s="51">
        <v>296.2</v>
      </c>
      <c r="M12" s="51">
        <f>Q12/1.05</f>
        <v>306.66666666666663</v>
      </c>
      <c r="N12" s="51">
        <v>309.10000000000002</v>
      </c>
      <c r="O12" s="51">
        <v>305</v>
      </c>
      <c r="P12" s="51">
        <v>321</v>
      </c>
      <c r="Q12" s="51">
        <v>322</v>
      </c>
      <c r="R12" s="51">
        <v>352.2</v>
      </c>
      <c r="S12" s="51">
        <v>339.5</v>
      </c>
      <c r="T12" s="51">
        <v>358.4</v>
      </c>
      <c r="U12" s="51">
        <v>362.5</v>
      </c>
      <c r="V12" s="51">
        <v>414.2</v>
      </c>
      <c r="W12" s="51">
        <v>407.4</v>
      </c>
      <c r="X12" s="51">
        <v>437.9</v>
      </c>
      <c r="Y12" s="51">
        <v>432.6</v>
      </c>
      <c r="Z12" s="51">
        <v>457.9</v>
      </c>
      <c r="AA12" s="51">
        <v>450.6</v>
      </c>
      <c r="AB12" s="51">
        <v>477.5</v>
      </c>
      <c r="AC12" s="51">
        <v>500.2</v>
      </c>
      <c r="AD12" s="51">
        <v>530.79999999999995</v>
      </c>
      <c r="AE12" s="51">
        <v>506.4</v>
      </c>
      <c r="AF12" s="51">
        <v>504.6</v>
      </c>
      <c r="AG12" s="51">
        <v>494</v>
      </c>
      <c r="AH12" s="51">
        <v>549.1</v>
      </c>
      <c r="AI12" s="51">
        <v>525.4</v>
      </c>
      <c r="AJ12" s="51">
        <v>586.9</v>
      </c>
      <c r="AK12" s="51">
        <v>593.20000000000005</v>
      </c>
      <c r="AL12" s="51">
        <v>662</v>
      </c>
      <c r="AM12" s="51">
        <v>590.29999999999995</v>
      </c>
      <c r="AN12" s="51">
        <v>613.4</v>
      </c>
      <c r="AO12" s="51">
        <v>575.79999999999995</v>
      </c>
      <c r="AP12" s="51">
        <v>616</v>
      </c>
      <c r="AQ12" s="51">
        <v>632.70000000000005</v>
      </c>
      <c r="AR12" s="51">
        <v>628.6</v>
      </c>
      <c r="AS12" s="51">
        <v>616</v>
      </c>
      <c r="AT12" s="51">
        <v>733.9</v>
      </c>
      <c r="AU12" s="51">
        <v>650</v>
      </c>
      <c r="AV12" s="51">
        <v>700.1</v>
      </c>
      <c r="AW12" s="51">
        <v>706.1</v>
      </c>
      <c r="AX12" s="51">
        <v>729.1</v>
      </c>
      <c r="AY12" s="51">
        <v>684</v>
      </c>
      <c r="AZ12" s="51">
        <v>654.29999999999995</v>
      </c>
      <c r="BA12" s="51">
        <v>705</v>
      </c>
      <c r="BB12" s="51">
        <v>798.7</v>
      </c>
      <c r="BC12" s="51">
        <v>606.29999999999995</v>
      </c>
      <c r="BD12" s="51">
        <v>701.9</v>
      </c>
      <c r="BE12" s="51">
        <v>640.79999999999995</v>
      </c>
      <c r="BF12" s="51">
        <v>819.8</v>
      </c>
      <c r="BG12" s="51">
        <v>708.4</v>
      </c>
      <c r="BH12" s="51">
        <v>678.4</v>
      </c>
      <c r="BI12" s="51">
        <v>696.2</v>
      </c>
      <c r="BJ12" s="51">
        <v>782.2</v>
      </c>
      <c r="BK12" s="51">
        <v>791.7</v>
      </c>
      <c r="BL12" s="51">
        <v>769.8</v>
      </c>
      <c r="BM12" s="51">
        <v>664.6</v>
      </c>
      <c r="BN12" s="51">
        <v>770.4</v>
      </c>
      <c r="BO12" s="51">
        <v>730.8</v>
      </c>
      <c r="BP12" s="51">
        <v>677.6</v>
      </c>
      <c r="BQ12" s="51">
        <v>648.9</v>
      </c>
      <c r="BR12" s="51">
        <v>763.4</v>
      </c>
      <c r="BS12" s="51">
        <v>695.8</v>
      </c>
      <c r="BT12" s="51">
        <v>555.1</v>
      </c>
      <c r="BU12" s="51">
        <v>656.9</v>
      </c>
      <c r="BV12" s="51">
        <v>718.1</v>
      </c>
      <c r="BW12" s="51">
        <f>332.7+284.4</f>
        <v>617.09999999999991</v>
      </c>
      <c r="BX12" s="51">
        <v>607.6</v>
      </c>
      <c r="BY12" s="51">
        <v>626.70000000000005</v>
      </c>
      <c r="BZ12" s="51">
        <v>601.70000000000005</v>
      </c>
      <c r="CA12" s="51">
        <f>368.9+249.3</f>
        <v>618.20000000000005</v>
      </c>
      <c r="CB12" s="51">
        <v>447.1</v>
      </c>
      <c r="CC12" s="51">
        <v>447</v>
      </c>
      <c r="CD12" s="51">
        <v>548.29999999999995</v>
      </c>
      <c r="CE12" s="51">
        <v>460.9</v>
      </c>
      <c r="CF12" s="51">
        <v>440.4</v>
      </c>
      <c r="CG12" s="51">
        <v>395.4</v>
      </c>
      <c r="CH12" s="51">
        <v>366.6</v>
      </c>
      <c r="CI12" s="51">
        <v>538.70000000000005</v>
      </c>
      <c r="CJ12" s="51">
        <v>631.6</v>
      </c>
      <c r="CK12" s="51">
        <f>+CJ12-5</f>
        <v>626.6</v>
      </c>
      <c r="CL12" s="51">
        <f>+CK12-5</f>
        <v>621.6</v>
      </c>
      <c r="CM12" s="51"/>
      <c r="CN12" s="51"/>
      <c r="CO12" s="51"/>
      <c r="CP12" s="51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>
        <v>129.6</v>
      </c>
      <c r="DF12" s="49">
        <v>224.5</v>
      </c>
      <c r="DG12" s="49">
        <v>350.2</v>
      </c>
      <c r="DH12" s="51">
        <v>627.79999999999995</v>
      </c>
      <c r="DI12" s="51">
        <v>834.2</v>
      </c>
      <c r="DJ12" s="51">
        <v>1021</v>
      </c>
      <c r="DK12" s="51">
        <v>1101</v>
      </c>
      <c r="DL12" s="51">
        <v>1198</v>
      </c>
      <c r="DM12" s="51">
        <f>SUM(O12:R12)</f>
        <v>1300.2</v>
      </c>
      <c r="DN12" s="51">
        <f>SUM(S12:V12)</f>
        <v>1474.6000000000001</v>
      </c>
      <c r="DO12" s="51">
        <f>SUM(W12:Z12)</f>
        <v>1735.8000000000002</v>
      </c>
      <c r="DP12" s="51">
        <f>SUM(AA12:AD12)</f>
        <v>1959.1</v>
      </c>
      <c r="DQ12" s="51">
        <f>SUM(AE12:AH12)</f>
        <v>2054.1</v>
      </c>
      <c r="DR12" s="51">
        <f>SUM(AI12:AL12)</f>
        <v>2367.5</v>
      </c>
      <c r="DS12" s="51">
        <f>SUM(AM12:AP12)</f>
        <v>2395.5</v>
      </c>
      <c r="DT12" s="51">
        <v>2611.1999999999998</v>
      </c>
      <c r="DU12" s="51">
        <f>SUM(AU12:AX12)</f>
        <v>2785.2999999999997</v>
      </c>
      <c r="DV12" s="51">
        <f>SUM(AY12:BB12)</f>
        <v>2842</v>
      </c>
      <c r="DW12" s="51">
        <f>SUM(BC12:BF12)</f>
        <v>2768.7999999999997</v>
      </c>
      <c r="DX12" s="51">
        <f t="shared" si="13"/>
        <v>2865.2</v>
      </c>
      <c r="DY12" s="49">
        <f t="shared" si="14"/>
        <v>2996.5</v>
      </c>
      <c r="DZ12" s="49">
        <f t="shared" si="15"/>
        <v>2820.7000000000003</v>
      </c>
      <c r="EA12" s="49">
        <f>SUM(BS12:BV12)</f>
        <v>2625.9</v>
      </c>
      <c r="EB12" s="49">
        <f t="shared" si="11"/>
        <v>2453.1</v>
      </c>
      <c r="EC12" s="49">
        <f t="shared" si="6"/>
        <v>2060.6000000000004</v>
      </c>
      <c r="ED12" s="49">
        <f t="shared" si="7"/>
        <v>1663.2999999999997</v>
      </c>
      <c r="EE12" s="49">
        <f>SUM(Model!CI12:CL12)</f>
        <v>2418.5</v>
      </c>
      <c r="EF12" s="49">
        <f t="shared" ref="EF12:EK12" si="16">+EE12*0.95</f>
        <v>2297.5749999999998</v>
      </c>
      <c r="EG12" s="49">
        <f t="shared" si="16"/>
        <v>2182.6962499999995</v>
      </c>
      <c r="EH12" s="49">
        <f t="shared" si="16"/>
        <v>2073.5614374999996</v>
      </c>
      <c r="EI12" s="49">
        <f t="shared" si="16"/>
        <v>1969.8833656249994</v>
      </c>
      <c r="EJ12" s="49">
        <f t="shared" si="16"/>
        <v>1871.3891973437494</v>
      </c>
      <c r="EK12" s="49">
        <f t="shared" si="16"/>
        <v>1777.8197374765618</v>
      </c>
    </row>
    <row r="13" spans="1:146" x14ac:dyDescent="0.2">
      <c r="A13" s="102"/>
      <c r="B13" t="s">
        <v>19</v>
      </c>
      <c r="C13" s="51"/>
      <c r="D13" s="51"/>
      <c r="E13" s="51"/>
      <c r="F13" s="51"/>
      <c r="G13" s="51">
        <v>11.6</v>
      </c>
      <c r="H13" s="51">
        <v>17.8</v>
      </c>
      <c r="I13" s="51">
        <v>40</v>
      </c>
      <c r="J13" s="51">
        <v>73.099999999999994</v>
      </c>
      <c r="K13" s="51">
        <v>93.9</v>
      </c>
      <c r="L13" s="51">
        <v>111.2</v>
      </c>
      <c r="M13" s="51">
        <v>122.3</v>
      </c>
      <c r="N13" s="51">
        <v>135.80000000000001</v>
      </c>
      <c r="O13" s="51">
        <v>130</v>
      </c>
      <c r="P13" s="51">
        <v>153</v>
      </c>
      <c r="Q13" s="51">
        <v>157</v>
      </c>
      <c r="R13" s="51">
        <v>171.4</v>
      </c>
      <c r="S13" s="51">
        <v>187.8</v>
      </c>
      <c r="T13" s="51">
        <v>207.1</v>
      </c>
      <c r="U13" s="51">
        <v>215</v>
      </c>
      <c r="V13" s="51">
        <v>244.1</v>
      </c>
      <c r="W13" s="51">
        <v>247.2</v>
      </c>
      <c r="X13" s="51">
        <v>275</v>
      </c>
      <c r="Y13" s="51">
        <v>313.89999999999998</v>
      </c>
      <c r="Z13" s="51">
        <v>318.7</v>
      </c>
      <c r="AA13" s="51">
        <v>335.3</v>
      </c>
      <c r="AB13" s="51">
        <v>385.3</v>
      </c>
      <c r="AC13" s="51">
        <v>461.9</v>
      </c>
      <c r="AD13" s="51">
        <v>523.6</v>
      </c>
      <c r="AE13" s="51">
        <v>527.4</v>
      </c>
      <c r="AF13" s="51">
        <v>551.79999999999995</v>
      </c>
      <c r="AG13" s="51">
        <v>560.29999999999995</v>
      </c>
      <c r="AH13" s="51">
        <v>569</v>
      </c>
      <c r="AI13" s="51">
        <v>579.9</v>
      </c>
      <c r="AJ13" s="51">
        <v>613.4</v>
      </c>
      <c r="AK13" s="51">
        <v>629.70000000000005</v>
      </c>
      <c r="AL13" s="51">
        <v>638.1</v>
      </c>
      <c r="AM13" s="51">
        <v>606.79999999999995</v>
      </c>
      <c r="AN13" s="51">
        <v>659.5</v>
      </c>
      <c r="AO13" s="51">
        <v>643.6</v>
      </c>
      <c r="AP13" s="51">
        <v>684.3</v>
      </c>
      <c r="AQ13" s="51">
        <v>616.79999999999995</v>
      </c>
      <c r="AR13" s="51">
        <v>669.4</v>
      </c>
      <c r="AS13" s="51">
        <v>690.5</v>
      </c>
      <c r="AT13" s="51">
        <v>726.2</v>
      </c>
      <c r="AU13" s="51">
        <v>632</v>
      </c>
      <c r="AV13" s="51">
        <v>711.6</v>
      </c>
      <c r="AW13" s="51">
        <v>723.4</v>
      </c>
      <c r="AX13" s="51">
        <v>725</v>
      </c>
      <c r="AY13" s="51">
        <v>573</v>
      </c>
      <c r="AZ13" s="51">
        <v>664.3</v>
      </c>
      <c r="BA13" s="51">
        <v>628.5</v>
      </c>
      <c r="BB13" s="51">
        <v>627.20000000000005</v>
      </c>
      <c r="BC13" s="51">
        <v>564.20000000000005</v>
      </c>
      <c r="BD13" s="51">
        <v>607.1</v>
      </c>
      <c r="BE13" s="51">
        <v>570.4</v>
      </c>
      <c r="BF13" s="51">
        <v>541.6</v>
      </c>
      <c r="BG13" s="51">
        <v>489.9</v>
      </c>
      <c r="BH13" s="51">
        <v>532.9</v>
      </c>
      <c r="BI13" s="51">
        <v>514.5</v>
      </c>
      <c r="BJ13" s="51">
        <v>525.20000000000005</v>
      </c>
      <c r="BK13" s="51">
        <v>499.6</v>
      </c>
      <c r="BL13" s="51">
        <v>555.9</v>
      </c>
      <c r="BM13" s="51">
        <v>520.5</v>
      </c>
      <c r="BN13" s="51">
        <v>556.9</v>
      </c>
      <c r="BO13" s="51">
        <v>499.2</v>
      </c>
      <c r="BP13" s="51">
        <v>577.79999999999995</v>
      </c>
      <c r="BQ13" s="51">
        <v>508.2</v>
      </c>
      <c r="BR13" s="51">
        <v>530.70000000000005</v>
      </c>
      <c r="BS13" s="51">
        <v>560.1</v>
      </c>
      <c r="BT13" s="51">
        <v>539.1</v>
      </c>
      <c r="BU13" s="51">
        <v>578</v>
      </c>
      <c r="BV13" s="51">
        <v>652.70000000000005</v>
      </c>
      <c r="BW13" s="51">
        <v>559</v>
      </c>
      <c r="BX13" s="51">
        <v>610.6</v>
      </c>
      <c r="BY13" s="51">
        <v>457</v>
      </c>
      <c r="BZ13" s="51">
        <v>434.9</v>
      </c>
      <c r="CA13" s="51">
        <v>343.9</v>
      </c>
      <c r="CB13" s="51">
        <v>227.7</v>
      </c>
      <c r="CC13" s="51">
        <v>119.4</v>
      </c>
      <c r="CD13" s="51">
        <v>236.6</v>
      </c>
      <c r="CE13" s="51">
        <v>58.2</v>
      </c>
      <c r="CF13" s="51">
        <v>60.9</v>
      </c>
      <c r="CG13" s="51">
        <v>53.5</v>
      </c>
      <c r="CH13" s="51">
        <v>44.9</v>
      </c>
      <c r="CI13" s="51"/>
      <c r="CJ13" s="51"/>
      <c r="CK13" s="51"/>
      <c r="CL13" s="51"/>
      <c r="CM13" s="51"/>
      <c r="CN13" s="51"/>
      <c r="CO13" s="51"/>
      <c r="CP13" s="51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51"/>
      <c r="DI13" s="51"/>
      <c r="DJ13" s="51"/>
      <c r="DK13" s="51">
        <v>143</v>
      </c>
      <c r="DL13" s="51">
        <v>463</v>
      </c>
      <c r="DM13" s="51">
        <v>619</v>
      </c>
      <c r="DN13" s="51">
        <f>SUM(S13:V13)</f>
        <v>854</v>
      </c>
      <c r="DO13" s="51">
        <f>SUM(W13:Z13)</f>
        <v>1154.8</v>
      </c>
      <c r="DP13" s="51">
        <f>SUM(AA13:AD13)</f>
        <v>1706.1</v>
      </c>
      <c r="DQ13" s="51">
        <f>SUM(AE13:AH13)</f>
        <v>2208.5</v>
      </c>
      <c r="DR13" s="51">
        <f>SUM(AI13:AL13)</f>
        <v>2461.1</v>
      </c>
      <c r="DS13" s="51">
        <f>SUM(AM13:AP13)</f>
        <v>2594.1999999999998</v>
      </c>
      <c r="DT13" s="51">
        <v>2703</v>
      </c>
      <c r="DU13" s="51">
        <f>SUM(AU13:AX13)</f>
        <v>2792</v>
      </c>
      <c r="DV13" s="51">
        <f>SUM(AY13:BB13)</f>
        <v>2493</v>
      </c>
      <c r="DW13" s="51">
        <v>2283.3000000000002</v>
      </c>
      <c r="DX13" s="51">
        <f t="shared" si="13"/>
        <v>2062.5</v>
      </c>
      <c r="DY13" s="49">
        <f t="shared" si="14"/>
        <v>2132.9</v>
      </c>
      <c r="DZ13" s="49">
        <f t="shared" si="15"/>
        <v>2115.9</v>
      </c>
      <c r="EA13" s="49">
        <f t="shared" si="10"/>
        <v>2329.9</v>
      </c>
      <c r="EB13" s="49">
        <f t="shared" si="11"/>
        <v>2061.5</v>
      </c>
      <c r="EC13" s="49">
        <f t="shared" si="6"/>
        <v>927.59999999999991</v>
      </c>
      <c r="ED13" s="49">
        <f t="shared" si="7"/>
        <v>217.5</v>
      </c>
      <c r="EE13" s="49">
        <f>SUM(Model!CI13:CL13)</f>
        <v>0</v>
      </c>
      <c r="EF13" s="49">
        <f t="shared" ref="EF13:EK13" si="17">+EE13*0.5</f>
        <v>0</v>
      </c>
      <c r="EG13" s="49">
        <f t="shared" si="17"/>
        <v>0</v>
      </c>
      <c r="EH13" s="49">
        <f t="shared" si="17"/>
        <v>0</v>
      </c>
      <c r="EI13" s="49">
        <f t="shared" si="17"/>
        <v>0</v>
      </c>
      <c r="EJ13" s="49">
        <f t="shared" si="17"/>
        <v>0</v>
      </c>
      <c r="EK13" s="49">
        <f t="shared" si="17"/>
        <v>0</v>
      </c>
    </row>
    <row r="14" spans="1:146" x14ac:dyDescent="0.2">
      <c r="A14" s="102"/>
      <c r="B14" t="s">
        <v>57</v>
      </c>
      <c r="C14" s="51">
        <v>241</v>
      </c>
      <c r="D14" s="51">
        <v>255.5</v>
      </c>
      <c r="E14" s="51">
        <v>264.5</v>
      </c>
      <c r="F14" s="51">
        <f>1060-E14-D14-C14</f>
        <v>299</v>
      </c>
      <c r="G14" s="51">
        <v>249.4</v>
      </c>
      <c r="H14" s="51">
        <v>259.3</v>
      </c>
      <c r="I14" s="51">
        <v>243.7</v>
      </c>
      <c r="J14" s="51">
        <v>245.2</v>
      </c>
      <c r="K14" s="51">
        <v>256.89999999999998</v>
      </c>
      <c r="L14" s="51">
        <v>249.8</v>
      </c>
      <c r="M14" s="51">
        <v>250.9</v>
      </c>
      <c r="N14" s="51">
        <v>247.2</v>
      </c>
      <c r="O14" s="51">
        <v>219</v>
      </c>
      <c r="P14" s="51">
        <v>220</v>
      </c>
      <c r="Q14" s="51">
        <v>230</v>
      </c>
      <c r="R14" s="51">
        <v>257</v>
      </c>
      <c r="S14" s="51">
        <v>225.8</v>
      </c>
      <c r="T14" s="51">
        <v>242.8</v>
      </c>
      <c r="U14" s="51">
        <v>243.3</v>
      </c>
      <c r="V14" s="51">
        <v>273.39999999999998</v>
      </c>
      <c r="W14" s="51">
        <v>257.7</v>
      </c>
      <c r="X14" s="51">
        <v>271.39999999999998</v>
      </c>
      <c r="Y14" s="51">
        <v>271.60000000000002</v>
      </c>
      <c r="Z14" s="51">
        <v>262.39999999999998</v>
      </c>
      <c r="AA14" s="51">
        <v>240.6</v>
      </c>
      <c r="AB14" s="51">
        <v>248.1</v>
      </c>
      <c r="AC14" s="51">
        <v>260.39999999999998</v>
      </c>
      <c r="AD14" s="51">
        <v>273</v>
      </c>
      <c r="AE14" s="51">
        <v>257.8</v>
      </c>
      <c r="AF14" s="51">
        <v>265.2</v>
      </c>
      <c r="AG14" s="51">
        <v>278</v>
      </c>
      <c r="AH14" s="51">
        <v>287.89999999999998</v>
      </c>
      <c r="AI14" s="51">
        <v>289.8</v>
      </c>
      <c r="AJ14" s="51">
        <v>311.8</v>
      </c>
      <c r="AK14" s="51">
        <v>301.5</v>
      </c>
      <c r="AL14" s="51">
        <v>345.6</v>
      </c>
      <c r="AM14" s="51">
        <v>307.7</v>
      </c>
      <c r="AN14" s="51">
        <v>303</v>
      </c>
      <c r="AO14" s="51">
        <v>285.39999999999998</v>
      </c>
      <c r="AP14" s="51">
        <v>343</v>
      </c>
      <c r="AQ14" s="51">
        <v>311.89999999999998</v>
      </c>
      <c r="AR14" s="51">
        <v>327.5</v>
      </c>
      <c r="AS14" s="51">
        <v>307</v>
      </c>
      <c r="AT14" s="51">
        <v>369.5</v>
      </c>
      <c r="AU14" s="51">
        <v>316.2</v>
      </c>
      <c r="AV14" s="51">
        <v>352.4</v>
      </c>
      <c r="AW14" s="51">
        <v>335.9</v>
      </c>
      <c r="AX14" s="51">
        <v>395.6</v>
      </c>
      <c r="AY14" s="51">
        <v>315.7</v>
      </c>
      <c r="AZ14" s="51">
        <v>316.39999999999998</v>
      </c>
      <c r="BA14" s="51">
        <v>316.7</v>
      </c>
      <c r="BB14" s="51">
        <v>358.6</v>
      </c>
      <c r="BC14" s="51">
        <v>356.4</v>
      </c>
      <c r="BD14" s="51">
        <v>332.3</v>
      </c>
      <c r="BE14" s="51">
        <v>322</v>
      </c>
      <c r="BF14" s="51">
        <v>355.3</v>
      </c>
      <c r="BG14" s="51">
        <v>314.5</v>
      </c>
      <c r="BH14" s="51">
        <v>357.8</v>
      </c>
      <c r="BI14" s="51">
        <v>300.5</v>
      </c>
      <c r="BJ14" s="51">
        <v>362.6</v>
      </c>
      <c r="BK14" s="51">
        <v>325.89999999999998</v>
      </c>
      <c r="BL14" s="51">
        <v>346</v>
      </c>
      <c r="BM14" s="51">
        <v>322.10000000000002</v>
      </c>
      <c r="BN14" s="51">
        <v>337.4</v>
      </c>
      <c r="BO14" s="51">
        <v>297.7</v>
      </c>
      <c r="BP14" s="51">
        <v>322.60000000000002</v>
      </c>
      <c r="BQ14" s="51">
        <v>321.8</v>
      </c>
      <c r="BR14" s="51">
        <v>348</v>
      </c>
      <c r="BS14" s="51">
        <v>315.7</v>
      </c>
      <c r="BT14" s="51">
        <v>313.60000000000002</v>
      </c>
      <c r="BU14" s="51">
        <v>305.89999999999998</v>
      </c>
      <c r="BV14" s="51">
        <v>324.39999999999998</v>
      </c>
      <c r="BW14" s="51">
        <f>219+102.7</f>
        <v>321.7</v>
      </c>
      <c r="BX14" s="51">
        <v>315.3</v>
      </c>
      <c r="BY14" s="51">
        <v>286.7</v>
      </c>
      <c r="BZ14" s="51">
        <v>298.8</v>
      </c>
      <c r="CA14" s="51">
        <f>190.4+82.8</f>
        <v>273.2</v>
      </c>
      <c r="CB14" s="51">
        <v>274</v>
      </c>
      <c r="CC14" s="51">
        <v>238.2</v>
      </c>
      <c r="CD14" s="51">
        <v>234</v>
      </c>
      <c r="CE14" s="51">
        <v>252</v>
      </c>
      <c r="CF14" s="51">
        <v>205.3</v>
      </c>
      <c r="CG14" s="51">
        <v>206.7</v>
      </c>
      <c r="CH14" s="51">
        <f>852.1-CG14-CF14-CE14</f>
        <v>188.10000000000008</v>
      </c>
      <c r="CI14" s="51">
        <v>206.2</v>
      </c>
      <c r="CJ14" s="51">
        <v>223.6</v>
      </c>
      <c r="CK14" s="51"/>
      <c r="CL14" s="51"/>
      <c r="CM14" s="51"/>
      <c r="CN14" s="51"/>
      <c r="CO14" s="51"/>
      <c r="CP14" s="51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>
        <v>794</v>
      </c>
      <c r="DC14" s="49"/>
      <c r="DD14" s="49"/>
      <c r="DE14" s="49">
        <v>959.3</v>
      </c>
      <c r="DF14" s="49">
        <v>1090</v>
      </c>
      <c r="DG14" s="49">
        <v>1114.5</v>
      </c>
      <c r="DH14" s="51">
        <v>1060</v>
      </c>
      <c r="DI14" s="51">
        <v>1004</v>
      </c>
      <c r="DJ14" s="51">
        <v>1060</v>
      </c>
      <c r="DK14" s="51">
        <v>997</v>
      </c>
      <c r="DL14" s="51">
        <v>1005</v>
      </c>
      <c r="DM14" s="51">
        <v>905</v>
      </c>
      <c r="DN14" s="51">
        <f t="shared" ref="DN14" si="18">SUM(S14:V14)</f>
        <v>985.30000000000007</v>
      </c>
      <c r="DO14" s="51">
        <f t="shared" ref="DO14:DO39" si="19">SUM(W14:Z14)</f>
        <v>1063.0999999999999</v>
      </c>
      <c r="DP14" s="51">
        <f t="shared" ref="DP14:DP39" si="20">SUM(AA14:AD14)</f>
        <v>1022.0999999999999</v>
      </c>
      <c r="DQ14" s="51">
        <f t="shared" ref="DQ14:DQ39" si="21">SUM(AE14:AH14)</f>
        <v>1088.9000000000001</v>
      </c>
      <c r="DR14" s="51">
        <f t="shared" ref="DR14:DR40" si="22">SUM(AI14:AL14)</f>
        <v>1248.7</v>
      </c>
      <c r="DS14" s="51">
        <f>SUM(AM14:AP14)</f>
        <v>1239.0999999999999</v>
      </c>
      <c r="DT14" s="51">
        <v>1315.8</v>
      </c>
      <c r="DU14" s="51">
        <f>SUM(AU14:AX14)</f>
        <v>1400.1</v>
      </c>
      <c r="DV14" s="51">
        <f>SUM(AY14:BB14)</f>
        <v>1307.4000000000001</v>
      </c>
      <c r="DW14" s="51">
        <f>SUM(BC14:BF14)</f>
        <v>1366</v>
      </c>
      <c r="DX14" s="51">
        <f t="shared" si="13"/>
        <v>1335.4</v>
      </c>
      <c r="DY14" s="49">
        <f t="shared" si="14"/>
        <v>1331.4</v>
      </c>
      <c r="DZ14" s="49">
        <f t="shared" si="15"/>
        <v>1290.0999999999999</v>
      </c>
      <c r="EA14" s="49">
        <f t="shared" si="10"/>
        <v>1259.5999999999999</v>
      </c>
      <c r="EB14" s="49">
        <f t="shared" si="11"/>
        <v>1222.5</v>
      </c>
      <c r="EC14" s="49">
        <f t="shared" si="6"/>
        <v>1019.4000000000001</v>
      </c>
      <c r="ED14" s="49">
        <f t="shared" si="7"/>
        <v>852.10000000000014</v>
      </c>
      <c r="EE14" s="49">
        <f>SUM(Model!CI14:CL14)</f>
        <v>429.79999999999995</v>
      </c>
      <c r="EF14" s="49">
        <f t="shared" ref="EF14:EK14" si="23">+EE14*0.95</f>
        <v>408.30999999999995</v>
      </c>
      <c r="EG14" s="49">
        <f t="shared" si="23"/>
        <v>387.89449999999994</v>
      </c>
      <c r="EH14" s="49">
        <f t="shared" si="23"/>
        <v>368.49977499999994</v>
      </c>
      <c r="EI14" s="49">
        <f t="shared" si="23"/>
        <v>350.07478624999993</v>
      </c>
      <c r="EJ14" s="49">
        <f t="shared" si="23"/>
        <v>332.57104693749994</v>
      </c>
      <c r="EK14" s="49">
        <f t="shared" si="23"/>
        <v>315.9424945906249</v>
      </c>
    </row>
    <row r="15" spans="1:146" x14ac:dyDescent="0.2">
      <c r="A15" s="102"/>
      <c r="B15" s="38" t="s">
        <v>373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>
        <v>1.9</v>
      </c>
      <c r="BH15" s="52">
        <v>4.8</v>
      </c>
      <c r="BI15" s="52">
        <v>16.2</v>
      </c>
      <c r="BJ15" s="52">
        <v>23</v>
      </c>
      <c r="BK15" s="52">
        <v>32.200000000000003</v>
      </c>
      <c r="BL15" s="52">
        <v>44.7</v>
      </c>
      <c r="BM15" s="52">
        <v>55.6</v>
      </c>
      <c r="BN15" s="52">
        <v>70.099999999999994</v>
      </c>
      <c r="BO15" s="52">
        <v>82.1</v>
      </c>
      <c r="BP15" s="52">
        <v>102.4</v>
      </c>
      <c r="BQ15" s="52">
        <v>114.6</v>
      </c>
      <c r="BR15" s="52">
        <v>127.8</v>
      </c>
      <c r="BS15" s="52">
        <v>139.69999999999999</v>
      </c>
      <c r="BT15" s="52">
        <v>145</v>
      </c>
      <c r="BU15" s="52">
        <v>162</v>
      </c>
      <c r="BV15" s="52">
        <v>192.2</v>
      </c>
      <c r="BW15" s="52">
        <v>193.8</v>
      </c>
      <c r="BX15" s="52">
        <v>208.4</v>
      </c>
      <c r="BY15" s="52">
        <v>406.9</v>
      </c>
      <c r="BZ15" s="52">
        <v>306</v>
      </c>
      <c r="CA15" s="52">
        <v>255.6</v>
      </c>
      <c r="CB15" s="52">
        <v>186.2</v>
      </c>
      <c r="CC15" s="52">
        <v>182.9</v>
      </c>
      <c r="CD15" s="52">
        <v>205.8</v>
      </c>
      <c r="CE15" s="52">
        <v>228.9</v>
      </c>
      <c r="CF15" s="52">
        <v>218.9</v>
      </c>
      <c r="CG15" s="52">
        <v>231.4</v>
      </c>
      <c r="CH15" s="52">
        <v>243.5</v>
      </c>
      <c r="CI15" s="52">
        <v>217.4</v>
      </c>
      <c r="CJ15" s="52">
        <v>227.7</v>
      </c>
      <c r="CK15" s="52"/>
      <c r="CL15" s="52"/>
      <c r="CM15" s="52"/>
      <c r="CN15" s="52"/>
      <c r="CO15" s="52"/>
      <c r="CP15" s="52"/>
      <c r="CQ15" s="49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7"/>
      <c r="DI15" s="97"/>
      <c r="DJ15" s="97"/>
      <c r="DK15" s="97"/>
      <c r="DL15" s="97"/>
      <c r="DM15" s="97"/>
      <c r="DN15" s="97"/>
      <c r="DO15" s="97"/>
      <c r="DP15" s="97"/>
      <c r="DQ15" s="97"/>
      <c r="DR15" s="97"/>
      <c r="DS15" s="97"/>
      <c r="DT15" s="97"/>
      <c r="DU15" s="97"/>
      <c r="DV15" s="97"/>
      <c r="DW15" s="97"/>
      <c r="DX15" s="51">
        <f t="shared" si="13"/>
        <v>45.9</v>
      </c>
      <c r="DY15" s="49">
        <f t="shared" si="14"/>
        <v>202.6</v>
      </c>
      <c r="DZ15" s="49">
        <f t="shared" si="15"/>
        <v>426.90000000000003</v>
      </c>
      <c r="EA15" s="49">
        <f t="shared" si="10"/>
        <v>638.9</v>
      </c>
      <c r="EB15" s="49">
        <f t="shared" si="11"/>
        <v>1115.0999999999999</v>
      </c>
      <c r="EC15" s="49">
        <f t="shared" si="6"/>
        <v>830.5</v>
      </c>
      <c r="ED15" s="49">
        <f t="shared" si="7"/>
        <v>922.7</v>
      </c>
      <c r="EE15" s="49">
        <f>SUM(Model!CI15:CL15)</f>
        <v>445.1</v>
      </c>
      <c r="EF15" s="49">
        <f t="shared" ref="EF15:EJ15" si="24">+EE15*1.01</f>
        <v>449.55100000000004</v>
      </c>
      <c r="EG15" s="49">
        <f t="shared" si="24"/>
        <v>454.04651000000007</v>
      </c>
      <c r="EH15" s="49">
        <f t="shared" si="24"/>
        <v>458.58697510000007</v>
      </c>
      <c r="EI15" s="49">
        <f t="shared" si="24"/>
        <v>463.17284485100009</v>
      </c>
      <c r="EJ15" s="49">
        <f t="shared" si="24"/>
        <v>467.80457329951008</v>
      </c>
      <c r="EK15" s="49">
        <f>+EJ15*0.1</f>
        <v>46.780457329951012</v>
      </c>
    </row>
    <row r="16" spans="1:146" x14ac:dyDescent="0.2">
      <c r="A16" s="102"/>
      <c r="B16" s="38" t="s">
        <v>370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>
        <v>13.7</v>
      </c>
      <c r="AW16" s="51">
        <v>28.4</v>
      </c>
      <c r="AX16" s="51">
        <v>33.6</v>
      </c>
      <c r="AY16" s="51">
        <v>67.5</v>
      </c>
      <c r="AZ16" s="51">
        <v>87.7</v>
      </c>
      <c r="BA16" s="51">
        <v>111.2</v>
      </c>
      <c r="BB16" s="51">
        <v>117.5</v>
      </c>
      <c r="BC16" s="51">
        <v>131</v>
      </c>
      <c r="BD16" s="51">
        <v>147</v>
      </c>
      <c r="BE16" s="51">
        <v>159</v>
      </c>
      <c r="BF16" s="51">
        <v>177.1</v>
      </c>
      <c r="BG16" s="51">
        <v>171.2</v>
      </c>
      <c r="BH16" s="51">
        <v>186.3</v>
      </c>
      <c r="BI16" s="51">
        <v>196</v>
      </c>
      <c r="BJ16" s="51">
        <v>204.8</v>
      </c>
      <c r="BK16" s="51">
        <v>183.6</v>
      </c>
      <c r="BL16" s="51">
        <v>218.8</v>
      </c>
      <c r="BM16" s="51">
        <v>198.4</v>
      </c>
      <c r="BN16" s="51">
        <v>220.6</v>
      </c>
      <c r="BO16" s="51">
        <v>198.3</v>
      </c>
      <c r="BP16" s="51">
        <v>241.8</v>
      </c>
      <c r="BQ16" s="51">
        <v>240</v>
      </c>
      <c r="BR16" s="51">
        <v>245.1</v>
      </c>
      <c r="BS16" s="51">
        <v>239</v>
      </c>
      <c r="BT16" s="51">
        <v>256.7</v>
      </c>
      <c r="BU16" s="51">
        <v>252.7</v>
      </c>
      <c r="BV16" s="51">
        <v>284.2</v>
      </c>
      <c r="BW16" s="51">
        <v>240.5</v>
      </c>
      <c r="BX16" s="51">
        <v>268.7</v>
      </c>
      <c r="BY16" s="51">
        <v>253.4</v>
      </c>
      <c r="BZ16" s="51">
        <v>270.39999999999998</v>
      </c>
      <c r="CA16" s="51">
        <v>230.3</v>
      </c>
      <c r="CB16" s="51">
        <v>231.3</v>
      </c>
      <c r="CC16" s="51">
        <v>232.1</v>
      </c>
      <c r="CD16" s="51">
        <v>277.8</v>
      </c>
      <c r="CE16" s="51">
        <v>236.8</v>
      </c>
      <c r="CF16" s="51">
        <v>260.3</v>
      </c>
      <c r="CG16" s="51">
        <v>224.1</v>
      </c>
      <c r="CH16" s="51">
        <v>253.6</v>
      </c>
      <c r="CI16" s="51">
        <v>229.9</v>
      </c>
      <c r="CJ16" s="51">
        <v>248.9</v>
      </c>
      <c r="CK16" s="51"/>
      <c r="CL16" s="51"/>
      <c r="CM16" s="51"/>
      <c r="CN16" s="51"/>
      <c r="CO16" s="51"/>
      <c r="CP16" s="51"/>
      <c r="CQ16" s="49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7"/>
      <c r="DI16" s="97"/>
      <c r="DJ16" s="97"/>
      <c r="DK16" s="97"/>
      <c r="DL16" s="97"/>
      <c r="DM16" s="97"/>
      <c r="DN16" s="97"/>
      <c r="DO16" s="97"/>
      <c r="DP16" s="97"/>
      <c r="DQ16" s="97"/>
      <c r="DR16" s="97"/>
      <c r="DS16" s="97"/>
      <c r="DT16" s="97"/>
      <c r="DU16" s="51">
        <v>75.599999999999994</v>
      </c>
      <c r="DV16" s="51">
        <v>383.8</v>
      </c>
      <c r="DW16" s="51">
        <f>SUM(BC16:BF16)</f>
        <v>614.1</v>
      </c>
      <c r="DX16" s="51">
        <v>758.3</v>
      </c>
      <c r="DY16" s="49">
        <f t="shared" si="14"/>
        <v>821.4</v>
      </c>
      <c r="DZ16" s="49">
        <f t="shared" si="15"/>
        <v>925.2</v>
      </c>
      <c r="EA16" s="49">
        <f t="shared" si="10"/>
        <v>1032.5999999999999</v>
      </c>
      <c r="EB16" s="49">
        <f t="shared" si="11"/>
        <v>1033</v>
      </c>
      <c r="EC16" s="49">
        <f t="shared" si="6"/>
        <v>971.5</v>
      </c>
      <c r="ED16" s="49">
        <f t="shared" si="7"/>
        <v>974.80000000000007</v>
      </c>
      <c r="EE16" s="49">
        <f>SUM(Model!CI16:CL16)</f>
        <v>478.8</v>
      </c>
      <c r="EF16" s="49">
        <f t="shared" ref="EF16:EK16" si="25">+EE16*0.95</f>
        <v>454.86</v>
      </c>
      <c r="EG16" s="49">
        <f t="shared" si="25"/>
        <v>432.11700000000002</v>
      </c>
      <c r="EH16" s="49">
        <f t="shared" si="25"/>
        <v>410.51114999999999</v>
      </c>
      <c r="EI16" s="49">
        <f t="shared" si="25"/>
        <v>389.9855925</v>
      </c>
      <c r="EJ16" s="49">
        <f t="shared" si="25"/>
        <v>370.48631287499995</v>
      </c>
      <c r="EK16" s="49">
        <f t="shared" si="25"/>
        <v>351.96199723124994</v>
      </c>
    </row>
    <row r="17" spans="1:141" x14ac:dyDescent="0.2">
      <c r="A17" s="102"/>
      <c r="B17" t="s">
        <v>18</v>
      </c>
      <c r="C17" s="51">
        <v>21.5</v>
      </c>
      <c r="D17" s="51">
        <v>37.5</v>
      </c>
      <c r="E17" s="51">
        <v>50.2</v>
      </c>
      <c r="F17" s="51">
        <f>203.3-E17-D17-C17</f>
        <v>94.100000000000023</v>
      </c>
      <c r="G17" s="51">
        <v>108.3</v>
      </c>
      <c r="H17" s="51"/>
      <c r="I17" s="51">
        <v>154.1</v>
      </c>
      <c r="J17" s="51">
        <v>152.69999999999999</v>
      </c>
      <c r="K17" s="51">
        <v>150.1</v>
      </c>
      <c r="L17" s="51"/>
      <c r="M17" s="51"/>
      <c r="N17" s="51"/>
      <c r="O17" s="51"/>
      <c r="P17" s="51"/>
      <c r="Q17" s="51"/>
      <c r="R17" s="51">
        <v>268</v>
      </c>
      <c r="S17" s="51">
        <v>193.1</v>
      </c>
      <c r="T17" s="51">
        <v>293.10000000000002</v>
      </c>
      <c r="U17" s="51">
        <v>311</v>
      </c>
      <c r="V17" s="51">
        <v>346.2</v>
      </c>
      <c r="W17" s="51">
        <v>336.9</v>
      </c>
      <c r="X17" s="51">
        <v>362.2</v>
      </c>
      <c r="Y17" s="51">
        <v>376.6</v>
      </c>
      <c r="Z17" s="51">
        <v>368.8</v>
      </c>
      <c r="AA17" s="51">
        <v>358.8</v>
      </c>
      <c r="AB17" s="51">
        <v>363.6</v>
      </c>
      <c r="AC17" s="51">
        <v>397.2</v>
      </c>
      <c r="AD17" s="51">
        <v>439.5</v>
      </c>
      <c r="AE17" s="51">
        <v>408.3</v>
      </c>
      <c r="AF17" s="51">
        <v>418.7</v>
      </c>
      <c r="AG17" s="51">
        <v>406.5</v>
      </c>
      <c r="AH17" s="51">
        <v>465.9</v>
      </c>
      <c r="AI17" s="51">
        <v>434.4</v>
      </c>
      <c r="AJ17" s="51">
        <v>477.2</v>
      </c>
      <c r="AK17" s="51">
        <v>469.8</v>
      </c>
      <c r="AL17" s="51">
        <v>494.2</v>
      </c>
      <c r="AM17" s="51">
        <v>461.8</v>
      </c>
      <c r="AN17" s="51">
        <v>469.5</v>
      </c>
      <c r="AO17" s="51">
        <v>482.1</v>
      </c>
      <c r="AP17" s="51">
        <v>513.4</v>
      </c>
      <c r="AQ17" s="51">
        <v>515</v>
      </c>
      <c r="AR17" s="51">
        <v>529.4</v>
      </c>
      <c r="AS17" s="51">
        <v>526.70000000000005</v>
      </c>
      <c r="AT17" s="51">
        <v>588.29999999999995</v>
      </c>
      <c r="AU17" s="51">
        <v>532.4</v>
      </c>
      <c r="AV17" s="51">
        <v>567.79999999999995</v>
      </c>
      <c r="AW17" s="51">
        <v>568.4</v>
      </c>
      <c r="AX17" s="51">
        <v>622.4</v>
      </c>
      <c r="AY17" s="51">
        <v>538.29999999999995</v>
      </c>
      <c r="AZ17" s="51">
        <v>567.9</v>
      </c>
      <c r="BA17" s="51">
        <v>566.1</v>
      </c>
      <c r="BB17" s="51">
        <v>638.4</v>
      </c>
      <c r="BC17" s="51">
        <v>576.70000000000005</v>
      </c>
      <c r="BD17" s="51">
        <v>630.5</v>
      </c>
      <c r="BE17" s="51">
        <v>588.20000000000005</v>
      </c>
      <c r="BF17" s="51">
        <v>676.3</v>
      </c>
      <c r="BG17" s="51">
        <v>533.6</v>
      </c>
      <c r="BH17" s="51">
        <v>627.29999999999995</v>
      </c>
      <c r="BI17" s="51">
        <v>564.9</v>
      </c>
      <c r="BJ17" s="51">
        <v>597.4</v>
      </c>
      <c r="BK17" s="51">
        <v>495.4</v>
      </c>
      <c r="BL17" s="51">
        <v>538.70000000000005</v>
      </c>
      <c r="BM17" s="51">
        <v>467.1</v>
      </c>
      <c r="BN17" s="51">
        <v>350.7</v>
      </c>
      <c r="BO17" s="51">
        <v>308.2</v>
      </c>
      <c r="BP17" s="51">
        <v>200.2</v>
      </c>
      <c r="BQ17" s="51">
        <v>184.3</v>
      </c>
      <c r="BR17" s="51">
        <f>890.5-BQ17-BP17-BO17</f>
        <v>197.80000000000007</v>
      </c>
      <c r="BS17" s="51">
        <v>193</v>
      </c>
      <c r="BT17" s="51">
        <v>130.69999999999999</v>
      </c>
      <c r="BU17" s="52">
        <v>162.5</v>
      </c>
      <c r="BV17" s="51">
        <f>607.1-BU17-BT17-BS17</f>
        <v>120.90000000000003</v>
      </c>
      <c r="BW17" s="51">
        <v>126.8</v>
      </c>
      <c r="BX17" s="51">
        <v>281</v>
      </c>
      <c r="BY17" s="51">
        <v>130.9</v>
      </c>
      <c r="BZ17" s="51">
        <f>718.4-BY17-BX17-BW17</f>
        <v>179.7</v>
      </c>
      <c r="CA17" s="51">
        <v>217.7</v>
      </c>
      <c r="CB17" s="51">
        <v>147</v>
      </c>
      <c r="CC17" s="51">
        <v>115.7</v>
      </c>
      <c r="CD17" s="51">
        <f>587.3-CC17-CB17-CA17</f>
        <v>106.89999999999998</v>
      </c>
      <c r="CE17" s="51">
        <v>100.3</v>
      </c>
      <c r="CF17" s="51">
        <v>115.6</v>
      </c>
      <c r="CG17" s="51">
        <v>86.8</v>
      </c>
      <c r="CH17" s="51">
        <f>381.5-CG17-CF17-CE17</f>
        <v>78.8</v>
      </c>
      <c r="CI17" s="51">
        <v>139.30000000000001</v>
      </c>
      <c r="CJ17" s="51">
        <v>87.7</v>
      </c>
      <c r="CK17" s="51"/>
      <c r="CL17" s="51"/>
      <c r="CM17" s="51"/>
      <c r="CN17" s="51"/>
      <c r="CO17" s="51"/>
      <c r="CP17" s="51"/>
      <c r="CQ17" s="49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7"/>
      <c r="DI17" s="97"/>
      <c r="DJ17" s="51">
        <v>74</v>
      </c>
      <c r="DK17" s="51">
        <v>130</v>
      </c>
      <c r="DL17" s="51">
        <v>170</v>
      </c>
      <c r="DM17" s="51">
        <v>212</v>
      </c>
      <c r="DN17" s="51">
        <f>SUM(S17:V17)</f>
        <v>1143.4000000000001</v>
      </c>
      <c r="DO17" s="51">
        <f>SUM(W17:Z17)</f>
        <v>1444.4999999999998</v>
      </c>
      <c r="DP17" s="51">
        <f>SUM(AA17:AD17)</f>
        <v>1559.1000000000001</v>
      </c>
      <c r="DQ17" s="51">
        <f>SUM(AE17:AH17)</f>
        <v>1699.4</v>
      </c>
      <c r="DR17" s="51">
        <f>SUM(AI17:AL17)</f>
        <v>1875.6</v>
      </c>
      <c r="DS17" s="51">
        <f>SUM(AM17:AP17)</f>
        <v>1926.8000000000002</v>
      </c>
      <c r="DT17" s="51">
        <v>2159.4</v>
      </c>
      <c r="DU17" s="51">
        <v>2291</v>
      </c>
      <c r="DV17" s="51">
        <v>2310.6999999999998</v>
      </c>
      <c r="DW17" s="51">
        <f>SUM(BC17:BF17)</f>
        <v>2471.6999999999998</v>
      </c>
      <c r="DX17" s="51">
        <v>2323.1</v>
      </c>
      <c r="DY17" s="49">
        <f t="shared" si="14"/>
        <v>1851.8999999999999</v>
      </c>
      <c r="DZ17" s="49">
        <f t="shared" si="15"/>
        <v>890.50000000000011</v>
      </c>
      <c r="EA17" s="49">
        <f t="shared" si="10"/>
        <v>607.1</v>
      </c>
      <c r="EB17" s="49">
        <f t="shared" si="11"/>
        <v>718.40000000000009</v>
      </c>
      <c r="EC17" s="49">
        <f t="shared" si="6"/>
        <v>587.29999999999995</v>
      </c>
      <c r="ED17" s="49">
        <f t="shared" si="7"/>
        <v>381.5</v>
      </c>
      <c r="EE17" s="49">
        <f>SUM(Model!CI17:CL17)</f>
        <v>227</v>
      </c>
      <c r="EF17" s="49">
        <f t="shared" ref="EF17:EK18" si="26">+EE17*0.9</f>
        <v>204.3</v>
      </c>
      <c r="EG17" s="49">
        <f t="shared" si="26"/>
        <v>183.87</v>
      </c>
      <c r="EH17" s="49">
        <f t="shared" si="26"/>
        <v>165.483</v>
      </c>
      <c r="EI17" s="49">
        <f t="shared" si="26"/>
        <v>148.93470000000002</v>
      </c>
      <c r="EJ17" s="49">
        <f t="shared" si="26"/>
        <v>134.04123000000001</v>
      </c>
      <c r="EK17" s="49">
        <f t="shared" si="26"/>
        <v>120.63710700000001</v>
      </c>
    </row>
    <row r="18" spans="1:141" x14ac:dyDescent="0.2">
      <c r="A18" s="102"/>
      <c r="B18" s="38" t="s">
        <v>366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>
        <v>3.8</v>
      </c>
      <c r="BB18" s="51">
        <v>7.3</v>
      </c>
      <c r="BC18" s="51">
        <v>10.9</v>
      </c>
      <c r="BD18" s="51">
        <v>16.3</v>
      </c>
      <c r="BE18" s="51">
        <v>19.399999999999999</v>
      </c>
      <c r="BF18" s="51">
        <v>39.5</v>
      </c>
      <c r="BG18" s="51">
        <v>46</v>
      </c>
      <c r="BH18" s="51">
        <v>86.6</v>
      </c>
      <c r="BI18" s="51">
        <v>145.69999999999999</v>
      </c>
      <c r="BJ18" s="51">
        <v>153.80000000000001</v>
      </c>
      <c r="BK18" s="51">
        <v>166</v>
      </c>
      <c r="BL18" s="51">
        <v>201.8</v>
      </c>
      <c r="BM18" s="51">
        <v>201.2</v>
      </c>
      <c r="BN18" s="51">
        <v>232.2</v>
      </c>
      <c r="BO18" s="51">
        <v>251.4</v>
      </c>
      <c r="BP18" s="51">
        <v>290.7</v>
      </c>
      <c r="BQ18" s="51">
        <v>263.2</v>
      </c>
      <c r="BR18" s="51">
        <v>307.2</v>
      </c>
      <c r="BS18" s="51">
        <v>303.7</v>
      </c>
      <c r="BT18" s="51">
        <v>290.39999999999998</v>
      </c>
      <c r="BU18" s="51">
        <v>248.2</v>
      </c>
      <c r="BV18" s="51">
        <v>282.10000000000002</v>
      </c>
      <c r="BW18" s="51">
        <v>246.6</v>
      </c>
      <c r="BX18" s="51">
        <v>210.7</v>
      </c>
      <c r="BY18" s="51">
        <v>192.8</v>
      </c>
      <c r="BZ18" s="51">
        <v>242.4</v>
      </c>
      <c r="CA18" s="51">
        <v>191.5</v>
      </c>
      <c r="CB18" s="51">
        <v>174.2</v>
      </c>
      <c r="CC18" s="51">
        <v>193</v>
      </c>
      <c r="CD18" s="51">
        <v>201.7</v>
      </c>
      <c r="CE18" s="51">
        <v>209.3</v>
      </c>
      <c r="CF18" s="51">
        <v>154.19999999999999</v>
      </c>
      <c r="CG18" s="51">
        <v>179.6</v>
      </c>
      <c r="CH18" s="51">
        <f>728.3-CG18-CF18-CE18</f>
        <v>185.19999999999993</v>
      </c>
      <c r="CI18" s="51">
        <v>157.6</v>
      </c>
      <c r="CJ18" s="51">
        <v>180.8</v>
      </c>
      <c r="CK18" s="51"/>
      <c r="CL18" s="51"/>
      <c r="CM18" s="51"/>
      <c r="CN18" s="51"/>
      <c r="CO18" s="51"/>
      <c r="CP18" s="51"/>
      <c r="CQ18" s="49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7"/>
      <c r="DI18" s="97"/>
      <c r="DJ18" s="97"/>
      <c r="DK18" s="97"/>
      <c r="DL18" s="97"/>
      <c r="DM18" s="97"/>
      <c r="DN18" s="97"/>
      <c r="DO18" s="97"/>
      <c r="DP18" s="97"/>
      <c r="DQ18" s="97"/>
      <c r="DR18" s="97"/>
      <c r="DS18" s="97"/>
      <c r="DT18" s="97"/>
      <c r="DU18" s="97"/>
      <c r="DV18" s="51">
        <f>SUM(AY18:BB18)</f>
        <v>11.1</v>
      </c>
      <c r="DW18" s="51">
        <f>SUM(BC18:BF18)</f>
        <v>86.1</v>
      </c>
      <c r="DX18" s="51">
        <v>432.1</v>
      </c>
      <c r="DY18" s="49">
        <f t="shared" si="14"/>
        <v>801.2</v>
      </c>
      <c r="DZ18" s="49">
        <f t="shared" si="15"/>
        <v>1112.5</v>
      </c>
      <c r="EA18" s="49">
        <f t="shared" si="10"/>
        <v>1124.4000000000001</v>
      </c>
      <c r="EB18" s="49">
        <f t="shared" si="11"/>
        <v>892.49999999999989</v>
      </c>
      <c r="EC18" s="49">
        <f t="shared" si="6"/>
        <v>760.40000000000009</v>
      </c>
      <c r="ED18" s="49">
        <f t="shared" si="7"/>
        <v>728.3</v>
      </c>
      <c r="EE18" s="49">
        <f>SUM(Model!CI18:CL18)</f>
        <v>338.4</v>
      </c>
      <c r="EF18" s="49">
        <f t="shared" si="26"/>
        <v>304.56</v>
      </c>
      <c r="EG18" s="49">
        <f t="shared" si="26"/>
        <v>274.10399999999998</v>
      </c>
      <c r="EH18" s="49">
        <f t="shared" si="26"/>
        <v>246.6936</v>
      </c>
      <c r="EI18" s="49">
        <f t="shared" si="26"/>
        <v>222.02424000000002</v>
      </c>
      <c r="EJ18" s="49">
        <f t="shared" si="26"/>
        <v>199.82181600000001</v>
      </c>
      <c r="EK18" s="49">
        <f t="shared" si="26"/>
        <v>179.83963440000002</v>
      </c>
    </row>
    <row r="19" spans="1:141" x14ac:dyDescent="0.2">
      <c r="A19" s="102"/>
      <c r="B19" s="38" t="s">
        <v>375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>
        <v>0</v>
      </c>
      <c r="BL19" s="52">
        <v>0</v>
      </c>
      <c r="BM19" s="52">
        <v>0</v>
      </c>
      <c r="BN19" s="52">
        <v>4.9000000000000004</v>
      </c>
      <c r="BO19" s="52">
        <v>14.2</v>
      </c>
      <c r="BP19" s="52">
        <v>34.299999999999997</v>
      </c>
      <c r="BQ19" s="52">
        <v>47.7</v>
      </c>
      <c r="BR19" s="52">
        <v>66.3</v>
      </c>
      <c r="BS19" s="52">
        <v>74</v>
      </c>
      <c r="BT19" s="52">
        <v>87.4</v>
      </c>
      <c r="BU19" s="52">
        <v>91.5</v>
      </c>
      <c r="BV19" s="52">
        <v>109.9</v>
      </c>
      <c r="BW19" s="52">
        <v>119.5</v>
      </c>
      <c r="BX19" s="52">
        <v>156.30000000000001</v>
      </c>
      <c r="BY19" s="52">
        <v>140</v>
      </c>
      <c r="BZ19" s="52">
        <v>161.5</v>
      </c>
      <c r="CA19" s="52">
        <v>149.30000000000001</v>
      </c>
      <c r="CB19" s="52">
        <v>157.5</v>
      </c>
      <c r="CC19" s="52">
        <v>168.5</v>
      </c>
      <c r="CD19" s="52">
        <v>175.6</v>
      </c>
      <c r="CE19" s="52">
        <v>154.30000000000001</v>
      </c>
      <c r="CF19" s="52">
        <v>169.3</v>
      </c>
      <c r="CG19" s="52">
        <v>168.5</v>
      </c>
      <c r="CH19" s="52">
        <v>186.1</v>
      </c>
      <c r="CI19" s="52">
        <v>225.7</v>
      </c>
      <c r="CJ19" s="52">
        <v>192</v>
      </c>
      <c r="CK19" s="52"/>
      <c r="CL19" s="52"/>
      <c r="CM19" s="52"/>
      <c r="CN19" s="52"/>
      <c r="CO19" s="52"/>
      <c r="CP19" s="52"/>
      <c r="CQ19" s="49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7"/>
      <c r="DI19" s="97"/>
      <c r="DJ19" s="97"/>
      <c r="DK19" s="97"/>
      <c r="DL19" s="97"/>
      <c r="DM19" s="97"/>
      <c r="DN19" s="97"/>
      <c r="DO19" s="97"/>
      <c r="DP19" s="97"/>
      <c r="DQ19" s="97"/>
      <c r="DR19" s="97"/>
      <c r="DS19" s="97"/>
      <c r="DT19" s="97"/>
      <c r="DU19" s="97"/>
      <c r="DV19" s="97"/>
      <c r="DW19" s="97"/>
      <c r="DX19" s="51">
        <v>0</v>
      </c>
      <c r="DY19" s="49">
        <f t="shared" si="14"/>
        <v>4.9000000000000004</v>
      </c>
      <c r="DZ19" s="49">
        <f t="shared" si="15"/>
        <v>162.5</v>
      </c>
      <c r="EA19" s="49">
        <f t="shared" si="10"/>
        <v>362.8</v>
      </c>
      <c r="EB19" s="49">
        <f t="shared" si="11"/>
        <v>577.29999999999995</v>
      </c>
      <c r="EC19" s="49">
        <f t="shared" si="6"/>
        <v>650.9</v>
      </c>
      <c r="ED19" s="49">
        <f t="shared" si="7"/>
        <v>678.2</v>
      </c>
      <c r="EE19" s="49">
        <f>SUM(Model!CI19:CL19)</f>
        <v>417.7</v>
      </c>
      <c r="EF19" s="49">
        <f t="shared" ref="EF19:EK19" si="27">+EE19*1.01</f>
        <v>421.87700000000001</v>
      </c>
      <c r="EG19" s="49">
        <f t="shared" si="27"/>
        <v>426.09577000000002</v>
      </c>
      <c r="EH19" s="49">
        <f t="shared" si="27"/>
        <v>430.35672770000002</v>
      </c>
      <c r="EI19" s="49">
        <f t="shared" si="27"/>
        <v>434.66029497700004</v>
      </c>
      <c r="EJ19" s="49">
        <f t="shared" si="27"/>
        <v>439.00689792677002</v>
      </c>
      <c r="EK19" s="49">
        <f t="shared" si="27"/>
        <v>443.39696690603773</v>
      </c>
    </row>
    <row r="20" spans="1:141" x14ac:dyDescent="0.2">
      <c r="A20" s="102"/>
      <c r="B20" s="38" t="s">
        <v>367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>
        <v>131.5</v>
      </c>
      <c r="BL20" s="51">
        <v>134.1</v>
      </c>
      <c r="BM20" s="51">
        <v>140.4</v>
      </c>
      <c r="BN20" s="51"/>
      <c r="BO20" s="51">
        <v>122.1</v>
      </c>
      <c r="BP20" s="51">
        <v>141.19999999999999</v>
      </c>
      <c r="BQ20" s="51">
        <v>132.1</v>
      </c>
      <c r="BR20" s="51">
        <f>293.7+230.1-BQ20-BP20-BO20-BQ31</f>
        <v>122.19999999999995</v>
      </c>
      <c r="BS20" s="51">
        <v>17.8</v>
      </c>
      <c r="BT20" s="51">
        <v>15</v>
      </c>
      <c r="BU20" s="51">
        <v>17.2</v>
      </c>
      <c r="BV20" s="51">
        <v>20</v>
      </c>
      <c r="BW20" s="51">
        <v>20.6</v>
      </c>
      <c r="BX20" s="51">
        <v>25.4</v>
      </c>
      <c r="BY20" s="51">
        <v>39</v>
      </c>
      <c r="BZ20" s="51">
        <v>36.6</v>
      </c>
      <c r="CA20" s="51">
        <f>144.6-CA31</f>
        <v>144.6</v>
      </c>
      <c r="CB20" s="51">
        <f>170-CB31-CB6</f>
        <v>154</v>
      </c>
      <c r="CC20" s="51">
        <f>173.4-CC31</f>
        <v>130.4</v>
      </c>
      <c r="CD20" s="51">
        <f>268.4+367.8-CC20-CB20-CA20-CD31-CC31</f>
        <v>121.20000000000007</v>
      </c>
      <c r="CE20" s="51">
        <f>145.1-CE31</f>
        <v>94.5</v>
      </c>
      <c r="CF20" s="51">
        <v>136.6</v>
      </c>
      <c r="CG20" s="51">
        <v>141.9</v>
      </c>
      <c r="CH20" s="51">
        <f>175+355.2-CG20-CF20-CE20</f>
        <v>157.20000000000007</v>
      </c>
      <c r="CI20" s="51">
        <v>123.8</v>
      </c>
      <c r="CJ20" s="51">
        <v>117</v>
      </c>
      <c r="CK20" s="51"/>
      <c r="CL20" s="51"/>
      <c r="CM20" s="95"/>
      <c r="CN20" s="51"/>
      <c r="CO20" s="51"/>
      <c r="CP20" s="51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>
        <v>0</v>
      </c>
      <c r="DU20" s="51">
        <v>0</v>
      </c>
      <c r="DV20" s="51">
        <v>0</v>
      </c>
      <c r="DW20" s="51">
        <v>0</v>
      </c>
      <c r="DX20" s="51">
        <f>380.9+307.7</f>
        <v>688.59999999999991</v>
      </c>
      <c r="DY20" s="49">
        <f>292.7+272.5</f>
        <v>565.20000000000005</v>
      </c>
      <c r="DZ20" s="49">
        <f t="shared" si="15"/>
        <v>517.59999999999991</v>
      </c>
      <c r="EA20" s="49">
        <f t="shared" si="10"/>
        <v>70</v>
      </c>
      <c r="EB20" s="49">
        <f t="shared" si="11"/>
        <v>121.6</v>
      </c>
      <c r="EC20" s="49">
        <f t="shared" si="6"/>
        <v>550.20000000000005</v>
      </c>
      <c r="ED20" s="49">
        <f t="shared" si="7"/>
        <v>530.20000000000005</v>
      </c>
      <c r="EE20" s="49">
        <f>SUM(Model!CI20:CL20)</f>
        <v>240.8</v>
      </c>
      <c r="EF20" s="49">
        <f t="shared" ref="EF20:EK20" si="28">+EE20*0.9</f>
        <v>216.72000000000003</v>
      </c>
      <c r="EG20" s="49">
        <f t="shared" si="28"/>
        <v>195.04800000000003</v>
      </c>
      <c r="EH20" s="49">
        <f t="shared" si="28"/>
        <v>175.54320000000004</v>
      </c>
      <c r="EI20" s="49">
        <f t="shared" si="28"/>
        <v>157.98888000000005</v>
      </c>
      <c r="EJ20" s="49">
        <f t="shared" si="28"/>
        <v>142.18999200000005</v>
      </c>
      <c r="EK20" s="49">
        <f t="shared" si="28"/>
        <v>127.97099280000005</v>
      </c>
    </row>
    <row r="21" spans="1:141" x14ac:dyDescent="0.2">
      <c r="A21" s="102"/>
      <c r="B21" s="38" t="s">
        <v>256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>
        <v>99.7</v>
      </c>
      <c r="AC21" s="51">
        <v>101.9</v>
      </c>
      <c r="AD21" s="51">
        <v>95</v>
      </c>
      <c r="AE21" s="51">
        <v>92.4</v>
      </c>
      <c r="AF21" s="51">
        <v>103.8</v>
      </c>
      <c r="AG21" s="51">
        <v>95.4</v>
      </c>
      <c r="AH21" s="51">
        <v>94.5</v>
      </c>
      <c r="AI21" s="51">
        <v>104</v>
      </c>
      <c r="AJ21" s="51">
        <v>100.1</v>
      </c>
      <c r="AK21" s="51">
        <v>97.2</v>
      </c>
      <c r="AL21" s="51">
        <v>107.9</v>
      </c>
      <c r="AM21" s="51">
        <v>113.3</v>
      </c>
      <c r="AN21" s="51">
        <v>110</v>
      </c>
      <c r="AO21" s="51">
        <v>86.6</v>
      </c>
      <c r="AP21" s="52"/>
      <c r="AQ21" s="52"/>
      <c r="AR21" s="52"/>
      <c r="AS21" s="52"/>
      <c r="AT21" s="52"/>
      <c r="AU21" s="52"/>
      <c r="AV21" s="52"/>
      <c r="AW21" s="52"/>
      <c r="AX21" s="52">
        <v>96</v>
      </c>
      <c r="AY21" s="52">
        <v>88.2</v>
      </c>
      <c r="AZ21" s="52">
        <v>134.6</v>
      </c>
      <c r="BA21" s="52">
        <v>85.9</v>
      </c>
      <c r="BB21" s="52">
        <v>176.2</v>
      </c>
      <c r="BC21" s="52">
        <v>168.1</v>
      </c>
      <c r="BD21" s="52">
        <v>180.6</v>
      </c>
      <c r="BE21" s="52">
        <v>184.6</v>
      </c>
      <c r="BF21" s="52">
        <v>153.69999999999999</v>
      </c>
      <c r="BG21" s="52">
        <v>154.4</v>
      </c>
      <c r="BH21" s="52">
        <v>159.1</v>
      </c>
      <c r="BI21" s="52">
        <v>163.5</v>
      </c>
      <c r="BJ21" s="52">
        <v>168.9</v>
      </c>
      <c r="BK21" s="52">
        <v>149.6</v>
      </c>
      <c r="BL21" s="52">
        <v>166.4</v>
      </c>
      <c r="BM21" s="52">
        <v>159.5</v>
      </c>
      <c r="BN21" s="52">
        <v>159.80000000000001</v>
      </c>
      <c r="BO21" s="52">
        <v>118.4</v>
      </c>
      <c r="BP21" s="52">
        <v>159.30000000000001</v>
      </c>
      <c r="BQ21" s="52">
        <v>128.6</v>
      </c>
      <c r="BR21" s="52">
        <f>543.4-BQ21-BP21-BO21</f>
        <v>137.09999999999994</v>
      </c>
      <c r="BS21" s="52">
        <v>130.80000000000001</v>
      </c>
      <c r="BT21" s="52">
        <v>129.5</v>
      </c>
      <c r="BU21" s="52">
        <v>136.4</v>
      </c>
      <c r="BV21" s="52">
        <f>480.1+56.3-BU21-BT21-BS21</f>
        <v>139.69999999999999</v>
      </c>
      <c r="BW21" s="52">
        <v>122.4</v>
      </c>
      <c r="BX21" s="52">
        <v>147</v>
      </c>
      <c r="BY21" s="52">
        <v>134.30000000000001</v>
      </c>
      <c r="BZ21" s="52">
        <f>548.3-BY21-BX21-BW21</f>
        <v>144.59999999999994</v>
      </c>
      <c r="CA21" s="52">
        <v>122.7</v>
      </c>
      <c r="CB21" s="52">
        <v>140.80000000000001</v>
      </c>
      <c r="CC21" s="52">
        <v>144.9</v>
      </c>
      <c r="CD21" s="52">
        <f>566.5-CC21-CB21-CA21</f>
        <v>158.10000000000002</v>
      </c>
      <c r="CE21" s="52">
        <v>129.9</v>
      </c>
      <c r="CF21" s="52">
        <v>162.5</v>
      </c>
      <c r="CG21" s="52">
        <v>153.9</v>
      </c>
      <c r="CH21" s="52">
        <f>596.5-CG21-CF21-CE21</f>
        <v>150.20000000000002</v>
      </c>
      <c r="CI21" s="52">
        <v>144.6</v>
      </c>
      <c r="CJ21" s="52">
        <v>155.80000000000001</v>
      </c>
      <c r="CK21" s="52"/>
      <c r="CL21" s="52"/>
      <c r="CM21" s="52"/>
      <c r="CN21" s="52"/>
      <c r="CO21" s="52"/>
      <c r="CP21" s="52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51"/>
      <c r="DI21" s="51"/>
      <c r="DJ21" s="51"/>
      <c r="DK21" s="51"/>
      <c r="DL21" s="51"/>
      <c r="DM21" s="51"/>
      <c r="DN21" s="51"/>
      <c r="DO21" s="51"/>
      <c r="DP21" s="51">
        <f>SUM(AA21:AD21)</f>
        <v>296.60000000000002</v>
      </c>
      <c r="DQ21" s="51">
        <f>SUM(AE21:AH21)</f>
        <v>386.1</v>
      </c>
      <c r="DR21" s="51">
        <f>SUM(AI21:AL21)</f>
        <v>409.20000000000005</v>
      </c>
      <c r="DS21" s="51">
        <f>SUM(AM21:AP21)</f>
        <v>309.89999999999998</v>
      </c>
      <c r="DT21" s="51">
        <v>373.7</v>
      </c>
      <c r="DU21" s="51">
        <v>373.3</v>
      </c>
      <c r="DV21" s="51">
        <v>485</v>
      </c>
      <c r="DW21" s="51">
        <v>687</v>
      </c>
      <c r="DX21" s="51">
        <v>645.9</v>
      </c>
      <c r="DY21" s="49">
        <f>SUM(BK21:BN21)</f>
        <v>635.29999999999995</v>
      </c>
      <c r="DZ21" s="49">
        <f t="shared" si="15"/>
        <v>543.4</v>
      </c>
      <c r="EA21" s="49">
        <f t="shared" si="10"/>
        <v>536.40000000000009</v>
      </c>
      <c r="EB21" s="49">
        <f t="shared" si="11"/>
        <v>548.29999999999995</v>
      </c>
      <c r="EC21" s="49">
        <f t="shared" si="6"/>
        <v>566.5</v>
      </c>
      <c r="ED21" s="49">
        <f t="shared" si="7"/>
        <v>596.5</v>
      </c>
      <c r="EE21" s="49">
        <f>SUM(Model!CI21:CL21)</f>
        <v>300.39999999999998</v>
      </c>
      <c r="EF21" s="49">
        <f t="shared" ref="EF21:EK21" si="29">+EE21*0.9</f>
        <v>270.36</v>
      </c>
      <c r="EG21" s="49">
        <f t="shared" si="29"/>
        <v>243.32400000000001</v>
      </c>
      <c r="EH21" s="49">
        <f t="shared" si="29"/>
        <v>218.99160000000001</v>
      </c>
      <c r="EI21" s="49">
        <f t="shared" si="29"/>
        <v>197.09244000000001</v>
      </c>
      <c r="EJ21" s="49">
        <f t="shared" si="29"/>
        <v>177.38319600000003</v>
      </c>
      <c r="EK21" s="49">
        <f t="shared" si="29"/>
        <v>159.64487640000002</v>
      </c>
    </row>
    <row r="22" spans="1:141" x14ac:dyDescent="0.2">
      <c r="A22" s="102"/>
      <c r="B22" t="s">
        <v>77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>
        <f>94.1-BK38</f>
        <v>29.699999999999989</v>
      </c>
      <c r="BL22" s="51">
        <v>111.3</v>
      </c>
      <c r="BM22" s="51">
        <v>101.3</v>
      </c>
      <c r="BN22" s="51"/>
      <c r="BO22" s="52">
        <f>87.4-BO26</f>
        <v>77.5</v>
      </c>
      <c r="BP22" s="51">
        <f>84.4-BP26</f>
        <v>44.300000000000004</v>
      </c>
      <c r="BQ22" s="51">
        <f>113.4-BQ26-BQ31</f>
        <v>60.600000000000009</v>
      </c>
      <c r="BR22" s="51">
        <f>111+339.3-BQ22-BP22-BO22-BO26-BP26-BQ26-BR26</f>
        <v>133.9</v>
      </c>
      <c r="BS22" s="51">
        <v>26.2</v>
      </c>
      <c r="BT22" s="51">
        <v>64.3</v>
      </c>
      <c r="BU22" s="51">
        <v>35.9</v>
      </c>
      <c r="BV22" s="51">
        <v>36.200000000000003</v>
      </c>
      <c r="BW22" s="51">
        <v>54.8</v>
      </c>
      <c r="BX22" s="51">
        <v>55.7</v>
      </c>
      <c r="BY22" s="51">
        <v>66.7</v>
      </c>
      <c r="BZ22" s="51">
        <v>38.5</v>
      </c>
      <c r="CA22" s="51">
        <f>101.2-CA30</f>
        <v>59.400000000000006</v>
      </c>
      <c r="CB22" s="51">
        <f>106.8-CB30</f>
        <v>61.8</v>
      </c>
      <c r="CC22" s="51">
        <f>102.4-CC30</f>
        <v>61.900000000000006</v>
      </c>
      <c r="CD22" s="51">
        <f>423.8-CC22-CB22-CA22-CD30-CC30-CB30-CA30</f>
        <v>48.799999999999969</v>
      </c>
      <c r="CE22" s="51">
        <f>180.2-CE30-CE26</f>
        <v>67.799999999999983</v>
      </c>
      <c r="CF22" s="51">
        <f>260.5-CF30-CF26</f>
        <v>91.5</v>
      </c>
      <c r="CG22" s="51">
        <f>275.4-CG30-CG26</f>
        <v>96.899999999999977</v>
      </c>
      <c r="CH22" s="51">
        <v>103</v>
      </c>
      <c r="CI22" s="51">
        <v>268.5</v>
      </c>
      <c r="CJ22" s="51">
        <v>299.10000000000002</v>
      </c>
      <c r="CK22" s="51"/>
      <c r="CL22" s="51"/>
      <c r="CM22" s="51"/>
      <c r="CN22" s="51"/>
      <c r="CO22" s="51"/>
      <c r="CP22" s="51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51"/>
      <c r="DI22" s="51">
        <v>19</v>
      </c>
      <c r="DJ22" s="51">
        <v>19</v>
      </c>
      <c r="DK22" s="51">
        <v>9</v>
      </c>
      <c r="DL22" s="51">
        <v>3</v>
      </c>
      <c r="DM22" s="51"/>
      <c r="DN22" s="51"/>
      <c r="DO22" s="51"/>
      <c r="DP22" s="51"/>
      <c r="DQ22" s="51"/>
      <c r="DR22" s="51"/>
      <c r="DX22" s="51">
        <f>174.6+149.6</f>
        <v>324.2</v>
      </c>
      <c r="DY22" s="49">
        <f>215.1+200.6</f>
        <v>415.7</v>
      </c>
      <c r="DZ22" s="49">
        <f t="shared" si="15"/>
        <v>316.30000000000007</v>
      </c>
      <c r="EA22" s="49">
        <f t="shared" si="10"/>
        <v>162.60000000000002</v>
      </c>
      <c r="EB22" s="49">
        <f t="shared" si="11"/>
        <v>215.7</v>
      </c>
      <c r="EC22" s="49">
        <f t="shared" si="6"/>
        <v>231.89999999999998</v>
      </c>
      <c r="ED22" s="49">
        <f t="shared" si="7"/>
        <v>359.19999999999993</v>
      </c>
      <c r="EE22" s="49">
        <f>SUM(Model!CI22:CL22)</f>
        <v>567.6</v>
      </c>
      <c r="EF22" s="49">
        <f t="shared" ref="EF22:EK22" si="30">+EE22*0.9</f>
        <v>510.84000000000003</v>
      </c>
      <c r="EG22" s="49">
        <f t="shared" si="30"/>
        <v>459.75600000000003</v>
      </c>
      <c r="EH22" s="49">
        <f t="shared" si="30"/>
        <v>413.78040000000004</v>
      </c>
      <c r="EI22" s="49">
        <f t="shared" si="30"/>
        <v>372.40236000000004</v>
      </c>
      <c r="EJ22" s="49">
        <f t="shared" si="30"/>
        <v>335.16212400000006</v>
      </c>
      <c r="EK22" s="49">
        <f t="shared" si="30"/>
        <v>301.64591160000009</v>
      </c>
    </row>
    <row r="23" spans="1:141" x14ac:dyDescent="0.2">
      <c r="A23" s="102"/>
      <c r="B23" t="s">
        <v>16</v>
      </c>
      <c r="C23" s="51">
        <v>4.0999999999999996</v>
      </c>
      <c r="D23" s="51">
        <v>13.7</v>
      </c>
      <c r="E23" s="51">
        <v>21.6</v>
      </c>
      <c r="F23" s="51">
        <f>65.3-E23-D23-C23</f>
        <v>25.9</v>
      </c>
      <c r="G23" s="51">
        <v>40.799999999999997</v>
      </c>
      <c r="H23" s="51">
        <v>65.3</v>
      </c>
      <c r="I23" s="51">
        <v>58.1</v>
      </c>
      <c r="J23" s="51">
        <v>74.3</v>
      </c>
      <c r="K23" s="51">
        <v>67</v>
      </c>
      <c r="L23" s="51">
        <v>101.9</v>
      </c>
      <c r="M23" s="51">
        <v>102.6</v>
      </c>
      <c r="N23" s="51">
        <v>118</v>
      </c>
      <c r="O23" s="51">
        <v>127</v>
      </c>
      <c r="P23" s="51">
        <v>146</v>
      </c>
      <c r="Q23" s="51">
        <v>149</v>
      </c>
      <c r="R23" s="51">
        <v>172.1</v>
      </c>
      <c r="S23" s="51">
        <v>153.4</v>
      </c>
      <c r="T23" s="51">
        <v>177.2</v>
      </c>
      <c r="U23" s="51">
        <v>180.5</v>
      </c>
      <c r="V23" s="51">
        <v>198.2</v>
      </c>
      <c r="W23" s="51">
        <v>185</v>
      </c>
      <c r="X23" s="51">
        <v>206.6</v>
      </c>
      <c r="Y23" s="51">
        <v>192.7</v>
      </c>
      <c r="Z23" s="51">
        <v>194.5</v>
      </c>
      <c r="AA23" s="51">
        <v>187.5</v>
      </c>
      <c r="AB23" s="51">
        <v>203.3</v>
      </c>
      <c r="AC23" s="51">
        <v>213.1</v>
      </c>
      <c r="AD23" s="51">
        <v>212.8</v>
      </c>
      <c r="AE23" s="51">
        <v>194.5</v>
      </c>
      <c r="AF23" s="51">
        <v>209.6</v>
      </c>
      <c r="AG23" s="51">
        <v>199.7</v>
      </c>
      <c r="AH23" s="51">
        <v>226.3</v>
      </c>
      <c r="AI23" s="51">
        <v>216.1</v>
      </c>
      <c r="AJ23" s="51">
        <v>231</v>
      </c>
      <c r="AK23" s="51">
        <v>240.3</v>
      </c>
      <c r="AL23" s="51">
        <v>262.5</v>
      </c>
      <c r="AM23" s="51">
        <v>271.3</v>
      </c>
      <c r="AN23" s="51">
        <v>276.39999999999998</v>
      </c>
      <c r="AO23" s="51">
        <v>288.7</v>
      </c>
      <c r="AP23" s="51">
        <v>314.60000000000002</v>
      </c>
      <c r="AQ23" s="51">
        <v>281.5</v>
      </c>
      <c r="AR23" s="51">
        <v>296.89999999999998</v>
      </c>
      <c r="AS23" s="51">
        <v>306.7</v>
      </c>
      <c r="AT23" s="51">
        <v>359.8</v>
      </c>
      <c r="AU23" s="51">
        <v>300.39999999999998</v>
      </c>
      <c r="AV23" s="51">
        <v>308.60000000000002</v>
      </c>
      <c r="AW23" s="51">
        <v>332.2</v>
      </c>
      <c r="AX23" s="51">
        <v>380.8</v>
      </c>
      <c r="AY23" s="51">
        <v>293</v>
      </c>
      <c r="AZ23" s="51">
        <v>328.4</v>
      </c>
      <c r="BA23" s="51">
        <v>348.9</v>
      </c>
      <c r="BB23" s="51">
        <v>377.9</v>
      </c>
      <c r="BC23" s="51">
        <v>318.60000000000002</v>
      </c>
      <c r="BD23" s="51">
        <v>367.6</v>
      </c>
      <c r="BE23" s="51">
        <v>391.2</v>
      </c>
      <c r="BF23" s="51">
        <v>422.5</v>
      </c>
      <c r="BG23" s="51">
        <v>347.5</v>
      </c>
      <c r="BH23" s="51">
        <v>446.7</v>
      </c>
      <c r="BI23" s="51">
        <v>441.7</v>
      </c>
      <c r="BJ23" s="51">
        <v>513.20000000000005</v>
      </c>
      <c r="BK23" s="51">
        <v>313.2</v>
      </c>
      <c r="BL23" s="51">
        <v>434.5</v>
      </c>
      <c r="BM23" s="51">
        <v>390.8</v>
      </c>
      <c r="BN23" s="51">
        <v>437.1</v>
      </c>
      <c r="BO23" s="51">
        <v>312.89999999999998</v>
      </c>
      <c r="BP23" s="51">
        <v>360.8</v>
      </c>
      <c r="BQ23" s="51">
        <v>370.7</v>
      </c>
      <c r="BR23" s="51">
        <v>360.2</v>
      </c>
      <c r="BS23" s="51">
        <v>272.39999999999998</v>
      </c>
      <c r="BT23" s="51">
        <v>252.7</v>
      </c>
      <c r="BU23" s="51">
        <v>266.89999999999998</v>
      </c>
      <c r="BV23" s="51">
        <v>254.4</v>
      </c>
      <c r="BW23" s="51">
        <v>198.5</v>
      </c>
      <c r="BX23" s="51">
        <v>218.4</v>
      </c>
      <c r="BY23" s="51">
        <v>200.9</v>
      </c>
      <c r="BZ23" s="51">
        <v>184</v>
      </c>
      <c r="CA23" s="51">
        <v>137.4</v>
      </c>
      <c r="CB23" s="51">
        <v>138.5</v>
      </c>
      <c r="CC23" s="51">
        <v>177.1</v>
      </c>
      <c r="CD23" s="51">
        <v>160</v>
      </c>
      <c r="CE23" s="51">
        <v>122.3</v>
      </c>
      <c r="CF23" s="51">
        <v>148</v>
      </c>
      <c r="CG23" s="51">
        <v>146.4</v>
      </c>
      <c r="CH23" s="51">
        <f>533.2-CG23-CF23-CE23</f>
        <v>116.50000000000007</v>
      </c>
      <c r="CI23" s="51">
        <v>61.3</v>
      </c>
      <c r="CJ23" s="51">
        <v>69.900000000000006</v>
      </c>
      <c r="CK23" s="51"/>
      <c r="CL23" s="51"/>
      <c r="CM23" s="51"/>
      <c r="CN23" s="51"/>
      <c r="CO23" s="51"/>
      <c r="CP23" s="51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51"/>
      <c r="DI23" s="51">
        <v>6</v>
      </c>
      <c r="DJ23" s="51">
        <v>65</v>
      </c>
      <c r="DK23" s="51">
        <v>237</v>
      </c>
      <c r="DL23" s="51">
        <v>389</v>
      </c>
      <c r="DM23" s="51">
        <v>581</v>
      </c>
      <c r="DN23" s="51">
        <f>DM23*1.05</f>
        <v>610.05000000000007</v>
      </c>
      <c r="DO23" s="51">
        <f>SUM(W23:Z23)</f>
        <v>778.8</v>
      </c>
      <c r="DP23" s="51">
        <f>SUM(AA23:AD23)</f>
        <v>816.7</v>
      </c>
      <c r="DQ23" s="51">
        <f>SUM(AE23:AH23)</f>
        <v>830.09999999999991</v>
      </c>
      <c r="DR23" s="51">
        <f>SUM(AI23:AL23)</f>
        <v>949.90000000000009</v>
      </c>
      <c r="DS23" s="51">
        <f>SUM(AM23:AP23)</f>
        <v>1151</v>
      </c>
      <c r="DT23" s="51">
        <v>1244.9000000000001</v>
      </c>
      <c r="DU23" s="51">
        <v>1322</v>
      </c>
      <c r="DV23" s="51">
        <v>1348.3</v>
      </c>
      <c r="DW23" s="51">
        <v>1500</v>
      </c>
      <c r="DX23" s="51">
        <v>1749</v>
      </c>
      <c r="DY23" s="49">
        <f>SUM(BK23:BN23)</f>
        <v>1575.6</v>
      </c>
      <c r="DZ23" s="49">
        <f t="shared" si="15"/>
        <v>1404.6000000000001</v>
      </c>
      <c r="EA23" s="49">
        <f t="shared" si="10"/>
        <v>1046.3999999999999</v>
      </c>
      <c r="EB23" s="49">
        <f t="shared" si="11"/>
        <v>801.8</v>
      </c>
      <c r="EC23" s="49">
        <f t="shared" si="6"/>
        <v>613</v>
      </c>
      <c r="ED23" s="49">
        <f t="shared" si="7"/>
        <v>533.20000000000016</v>
      </c>
      <c r="EE23" s="49">
        <f>SUM(Model!CI23:CL23)</f>
        <v>131.19999999999999</v>
      </c>
      <c r="EF23" s="49">
        <f t="shared" ref="EF23:EK23" si="31">+EE23*0.9</f>
        <v>118.08</v>
      </c>
      <c r="EG23" s="49">
        <f t="shared" si="31"/>
        <v>106.27200000000001</v>
      </c>
      <c r="EH23" s="49">
        <f t="shared" si="31"/>
        <v>95.644800000000004</v>
      </c>
      <c r="EI23" s="49">
        <f t="shared" si="31"/>
        <v>86.08032</v>
      </c>
      <c r="EJ23" s="49">
        <f t="shared" si="31"/>
        <v>77.472288000000006</v>
      </c>
      <c r="EK23" s="49">
        <f t="shared" si="31"/>
        <v>69.725059200000004</v>
      </c>
    </row>
    <row r="24" spans="1:141" x14ac:dyDescent="0.2">
      <c r="A24" s="102"/>
      <c r="B24" t="s">
        <v>78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4459.9-SUM(R25:R60)</f>
        <v>1686.4532721010328</v>
      </c>
      <c r="S24" s="51">
        <v>406</v>
      </c>
      <c r="T24" s="51"/>
      <c r="U24" s="51">
        <f>4587-(SUM(U25:U60))</f>
        <v>1697.9</v>
      </c>
      <c r="V24" s="51">
        <f>5189.6-(SUM(V25:V60))</f>
        <v>1904.6000000000004</v>
      </c>
      <c r="W24" s="51">
        <f>4807.6-(SUM(W25:W60))</f>
        <v>2080.2000000000007</v>
      </c>
      <c r="X24" s="51">
        <f>5150.4-(SUM(X25:X60))</f>
        <v>2045.4999999999995</v>
      </c>
      <c r="Y24" s="51">
        <f>5209.5-(SUM(Y25:Y60))</f>
        <v>2061.9000000000005</v>
      </c>
      <c r="AH24" s="51">
        <v>432</v>
      </c>
      <c r="AJ24" s="51">
        <v>422</v>
      </c>
      <c r="AK24" s="51">
        <v>410</v>
      </c>
      <c r="AL24" s="51">
        <v>407</v>
      </c>
      <c r="AM24" s="51">
        <v>552</v>
      </c>
      <c r="AN24" s="51">
        <v>524</v>
      </c>
      <c r="AO24" s="51">
        <f>5443.3-4955</f>
        <v>488.30000000000018</v>
      </c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>
        <v>161.69999999999999</v>
      </c>
      <c r="BL24" s="51">
        <v>245.6</v>
      </c>
      <c r="BM24" s="51">
        <v>191</v>
      </c>
      <c r="BN24" s="51"/>
      <c r="BO24" s="51">
        <v>113.4</v>
      </c>
      <c r="BP24" s="51">
        <v>123.3</v>
      </c>
      <c r="BQ24" s="51">
        <v>119.2</v>
      </c>
      <c r="BR24" s="51">
        <f>156.2+327.7-BQ24-BP24-BO24</f>
        <v>127.99999999999997</v>
      </c>
      <c r="BS24" s="51">
        <v>86</v>
      </c>
      <c r="BT24" s="51">
        <v>51.4</v>
      </c>
      <c r="BU24" s="51">
        <v>46.3</v>
      </c>
      <c r="BV24" s="51">
        <v>88</v>
      </c>
      <c r="BW24" s="51">
        <v>42.6</v>
      </c>
      <c r="BX24" s="51">
        <v>42.2</v>
      </c>
      <c r="BY24" s="51">
        <v>38.6</v>
      </c>
      <c r="BZ24" s="51">
        <v>58.1</v>
      </c>
      <c r="CA24" s="51">
        <v>98.1</v>
      </c>
      <c r="CB24" s="51">
        <v>80.099999999999994</v>
      </c>
      <c r="CC24" s="51">
        <v>66.599999999999994</v>
      </c>
      <c r="CD24" s="51">
        <f>295.5-CC24-CB24-CA24</f>
        <v>50.700000000000017</v>
      </c>
      <c r="CE24" s="51">
        <v>0</v>
      </c>
      <c r="CF24" s="51">
        <v>51</v>
      </c>
      <c r="CG24" s="51">
        <v>42.9</v>
      </c>
      <c r="CH24" s="51">
        <v>114</v>
      </c>
      <c r="CI24" s="51">
        <v>41.3</v>
      </c>
      <c r="CJ24" s="51">
        <v>50</v>
      </c>
      <c r="CK24" s="51"/>
      <c r="CL24" s="95"/>
      <c r="CM24" s="51"/>
      <c r="CN24" s="51"/>
      <c r="CO24" s="51"/>
      <c r="CP24" s="51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51"/>
      <c r="DI24" s="52">
        <f>176+152</f>
        <v>328</v>
      </c>
      <c r="DJ24" s="51">
        <f>165+100</f>
        <v>265</v>
      </c>
      <c r="DK24" s="51">
        <f>83+70+4+154</f>
        <v>311</v>
      </c>
      <c r="DL24" s="51">
        <f>41+54+18+117</f>
        <v>230</v>
      </c>
      <c r="DM24" s="51">
        <f>56+54+25+91</f>
        <v>226</v>
      </c>
      <c r="DN24" s="51">
        <f>50+54+50+87</f>
        <v>241</v>
      </c>
      <c r="DO24" s="51">
        <v>54</v>
      </c>
      <c r="DP24" s="51">
        <v>54</v>
      </c>
      <c r="DQ24" s="51">
        <f>SUM(AE24:AH24)</f>
        <v>432</v>
      </c>
      <c r="DR24" s="51">
        <f>SUM(AI24:AL24)</f>
        <v>1239</v>
      </c>
      <c r="DS24" s="51">
        <f>SUM(AM24:AP24)</f>
        <v>1564.3000000000002</v>
      </c>
      <c r="DT24" s="51">
        <f>1672.3-DT21</f>
        <v>1298.5999999999999</v>
      </c>
      <c r="DU24" s="51">
        <v>1887.1</v>
      </c>
      <c r="DV24" s="51">
        <f>1727.1-DV56</f>
        <v>1489.8</v>
      </c>
      <c r="DW24" s="51">
        <v>1965.4</v>
      </c>
      <c r="DX24" s="51">
        <f>555.4+422</f>
        <v>977.4</v>
      </c>
      <c r="DY24" s="49">
        <f>393+325.1</f>
        <v>718.1</v>
      </c>
      <c r="DZ24" s="49">
        <f t="shared" si="15"/>
        <v>483.9</v>
      </c>
      <c r="EA24" s="49">
        <f t="shared" si="10"/>
        <v>271.7</v>
      </c>
      <c r="EB24" s="49">
        <f t="shared" si="11"/>
        <v>181.5</v>
      </c>
      <c r="EC24" s="49">
        <f t="shared" si="6"/>
        <v>295.5</v>
      </c>
      <c r="ED24" s="49">
        <f t="shared" si="7"/>
        <v>207.9</v>
      </c>
      <c r="EE24" s="49">
        <f>SUM(Model!CI24:CL24)</f>
        <v>91.3</v>
      </c>
      <c r="EF24" s="49">
        <f t="shared" ref="EF24:EK24" si="32">+EE24*0.9</f>
        <v>82.17</v>
      </c>
      <c r="EG24" s="49">
        <f t="shared" si="32"/>
        <v>73.953000000000003</v>
      </c>
      <c r="EH24" s="49">
        <f t="shared" si="32"/>
        <v>66.557700000000011</v>
      </c>
      <c r="EI24" s="49">
        <f t="shared" si="32"/>
        <v>59.901930000000014</v>
      </c>
      <c r="EJ24" s="49">
        <f t="shared" si="32"/>
        <v>53.911737000000016</v>
      </c>
      <c r="EK24" s="49">
        <f t="shared" si="32"/>
        <v>48.520563300000013</v>
      </c>
    </row>
    <row r="25" spans="1:141" x14ac:dyDescent="0.2">
      <c r="A25" s="102"/>
      <c r="B25" t="s">
        <v>7</v>
      </c>
      <c r="C25" s="51">
        <v>958.3</v>
      </c>
      <c r="D25" s="51">
        <v>1050</v>
      </c>
      <c r="E25" s="51">
        <v>1130</v>
      </c>
      <c r="F25" s="51">
        <v>1145.5</v>
      </c>
      <c r="G25" s="51">
        <v>1098.3</v>
      </c>
      <c r="H25" s="51">
        <v>1212.3</v>
      </c>
      <c r="I25" s="51">
        <v>1023.7</v>
      </c>
      <c r="J25" s="51">
        <v>1085.5</v>
      </c>
      <c r="K25" s="51">
        <v>1038.2</v>
      </c>
      <c r="L25" s="51">
        <v>1096.8</v>
      </c>
      <c r="M25" s="51">
        <v>1035.0999999999999</v>
      </c>
      <c r="N25" s="51">
        <v>1032.2</v>
      </c>
      <c r="O25" s="51">
        <v>1007.4</v>
      </c>
      <c r="P25" s="51">
        <v>1115</v>
      </c>
      <c r="Q25" s="51">
        <v>1084.7</v>
      </c>
      <c r="R25" s="51">
        <v>1156.5</v>
      </c>
      <c r="S25" s="51">
        <v>1108</v>
      </c>
      <c r="T25" s="51">
        <v>1213</v>
      </c>
      <c r="U25" s="51">
        <v>1166.0999999999999</v>
      </c>
      <c r="V25" s="51">
        <v>1273.9000000000001</v>
      </c>
      <c r="W25" s="51">
        <v>1120.2</v>
      </c>
      <c r="X25" s="51">
        <v>1239.7</v>
      </c>
      <c r="Y25" s="51">
        <v>1189.5</v>
      </c>
      <c r="Z25" s="51">
        <v>1146.7</v>
      </c>
      <c r="AA25" s="51">
        <v>1123</v>
      </c>
      <c r="AB25" s="51">
        <v>1203.2</v>
      </c>
      <c r="AC25" s="51">
        <v>1223</v>
      </c>
      <c r="AD25" s="51">
        <v>1366.5</v>
      </c>
      <c r="AE25" s="51">
        <v>1215</v>
      </c>
      <c r="AF25" s="51">
        <v>1262.9000000000001</v>
      </c>
      <c r="AG25" s="51">
        <v>1212.7</v>
      </c>
      <c r="AH25" s="51">
        <v>1335.8</v>
      </c>
      <c r="AI25" s="51">
        <v>1281.9000000000001</v>
      </c>
      <c r="AJ25" s="51">
        <v>1408.3</v>
      </c>
      <c r="AK25" s="51">
        <v>1182.3</v>
      </c>
      <c r="AL25" s="51">
        <v>749.6</v>
      </c>
      <c r="AM25" s="51">
        <v>562.70000000000005</v>
      </c>
      <c r="AN25" s="51">
        <v>379.5</v>
      </c>
      <c r="AO25" s="51">
        <v>374.5</v>
      </c>
      <c r="AP25" s="51">
        <v>384.8</v>
      </c>
      <c r="AQ25" s="51">
        <v>284.8</v>
      </c>
      <c r="AR25" s="51">
        <v>283.2</v>
      </c>
      <c r="AS25" s="51">
        <v>278.7</v>
      </c>
      <c r="AT25" s="51">
        <v>348.2</v>
      </c>
      <c r="AU25" s="51">
        <v>283.10000000000002</v>
      </c>
      <c r="AV25" s="51">
        <v>243.8</v>
      </c>
      <c r="AW25" s="51">
        <v>257.39999999999998</v>
      </c>
      <c r="AX25" s="51">
        <v>253.1</v>
      </c>
      <c r="AY25" s="51">
        <v>219.5</v>
      </c>
      <c r="AZ25" s="51">
        <v>253.7</v>
      </c>
      <c r="BA25" s="51">
        <v>237.9</v>
      </c>
      <c r="BB25" s="51">
        <v>229.1</v>
      </c>
      <c r="BC25" s="51">
        <v>212.8</v>
      </c>
      <c r="BD25" s="51">
        <v>210.7</v>
      </c>
      <c r="BE25" s="51">
        <v>148.9</v>
      </c>
      <c r="BF25" s="51">
        <v>153</v>
      </c>
      <c r="BG25" s="51">
        <v>147.5</v>
      </c>
      <c r="BH25" s="51">
        <v>140.80000000000001</v>
      </c>
      <c r="BI25" s="51">
        <v>140.6</v>
      </c>
      <c r="BJ25" s="51">
        <v>152.19999999999999</v>
      </c>
      <c r="BK25" s="51">
        <v>122.6</v>
      </c>
      <c r="BL25" s="51">
        <v>128</v>
      </c>
      <c r="BM25" s="51">
        <v>109.9</v>
      </c>
      <c r="BN25" s="51">
        <v>110.8</v>
      </c>
      <c r="BO25" s="51">
        <v>107.2</v>
      </c>
      <c r="BP25" s="51">
        <v>104.3</v>
      </c>
      <c r="BQ25" s="51">
        <v>105.4</v>
      </c>
      <c r="BR25" s="51">
        <f>418.7-BQ25-BP25-BO25</f>
        <v>101.79999999999994</v>
      </c>
      <c r="BS25" s="51">
        <v>98.4</v>
      </c>
      <c r="BT25" s="51">
        <v>96.6</v>
      </c>
      <c r="BU25" s="51">
        <v>112.7</v>
      </c>
      <c r="BV25" s="51">
        <f>46.1+360.5-BU25-BT25-BS25</f>
        <v>98.900000000000034</v>
      </c>
      <c r="BW25" s="51">
        <v>95.8</v>
      </c>
      <c r="BX25" s="51">
        <v>95.4</v>
      </c>
      <c r="BY25" s="51">
        <v>101.7</v>
      </c>
      <c r="BZ25" s="51">
        <f>430.3-BY25-BX25-BW25</f>
        <v>137.40000000000003</v>
      </c>
      <c r="CA25" s="51">
        <v>93.1</v>
      </c>
      <c r="CB25" s="51">
        <v>87.3</v>
      </c>
      <c r="CC25" s="51">
        <v>81.400000000000006</v>
      </c>
      <c r="CD25" s="51">
        <f>336.9-CC25-CB25-CA25</f>
        <v>75.099999999999994</v>
      </c>
      <c r="CE25" s="51">
        <v>106.5</v>
      </c>
      <c r="CF25" s="51">
        <v>106.5</v>
      </c>
      <c r="CG25" s="51">
        <f>1481.4-1420</f>
        <v>61.400000000000091</v>
      </c>
      <c r="CH25" s="51">
        <v>0</v>
      </c>
      <c r="CI25" s="51">
        <v>0</v>
      </c>
      <c r="CJ25" s="51">
        <v>0</v>
      </c>
      <c r="CK25" s="51"/>
      <c r="CL25" s="51"/>
      <c r="CM25" s="51"/>
      <c r="CN25" s="51"/>
      <c r="CO25" s="51"/>
      <c r="CP25" s="51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>
        <v>1440</v>
      </c>
      <c r="DF25" s="49">
        <v>1885</v>
      </c>
      <c r="DG25" s="49">
        <v>2349.5</v>
      </c>
      <c r="DH25" s="51">
        <v>3090</v>
      </c>
      <c r="DI25" s="51">
        <v>3689</v>
      </c>
      <c r="DJ25" s="51">
        <v>4277</v>
      </c>
      <c r="DK25" s="51">
        <v>4419</v>
      </c>
      <c r="DL25" s="51">
        <v>4200</v>
      </c>
      <c r="DM25" s="51">
        <f>SUM(O25:R25)</f>
        <v>4363.6000000000004</v>
      </c>
      <c r="DN25" s="51">
        <f>SUM(S25:V25)</f>
        <v>4761</v>
      </c>
      <c r="DO25" s="51">
        <f>SUM(W25:Z25)</f>
        <v>4696.1000000000004</v>
      </c>
      <c r="DP25" s="51">
        <f>SUM(AA25:AD25)</f>
        <v>4915.7</v>
      </c>
      <c r="DQ25" s="51">
        <f>SUM(AE25:AH25)</f>
        <v>5026.4000000000005</v>
      </c>
      <c r="DR25" s="51">
        <f>SUM(AI25:AL25)</f>
        <v>4622.1000000000004</v>
      </c>
      <c r="DS25" s="51">
        <f>SUM(AM25:AP25)</f>
        <v>1701.5</v>
      </c>
      <c r="DT25" s="51">
        <v>1194.8</v>
      </c>
      <c r="DU25" s="51">
        <v>1037.3</v>
      </c>
      <c r="DV25" s="51">
        <v>940.3</v>
      </c>
      <c r="DW25" s="51">
        <v>725.3</v>
      </c>
      <c r="DX25" s="51">
        <v>581.20000000000005</v>
      </c>
      <c r="DY25" s="49">
        <f>SUM(BK25:BN25)</f>
        <v>471.3</v>
      </c>
      <c r="DZ25" s="49">
        <f t="shared" si="15"/>
        <v>418.69999999999993</v>
      </c>
      <c r="EA25" s="49">
        <f t="shared" si="10"/>
        <v>406.6</v>
      </c>
      <c r="EB25" s="49">
        <f t="shared" si="11"/>
        <v>430.3</v>
      </c>
      <c r="EC25" s="49">
        <f t="shared" si="6"/>
        <v>336.9</v>
      </c>
      <c r="ED25" s="49">
        <f t="shared" si="7"/>
        <v>274.40000000000009</v>
      </c>
      <c r="EE25" s="49">
        <f>SUM(Model!CI25:CL25)</f>
        <v>0</v>
      </c>
      <c r="EF25" s="49">
        <f t="shared" ref="EF25:EK25" si="33">+EE25*0.9</f>
        <v>0</v>
      </c>
      <c r="EG25" s="49">
        <f t="shared" si="33"/>
        <v>0</v>
      </c>
      <c r="EH25" s="49">
        <f t="shared" si="33"/>
        <v>0</v>
      </c>
      <c r="EI25" s="49">
        <f t="shared" si="33"/>
        <v>0</v>
      </c>
      <c r="EJ25" s="49">
        <f t="shared" si="33"/>
        <v>0</v>
      </c>
      <c r="EK25" s="49">
        <f t="shared" si="33"/>
        <v>0</v>
      </c>
    </row>
    <row r="26" spans="1:141" x14ac:dyDescent="0.2">
      <c r="A26" s="102"/>
      <c r="B26" s="38" t="s">
        <v>371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>
        <v>0</v>
      </c>
      <c r="BL26" s="52"/>
      <c r="BM26" s="52"/>
      <c r="BN26" s="52"/>
      <c r="BO26" s="52">
        <v>9.9</v>
      </c>
      <c r="BP26" s="52">
        <v>40.1</v>
      </c>
      <c r="BQ26" s="52">
        <v>46.6</v>
      </c>
      <c r="BR26" s="52">
        <v>37.4</v>
      </c>
      <c r="BS26" s="52">
        <v>57.4</v>
      </c>
      <c r="BT26" s="52">
        <v>64.099999999999994</v>
      </c>
      <c r="BU26" s="52">
        <v>84.4</v>
      </c>
      <c r="BV26" s="52">
        <v>102.8</v>
      </c>
      <c r="BW26" s="52">
        <v>109.7</v>
      </c>
      <c r="BX26" s="52">
        <v>105</v>
      </c>
      <c r="BY26" s="52">
        <v>125.6</v>
      </c>
      <c r="BZ26" s="52">
        <v>77.8</v>
      </c>
      <c r="CA26" s="52">
        <v>85.5</v>
      </c>
      <c r="CB26" s="52">
        <v>73.599999999999994</v>
      </c>
      <c r="CC26" s="52">
        <v>76.8</v>
      </c>
      <c r="CD26" s="52">
        <v>57.5</v>
      </c>
      <c r="CE26" s="52">
        <v>61</v>
      </c>
      <c r="CF26" s="52">
        <v>103.6</v>
      </c>
      <c r="CG26" s="52">
        <v>115.1</v>
      </c>
      <c r="CH26" s="52">
        <v>113.6</v>
      </c>
      <c r="CI26" s="52">
        <v>116.7</v>
      </c>
      <c r="CJ26" s="52">
        <v>123</v>
      </c>
      <c r="CK26" s="52"/>
      <c r="CL26" s="52"/>
      <c r="CM26" s="52"/>
      <c r="CN26" s="52"/>
      <c r="CO26" s="52"/>
      <c r="CP26" s="52"/>
      <c r="CQ26" s="49"/>
      <c r="CR26" s="98"/>
      <c r="CS26" s="98"/>
      <c r="CT26" s="98"/>
      <c r="CU26" s="98"/>
      <c r="CV26" s="98"/>
      <c r="CW26" s="98"/>
      <c r="CX26" s="98"/>
      <c r="CY26" s="98"/>
      <c r="CZ26" s="98"/>
      <c r="DA26" s="98"/>
      <c r="DB26" s="98"/>
      <c r="DC26" s="98"/>
      <c r="DD26" s="98"/>
      <c r="DE26" s="98"/>
      <c r="DF26" s="98"/>
      <c r="DG26" s="98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51"/>
      <c r="DW26" s="51"/>
      <c r="DX26" s="51"/>
      <c r="DY26" s="49">
        <v>0</v>
      </c>
      <c r="DZ26" s="49">
        <f t="shared" si="15"/>
        <v>134</v>
      </c>
      <c r="EA26" s="49">
        <f t="shared" si="10"/>
        <v>308.7</v>
      </c>
      <c r="EB26" s="49">
        <f t="shared" si="11"/>
        <v>418.09999999999997</v>
      </c>
      <c r="EC26" s="49">
        <f t="shared" si="6"/>
        <v>293.39999999999998</v>
      </c>
      <c r="ED26" s="49">
        <f t="shared" si="7"/>
        <v>393.29999999999995</v>
      </c>
      <c r="EE26" s="49">
        <f>SUM(Model!CI26:CL26)</f>
        <v>239.7</v>
      </c>
      <c r="EF26" s="49">
        <f t="shared" ref="EF26:EK26" si="34">+EE26*0.9</f>
        <v>215.73</v>
      </c>
      <c r="EG26" s="49">
        <f t="shared" si="34"/>
        <v>194.15699999999998</v>
      </c>
      <c r="EH26" s="49">
        <f t="shared" si="34"/>
        <v>174.7413</v>
      </c>
      <c r="EI26" s="49">
        <f t="shared" si="34"/>
        <v>157.26716999999999</v>
      </c>
      <c r="EJ26" s="49">
        <f t="shared" si="34"/>
        <v>141.54045299999999</v>
      </c>
      <c r="EK26" s="49">
        <f t="shared" si="34"/>
        <v>127.38640769999999</v>
      </c>
    </row>
    <row r="27" spans="1:141" x14ac:dyDescent="0.2">
      <c r="A27" s="102"/>
      <c r="B27" t="s">
        <v>14</v>
      </c>
      <c r="C27" s="51"/>
      <c r="D27" s="51"/>
      <c r="E27" s="51"/>
      <c r="F27" s="51"/>
      <c r="G27" s="51"/>
      <c r="H27" s="51"/>
      <c r="I27" s="51">
        <v>32.5</v>
      </c>
      <c r="J27" s="51">
        <v>61.3</v>
      </c>
      <c r="K27" s="51">
        <v>106.8</v>
      </c>
      <c r="L27" s="51">
        <v>161.4</v>
      </c>
      <c r="M27" s="51">
        <v>182.8</v>
      </c>
      <c r="N27" s="51">
        <v>228.8</v>
      </c>
      <c r="O27" s="51">
        <v>233</v>
      </c>
      <c r="P27" s="51">
        <v>310</v>
      </c>
      <c r="Q27" s="51">
        <v>349</v>
      </c>
      <c r="R27" s="51">
        <v>424.1</v>
      </c>
      <c r="S27" s="51">
        <v>441.8</v>
      </c>
      <c r="T27" s="51">
        <v>519.5</v>
      </c>
      <c r="U27" s="51">
        <v>513.20000000000005</v>
      </c>
      <c r="V27" s="51">
        <v>628.29999999999995</v>
      </c>
      <c r="W27" s="51">
        <v>605.1</v>
      </c>
      <c r="X27" s="51">
        <v>654.4</v>
      </c>
      <c r="Y27" s="51">
        <v>716.4</v>
      </c>
      <c r="Z27" s="51">
        <v>721.2</v>
      </c>
      <c r="AA27" s="51">
        <v>709.3</v>
      </c>
      <c r="AB27" s="51">
        <v>744.4</v>
      </c>
      <c r="AC27" s="51">
        <v>790.2</v>
      </c>
      <c r="AD27" s="51">
        <v>830.8</v>
      </c>
      <c r="AE27" s="51">
        <v>803.2</v>
      </c>
      <c r="AF27" s="51">
        <v>867.7</v>
      </c>
      <c r="AG27" s="51">
        <v>825.3</v>
      </c>
      <c r="AH27" s="51">
        <v>984.6</v>
      </c>
      <c r="AI27" s="51">
        <v>908.8</v>
      </c>
      <c r="AJ27" s="51">
        <v>1003.4</v>
      </c>
      <c r="AK27" s="51">
        <v>1068.5999999999999</v>
      </c>
      <c r="AL27" s="51">
        <v>1180.7</v>
      </c>
      <c r="AM27" s="51">
        <v>1114.9000000000001</v>
      </c>
      <c r="AN27" s="51">
        <v>1223.0999999999999</v>
      </c>
      <c r="AO27" s="51">
        <v>1235.8</v>
      </c>
      <c r="AP27" s="51">
        <v>1420.4</v>
      </c>
      <c r="AQ27" s="51">
        <v>1328.2</v>
      </c>
      <c r="AR27" s="51">
        <v>1497.2</v>
      </c>
      <c r="AS27" s="51">
        <v>1375.8</v>
      </c>
      <c r="AT27" s="51">
        <v>883.2</v>
      </c>
      <c r="AU27" s="51">
        <v>478.2</v>
      </c>
      <c r="AV27" s="51">
        <v>401.3</v>
      </c>
      <c r="AW27" s="51">
        <v>368</v>
      </c>
      <c r="AX27" s="51">
        <v>367.3</v>
      </c>
      <c r="AY27" s="51">
        <v>287</v>
      </c>
      <c r="AZ27" s="51">
        <v>274.10000000000002</v>
      </c>
      <c r="BA27" s="51">
        <v>242.9</v>
      </c>
      <c r="BB27" s="51">
        <v>223.6</v>
      </c>
      <c r="BC27" s="51">
        <v>198.7</v>
      </c>
      <c r="BD27" s="51">
        <v>236.5</v>
      </c>
      <c r="BE27" s="51">
        <v>313.5</v>
      </c>
      <c r="BF27" s="51">
        <v>181.8</v>
      </c>
      <c r="BG27" s="51">
        <v>174.6</v>
      </c>
      <c r="BH27" s="51">
        <v>206.6</v>
      </c>
      <c r="BI27" s="51">
        <v>183.2</v>
      </c>
      <c r="BJ27" s="51">
        <v>192.8</v>
      </c>
      <c r="BK27" s="51">
        <v>169.6</v>
      </c>
      <c r="BL27" s="51">
        <v>181.9</v>
      </c>
      <c r="BM27" s="51">
        <v>172</v>
      </c>
      <c r="BN27" s="51">
        <v>184.5</v>
      </c>
      <c r="BO27" s="51">
        <v>164.1</v>
      </c>
      <c r="BP27" s="51">
        <v>187.2</v>
      </c>
      <c r="BQ27" s="51">
        <v>178.6</v>
      </c>
      <c r="BR27" s="51">
        <f>725.4-BQ27-BP27-BO27</f>
        <v>195.49999999999997</v>
      </c>
      <c r="BS27" s="51">
        <v>210.4</v>
      </c>
      <c r="BT27" s="51">
        <v>179.9</v>
      </c>
      <c r="BU27" s="51">
        <v>186.6</v>
      </c>
      <c r="BV27" s="51">
        <f>42.1+725.6-BU27-BT27-BS27</f>
        <v>190.80000000000004</v>
      </c>
      <c r="BW27" s="51">
        <v>176.6</v>
      </c>
      <c r="BX27" s="51">
        <v>175.6</v>
      </c>
      <c r="BY27" s="51">
        <v>132</v>
      </c>
      <c r="BZ27" s="51">
        <f>581.5-BY27-BX27-BW27</f>
        <v>97.299999999999983</v>
      </c>
      <c r="CA27" s="51">
        <v>81.099999999999994</v>
      </c>
      <c r="CB27" s="51">
        <v>75.5</v>
      </c>
      <c r="CC27" s="51">
        <v>62.7</v>
      </c>
      <c r="CD27" s="51">
        <f>283.3-CC27-CB27-CA27</f>
        <v>64.000000000000028</v>
      </c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2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51"/>
      <c r="DI27" s="51"/>
      <c r="DJ27" s="51"/>
      <c r="DK27" s="51">
        <v>92</v>
      </c>
      <c r="DL27" s="51">
        <v>680</v>
      </c>
      <c r="DM27" s="51">
        <f>SUM(O27:R27)</f>
        <v>1316.1</v>
      </c>
      <c r="DN27" s="51">
        <f>SUM(S27:V27)</f>
        <v>2102.8000000000002</v>
      </c>
      <c r="DO27" s="51">
        <f>SUM(W27:Z27)</f>
        <v>2697.1000000000004</v>
      </c>
      <c r="DP27" s="51">
        <f>SUM(AA27:AD27)</f>
        <v>3074.7</v>
      </c>
      <c r="DQ27" s="51">
        <f>SUM(AE27:AH27)</f>
        <v>3480.7999999999997</v>
      </c>
      <c r="DR27" s="51">
        <f>SUM(AI27:AL27)</f>
        <v>4161.5</v>
      </c>
      <c r="DS27" s="51">
        <f>SUM(AM27:AP27)</f>
        <v>4994.2000000000007</v>
      </c>
      <c r="DT27" s="51">
        <v>5084.3999999999996</v>
      </c>
      <c r="DU27" s="51">
        <v>1614.7</v>
      </c>
      <c r="DV27" s="51">
        <v>1027.5999999999999</v>
      </c>
      <c r="DW27" s="51">
        <v>930.5</v>
      </c>
      <c r="DX27" s="51">
        <v>757.2</v>
      </c>
      <c r="DY27" s="51">
        <v>708</v>
      </c>
      <c r="DZ27" s="49">
        <f t="shared" si="15"/>
        <v>725.4</v>
      </c>
      <c r="EA27" s="49">
        <f t="shared" si="10"/>
        <v>767.7</v>
      </c>
      <c r="EB27" s="49">
        <f t="shared" si="11"/>
        <v>581.5</v>
      </c>
      <c r="EC27" s="49">
        <f t="shared" si="6"/>
        <v>283.30000000000007</v>
      </c>
      <c r="ED27" s="49">
        <f t="shared" si="7"/>
        <v>0</v>
      </c>
      <c r="EE27" s="49">
        <f>SUM(Model!CI27:CL27)</f>
        <v>0</v>
      </c>
      <c r="EF27" s="49">
        <f t="shared" ref="EF27:EK27" si="35">+EE27*0.9</f>
        <v>0</v>
      </c>
      <c r="EG27" s="49">
        <f t="shared" si="35"/>
        <v>0</v>
      </c>
      <c r="EH27" s="49">
        <f t="shared" si="35"/>
        <v>0</v>
      </c>
      <c r="EI27" s="49">
        <f t="shared" si="35"/>
        <v>0</v>
      </c>
      <c r="EJ27" s="49">
        <f t="shared" si="35"/>
        <v>0</v>
      </c>
      <c r="EK27" s="49">
        <f t="shared" si="35"/>
        <v>0</v>
      </c>
    </row>
    <row r="28" spans="1:141" x14ac:dyDescent="0.2">
      <c r="A28" s="102"/>
      <c r="B28" t="s">
        <v>493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>
        <v>76.900000000000006</v>
      </c>
      <c r="AV28" s="51">
        <v>90.3</v>
      </c>
      <c r="AW28" s="51">
        <v>78.900000000000006</v>
      </c>
      <c r="AX28" s="51">
        <v>82.7</v>
      </c>
      <c r="AY28" s="51">
        <v>82.3</v>
      </c>
      <c r="AZ28" s="51">
        <v>80</v>
      </c>
      <c r="BA28" s="51">
        <v>92.7</v>
      </c>
      <c r="BB28" s="51">
        <v>101.7</v>
      </c>
      <c r="BC28" s="51"/>
      <c r="BD28" s="51"/>
      <c r="BE28" s="51"/>
      <c r="BF28" s="51"/>
      <c r="BG28" s="51">
        <v>113</v>
      </c>
      <c r="BH28" s="51">
        <v>141.9</v>
      </c>
      <c r="BI28" s="51">
        <v>153.30000000000001</v>
      </c>
      <c r="BJ28" s="51">
        <v>129.69999999999999</v>
      </c>
      <c r="BK28" s="51">
        <v>141.1</v>
      </c>
      <c r="BL28" s="51">
        <v>141.69999999999999</v>
      </c>
      <c r="BM28" s="51">
        <v>135.69999999999999</v>
      </c>
      <c r="BN28" s="51">
        <v>156.19999999999999</v>
      </c>
      <c r="BO28" s="51">
        <v>131.9</v>
      </c>
      <c r="BP28" s="51">
        <v>153.9</v>
      </c>
      <c r="BQ28" s="51">
        <v>155.5</v>
      </c>
      <c r="BR28" s="51">
        <f>590.6-BQ28-BP28-BO28</f>
        <v>149.30000000000004</v>
      </c>
      <c r="BS28" s="51">
        <v>93.2</v>
      </c>
      <c r="BT28" s="51">
        <v>76.8</v>
      </c>
      <c r="BU28" s="51">
        <v>91.7</v>
      </c>
      <c r="BV28" s="51">
        <v>96.8</v>
      </c>
      <c r="BW28" s="51">
        <v>94.6</v>
      </c>
      <c r="BX28" s="51">
        <v>89.2</v>
      </c>
      <c r="BY28" s="51">
        <v>96.1</v>
      </c>
      <c r="BZ28" s="51">
        <v>92.6</v>
      </c>
      <c r="CA28" s="94" t="s">
        <v>750</v>
      </c>
      <c r="CB28" s="94" t="s">
        <v>755</v>
      </c>
      <c r="CC28" s="94" t="s">
        <v>753</v>
      </c>
      <c r="CD28" s="94" t="s">
        <v>758</v>
      </c>
      <c r="CE28" s="94" t="s">
        <v>751</v>
      </c>
      <c r="CF28" s="94" t="s">
        <v>753</v>
      </c>
      <c r="CG28" s="94" t="s">
        <v>752</v>
      </c>
      <c r="CH28" s="94" t="s">
        <v>756</v>
      </c>
      <c r="CI28" s="51"/>
      <c r="CJ28" s="51"/>
      <c r="CK28" s="51"/>
      <c r="CL28" s="51"/>
      <c r="CM28" s="51"/>
      <c r="CN28" s="51"/>
      <c r="CO28" s="51"/>
      <c r="CP28" s="51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>
        <v>356.8</v>
      </c>
      <c r="DW28" s="51">
        <v>436.6</v>
      </c>
      <c r="DX28" s="51">
        <v>537.9</v>
      </c>
      <c r="DY28" s="51">
        <v>574.70000000000005</v>
      </c>
      <c r="DZ28" s="49">
        <f t="shared" si="15"/>
        <v>590.6</v>
      </c>
      <c r="EA28" s="49">
        <f t="shared" si="10"/>
        <v>358.5</v>
      </c>
      <c r="EB28" s="49">
        <f t="shared" si="11"/>
        <v>372.5</v>
      </c>
      <c r="EC28" s="94" t="s">
        <v>759</v>
      </c>
      <c r="ED28" s="94" t="s">
        <v>757</v>
      </c>
      <c r="EE28" s="49">
        <f>SUM(Model!CI28:CL28)</f>
        <v>0</v>
      </c>
      <c r="EF28" s="49">
        <f t="shared" ref="EF28:EK28" si="36">+EE28*0.9</f>
        <v>0</v>
      </c>
      <c r="EG28" s="49">
        <f t="shared" si="36"/>
        <v>0</v>
      </c>
      <c r="EH28" s="49">
        <f t="shared" si="36"/>
        <v>0</v>
      </c>
      <c r="EI28" s="49">
        <f t="shared" si="36"/>
        <v>0</v>
      </c>
      <c r="EJ28" s="49">
        <f t="shared" si="36"/>
        <v>0</v>
      </c>
      <c r="EK28" s="49">
        <f t="shared" si="36"/>
        <v>0</v>
      </c>
    </row>
    <row r="29" spans="1:141" x14ac:dyDescent="0.2">
      <c r="A29" s="102"/>
      <c r="B29" t="s">
        <v>62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>
        <v>49.8</v>
      </c>
      <c r="BL29" s="51">
        <v>46.9</v>
      </c>
      <c r="BM29" s="51">
        <v>46.6</v>
      </c>
      <c r="BN29" s="51"/>
      <c r="BO29" s="51">
        <v>41.4</v>
      </c>
      <c r="BP29" s="51">
        <v>44.3</v>
      </c>
      <c r="BQ29" s="51">
        <v>42.9</v>
      </c>
      <c r="BR29" s="51">
        <f>80.2+93.6-BQ29-BP29-BO29</f>
        <v>45.20000000000001</v>
      </c>
      <c r="BS29" s="51">
        <v>41.1</v>
      </c>
      <c r="BT29" s="51">
        <v>33.200000000000003</v>
      </c>
      <c r="BU29" s="51">
        <v>43.2</v>
      </c>
      <c r="BV29" s="51">
        <v>35.6</v>
      </c>
      <c r="BW29" s="51">
        <v>32.4</v>
      </c>
      <c r="BX29" s="51">
        <v>35</v>
      </c>
      <c r="BY29" s="51">
        <v>36</v>
      </c>
      <c r="BZ29" s="51">
        <v>31.4</v>
      </c>
      <c r="CA29" s="51">
        <v>74.2</v>
      </c>
      <c r="CB29" s="51">
        <v>69.599999999999994</v>
      </c>
      <c r="CC29" s="51">
        <v>60.6</v>
      </c>
      <c r="CD29" s="51">
        <f>85.5+189.6-CC29-CB29-CA29</f>
        <v>70.700000000000031</v>
      </c>
      <c r="CE29" s="51">
        <f>206.2-CE25</f>
        <v>99.699999999999989</v>
      </c>
      <c r="CF29" s="51">
        <f>217.9-CF25</f>
        <v>111.4</v>
      </c>
      <c r="CG29" s="51">
        <v>118.2</v>
      </c>
      <c r="CH29" s="51">
        <f>371.1+134.4-SUM(CE29:CG29)</f>
        <v>176.2</v>
      </c>
      <c r="CI29" s="51">
        <v>163.4</v>
      </c>
      <c r="CJ29" s="51">
        <v>147.5</v>
      </c>
      <c r="CK29" s="51"/>
      <c r="CL29" s="51"/>
      <c r="CM29" s="51"/>
      <c r="CN29" s="51"/>
      <c r="CO29" s="51"/>
      <c r="CP29" s="51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51"/>
      <c r="DI29" s="51">
        <v>168</v>
      </c>
      <c r="DJ29" s="51">
        <v>98</v>
      </c>
      <c r="DK29" s="51">
        <v>89</v>
      </c>
      <c r="DL29" s="51">
        <v>4</v>
      </c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>
        <f>98.9+115.7</f>
        <v>214.60000000000002</v>
      </c>
      <c r="DY29" s="51">
        <f>93.4+92.3</f>
        <v>185.7</v>
      </c>
      <c r="DZ29" s="49">
        <f t="shared" si="15"/>
        <v>173.8</v>
      </c>
      <c r="EA29" s="49">
        <f t="shared" si="10"/>
        <v>153.10000000000002</v>
      </c>
      <c r="EB29" s="49">
        <f t="shared" si="11"/>
        <v>134.80000000000001</v>
      </c>
      <c r="EC29" s="49">
        <f t="shared" si="6"/>
        <v>275.10000000000002</v>
      </c>
      <c r="ED29" s="49">
        <f t="shared" si="7"/>
        <v>505.5</v>
      </c>
      <c r="EE29" s="49">
        <f>SUM(Model!CI29:CL29)</f>
        <v>310.89999999999998</v>
      </c>
      <c r="EF29" s="49">
        <f t="shared" ref="EF29:EK29" si="37">+EE29*0.9</f>
        <v>279.81</v>
      </c>
      <c r="EG29" s="49">
        <f t="shared" si="37"/>
        <v>251.82900000000001</v>
      </c>
      <c r="EH29" s="49">
        <f t="shared" si="37"/>
        <v>226.64610000000002</v>
      </c>
      <c r="EI29" s="49">
        <f t="shared" si="37"/>
        <v>203.98149000000001</v>
      </c>
      <c r="EJ29" s="49">
        <f t="shared" si="37"/>
        <v>183.58334100000002</v>
      </c>
      <c r="EK29" s="49">
        <f t="shared" si="37"/>
        <v>165.22500690000001</v>
      </c>
    </row>
    <row r="30" spans="1:141" x14ac:dyDescent="0.2">
      <c r="A30" s="102"/>
      <c r="B30" s="38" t="s">
        <v>377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>
        <v>6.3</v>
      </c>
      <c r="BU30" s="51">
        <v>11.6</v>
      </c>
      <c r="BV30" s="51">
        <v>18.7</v>
      </c>
      <c r="BW30" s="51">
        <v>16.8</v>
      </c>
      <c r="BX30" s="51">
        <v>25.7</v>
      </c>
      <c r="BY30" s="51">
        <v>33.6</v>
      </c>
      <c r="BZ30" s="51">
        <v>38.6</v>
      </c>
      <c r="CA30" s="51">
        <v>41.8</v>
      </c>
      <c r="CB30" s="51">
        <v>45</v>
      </c>
      <c r="CC30" s="51">
        <v>40.5</v>
      </c>
      <c r="CD30" s="51">
        <v>64.599999999999994</v>
      </c>
      <c r="CE30" s="51">
        <v>51.4</v>
      </c>
      <c r="CF30" s="51">
        <v>65.400000000000006</v>
      </c>
      <c r="CG30" s="51">
        <v>63.4</v>
      </c>
      <c r="CH30" s="51">
        <v>73.400000000000006</v>
      </c>
      <c r="CI30" s="51"/>
      <c r="CJ30" s="51"/>
      <c r="CK30" s="51"/>
      <c r="CL30" s="51"/>
      <c r="CM30" s="51"/>
      <c r="CN30" s="51"/>
      <c r="CO30" s="51"/>
      <c r="CP30" s="51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49">
        <f t="shared" si="15"/>
        <v>0</v>
      </c>
      <c r="EA30" s="49">
        <f t="shared" si="10"/>
        <v>36.599999999999994</v>
      </c>
      <c r="EB30" s="49">
        <f t="shared" si="11"/>
        <v>114.69999999999999</v>
      </c>
      <c r="EC30" s="49">
        <f t="shared" si="6"/>
        <v>191.89999999999998</v>
      </c>
      <c r="ED30" s="49">
        <f t="shared" si="7"/>
        <v>253.60000000000002</v>
      </c>
      <c r="EE30" s="49">
        <f>SUM(Model!CI30:CL30)</f>
        <v>0</v>
      </c>
      <c r="EF30" s="49">
        <f t="shared" ref="EF30:EJ30" si="38">+EE30*1.3</f>
        <v>0</v>
      </c>
      <c r="EG30" s="49">
        <f t="shared" si="38"/>
        <v>0</v>
      </c>
      <c r="EH30" s="49">
        <f t="shared" si="38"/>
        <v>0</v>
      </c>
      <c r="EI30" s="49">
        <f t="shared" si="38"/>
        <v>0</v>
      </c>
      <c r="EJ30" s="49">
        <f t="shared" si="38"/>
        <v>0</v>
      </c>
      <c r="EK30" s="49">
        <f>+EJ30*0.1</f>
        <v>0</v>
      </c>
    </row>
    <row r="31" spans="1:141" x14ac:dyDescent="0.2">
      <c r="A31" s="102"/>
      <c r="B31" s="38" t="s">
        <v>454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>
        <v>6.2</v>
      </c>
      <c r="BR31" s="51">
        <v>0</v>
      </c>
      <c r="BS31" s="51">
        <v>17.8</v>
      </c>
      <c r="BT31" s="51">
        <v>13.6</v>
      </c>
      <c r="BU31" s="51">
        <v>20.9</v>
      </c>
      <c r="BV31" s="51">
        <v>23.8</v>
      </c>
      <c r="BW31" s="51">
        <v>24.4</v>
      </c>
      <c r="BX31" s="51">
        <v>25.9</v>
      </c>
      <c r="BY31" s="51">
        <v>31.9</v>
      </c>
      <c r="BZ31" s="51">
        <v>31</v>
      </c>
      <c r="CA31" s="51">
        <v>0</v>
      </c>
      <c r="CB31" s="51">
        <f>+CA31</f>
        <v>0</v>
      </c>
      <c r="CC31" s="51">
        <v>43</v>
      </c>
      <c r="CD31" s="51">
        <f t="shared" ref="CD31" si="39">+CC31</f>
        <v>43</v>
      </c>
      <c r="CE31" s="51">
        <v>50.6</v>
      </c>
      <c r="CF31" s="51">
        <f>613.9-579</f>
        <v>34.899999999999977</v>
      </c>
      <c r="CG31" s="51">
        <v>13.1</v>
      </c>
      <c r="CH31" s="51">
        <v>0</v>
      </c>
      <c r="CI31" s="51"/>
      <c r="CJ31" s="51">
        <v>12.4</v>
      </c>
      <c r="CK31" s="51"/>
      <c r="CL31" s="51"/>
      <c r="CM31" s="51"/>
      <c r="CN31" s="51"/>
      <c r="CO31" s="51"/>
      <c r="CP31" s="52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49">
        <f t="shared" si="15"/>
        <v>6.2</v>
      </c>
      <c r="EA31" s="49">
        <f t="shared" si="10"/>
        <v>76.099999999999994</v>
      </c>
      <c r="EB31" s="49">
        <f t="shared" si="11"/>
        <v>113.19999999999999</v>
      </c>
      <c r="EC31" s="49">
        <f t="shared" si="6"/>
        <v>86</v>
      </c>
      <c r="ED31" s="49">
        <f t="shared" si="7"/>
        <v>98.599999999999966</v>
      </c>
      <c r="EE31" s="49">
        <f>SUM(Model!CI31:CL31)</f>
        <v>12.4</v>
      </c>
      <c r="EF31" s="49"/>
      <c r="EG31" s="49"/>
      <c r="EH31" s="49"/>
      <c r="EI31" s="49"/>
      <c r="EJ31" s="49"/>
      <c r="EK31" s="49"/>
    </row>
    <row r="32" spans="1:141" x14ac:dyDescent="0.2">
      <c r="A32" s="102"/>
      <c r="B32" s="38" t="s">
        <v>374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>
        <v>2.6</v>
      </c>
      <c r="BT32" s="52">
        <v>8.1</v>
      </c>
      <c r="BU32" s="52">
        <v>10.6</v>
      </c>
      <c r="BV32" s="52">
        <v>13.2</v>
      </c>
      <c r="BW32" s="52">
        <v>16.899999999999999</v>
      </c>
      <c r="BX32" s="52">
        <v>7.9</v>
      </c>
      <c r="BY32" s="52">
        <v>4.9000000000000004</v>
      </c>
      <c r="BZ32" s="52">
        <f>15.3+17.6-BY32-BX32-BW32</f>
        <v>3.2000000000000099</v>
      </c>
      <c r="CA32" s="52">
        <v>4.5</v>
      </c>
      <c r="CB32" s="52">
        <v>4</v>
      </c>
      <c r="CC32" s="52">
        <v>3.6</v>
      </c>
      <c r="CD32" s="52">
        <f>20+12.1-CC32-CB32-CA32</f>
        <v>20</v>
      </c>
      <c r="CE32" s="52">
        <f>52.8+22</f>
        <v>74.8</v>
      </c>
      <c r="CF32" s="52">
        <v>5.7</v>
      </c>
      <c r="CG32" s="52">
        <v>11.4</v>
      </c>
      <c r="CH32" s="52">
        <v>23.3</v>
      </c>
      <c r="CI32" s="52">
        <v>12.5</v>
      </c>
      <c r="CJ32" s="52">
        <v>30</v>
      </c>
      <c r="CK32" s="52">
        <f t="shared" ref="CK32:CL32" si="40">+CJ32</f>
        <v>30</v>
      </c>
      <c r="CL32" s="52">
        <f t="shared" si="40"/>
        <v>30</v>
      </c>
      <c r="CM32" s="52"/>
      <c r="CN32" s="52"/>
      <c r="CO32" s="52"/>
      <c r="CP32" s="51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49"/>
      <c r="EA32" s="49">
        <f t="shared" si="10"/>
        <v>34.5</v>
      </c>
      <c r="EB32" s="49">
        <f t="shared" si="11"/>
        <v>32.900000000000006</v>
      </c>
      <c r="EC32" s="49">
        <f t="shared" si="6"/>
        <v>32.1</v>
      </c>
      <c r="ED32" s="49">
        <f t="shared" si="7"/>
        <v>115.2</v>
      </c>
      <c r="EE32" s="49">
        <f>SUM(Model!CI32:CL32)</f>
        <v>102.5</v>
      </c>
      <c r="EF32" s="49">
        <f>+EE32*0.95</f>
        <v>97.375</v>
      </c>
      <c r="EG32" s="49">
        <f t="shared" ref="EG32:EK32" si="41">+EF32*0.95</f>
        <v>92.506249999999994</v>
      </c>
      <c r="EH32" s="49">
        <f t="shared" si="41"/>
        <v>87.880937499999987</v>
      </c>
      <c r="EI32" s="49">
        <f t="shared" si="41"/>
        <v>83.486890624999987</v>
      </c>
      <c r="EJ32" s="49">
        <f t="shared" si="41"/>
        <v>79.312546093749987</v>
      </c>
      <c r="EK32" s="49">
        <f t="shared" si="41"/>
        <v>75.346918789062485</v>
      </c>
    </row>
    <row r="33" spans="1:141" x14ac:dyDescent="0.2">
      <c r="A33" s="102"/>
      <c r="B33" s="38" t="s">
        <v>495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>
        <v>28</v>
      </c>
      <c r="BT33" s="52">
        <v>22.7</v>
      </c>
      <c r="BU33" s="52">
        <v>24.8</v>
      </c>
      <c r="BV33" s="52">
        <v>22.3</v>
      </c>
      <c r="BW33" s="52">
        <v>21.8</v>
      </c>
      <c r="BX33" s="52">
        <v>9.3000000000000007</v>
      </c>
      <c r="BY33" s="52">
        <v>10.4</v>
      </c>
      <c r="BZ33" s="52">
        <v>8.8000000000000007</v>
      </c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49"/>
      <c r="EA33" s="49">
        <f t="shared" si="10"/>
        <v>97.8</v>
      </c>
      <c r="EB33" s="49">
        <f t="shared" si="11"/>
        <v>50.3</v>
      </c>
      <c r="EC33" s="49"/>
      <c r="ED33" s="49"/>
      <c r="EE33" s="49"/>
      <c r="EF33" s="49"/>
      <c r="EG33" s="49"/>
      <c r="EH33" s="49"/>
      <c r="EI33" s="49"/>
      <c r="EJ33" s="49"/>
      <c r="EK33" s="49"/>
    </row>
    <row r="34" spans="1:141" x14ac:dyDescent="0.2">
      <c r="A34" s="102"/>
      <c r="B34" s="38" t="s">
        <v>455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>
        <v>1.4</v>
      </c>
      <c r="BT34" s="52">
        <v>2.9</v>
      </c>
      <c r="BU34" s="52">
        <v>4</v>
      </c>
      <c r="BV34" s="52">
        <v>4.4000000000000004</v>
      </c>
      <c r="BW34" s="52">
        <v>2.5</v>
      </c>
      <c r="BX34" s="52">
        <v>9.4</v>
      </c>
      <c r="BY34" s="52">
        <v>5.3</v>
      </c>
      <c r="BZ34" s="52">
        <v>6.9</v>
      </c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49"/>
      <c r="EA34" s="49">
        <f t="shared" si="10"/>
        <v>12.700000000000001</v>
      </c>
      <c r="EB34" s="49">
        <f t="shared" si="11"/>
        <v>24.1</v>
      </c>
      <c r="EC34" s="49"/>
      <c r="ED34" s="49"/>
      <c r="EE34" s="49"/>
      <c r="EF34" s="49"/>
      <c r="EG34" s="49"/>
      <c r="EH34" s="49"/>
      <c r="EI34" s="49"/>
      <c r="EJ34" s="49"/>
      <c r="EK34" s="49"/>
    </row>
    <row r="35" spans="1:141" x14ac:dyDescent="0.2">
      <c r="A35" s="102"/>
      <c r="B35" t="s">
        <v>15</v>
      </c>
      <c r="C35" s="51">
        <v>55</v>
      </c>
      <c r="D35" s="51">
        <v>74.8</v>
      </c>
      <c r="E35" s="51">
        <v>108</v>
      </c>
      <c r="F35" s="51">
        <v>132.6</v>
      </c>
      <c r="G35" s="51">
        <v>141.1</v>
      </c>
      <c r="H35" s="51">
        <v>178.6</v>
      </c>
      <c r="I35" s="51">
        <v>163.6</v>
      </c>
      <c r="J35" s="51">
        <v>183.4</v>
      </c>
      <c r="K35" s="51">
        <v>119.8</v>
      </c>
      <c r="L35" s="51">
        <v>123.5</v>
      </c>
      <c r="M35" s="51">
        <v>140.9</v>
      </c>
      <c r="N35" s="51">
        <v>168</v>
      </c>
      <c r="O35" s="51">
        <v>152</v>
      </c>
      <c r="P35" s="51">
        <v>144</v>
      </c>
      <c r="Q35" s="51">
        <v>126</v>
      </c>
      <c r="R35" s="51">
        <v>156.30000000000001</v>
      </c>
      <c r="S35" s="51">
        <v>139.9</v>
      </c>
      <c r="T35" s="51">
        <v>142.30000000000001</v>
      </c>
      <c r="U35" s="51">
        <v>130.5</v>
      </c>
      <c r="V35" s="51">
        <v>156.80000000000001</v>
      </c>
      <c r="W35" s="51">
        <v>148</v>
      </c>
      <c r="X35" s="51">
        <v>135.19999999999999</v>
      </c>
      <c r="Y35" s="51">
        <v>149.5</v>
      </c>
      <c r="Z35" s="51">
        <v>146.80000000000001</v>
      </c>
      <c r="AA35" s="51">
        <v>158.9</v>
      </c>
      <c r="AB35" s="51">
        <v>142.80000000000001</v>
      </c>
      <c r="AC35" s="51">
        <v>145.5</v>
      </c>
      <c r="AD35" s="51">
        <v>162.19999999999999</v>
      </c>
      <c r="AE35" s="51">
        <v>146.4</v>
      </c>
      <c r="AF35" s="51">
        <v>147.1</v>
      </c>
      <c r="AG35" s="51">
        <v>127.9</v>
      </c>
      <c r="AH35" s="51">
        <v>155.4</v>
      </c>
      <c r="AI35" s="51">
        <v>138.69999999999999</v>
      </c>
      <c r="AJ35" s="51">
        <v>157.69999999999999</v>
      </c>
      <c r="AK35" s="51">
        <v>153.19999999999999</v>
      </c>
      <c r="AL35" s="51">
        <v>170.6</v>
      </c>
      <c r="AM35" s="51">
        <v>158.9</v>
      </c>
      <c r="AN35" s="51">
        <v>153</v>
      </c>
      <c r="AO35" s="51">
        <v>145.6</v>
      </c>
      <c r="AP35" s="51">
        <v>163.9</v>
      </c>
      <c r="AQ35" s="51">
        <v>166.7</v>
      </c>
      <c r="AR35" s="51">
        <v>168.3</v>
      </c>
      <c r="AS35" s="51">
        <v>173.2</v>
      </c>
      <c r="AT35" s="51">
        <v>201.1</v>
      </c>
      <c r="AU35" s="51">
        <v>154.4</v>
      </c>
      <c r="AV35" s="51">
        <v>197.4</v>
      </c>
      <c r="AW35" s="51">
        <v>191.9</v>
      </c>
      <c r="AX35" s="51">
        <v>194.9</v>
      </c>
      <c r="AY35" s="51">
        <v>173.7</v>
      </c>
      <c r="AZ35" s="51">
        <v>191.8</v>
      </c>
      <c r="BA35" s="51">
        <v>196.9</v>
      </c>
      <c r="BB35" s="51">
        <v>221.6</v>
      </c>
      <c r="BC35" s="51">
        <v>188.1</v>
      </c>
      <c r="BD35" s="51">
        <v>224.6</v>
      </c>
      <c r="BE35" s="51">
        <v>198.8</v>
      </c>
      <c r="BF35" s="51">
        <v>243.2</v>
      </c>
      <c r="BG35" s="51">
        <v>196.2</v>
      </c>
      <c r="BH35" s="51">
        <v>186.6</v>
      </c>
      <c r="BI35" s="51">
        <v>137.1</v>
      </c>
      <c r="BJ35" s="51">
        <v>98.3</v>
      </c>
      <c r="BK35" s="51">
        <v>130.69999999999999</v>
      </c>
      <c r="BL35" s="51">
        <v>114.2</v>
      </c>
      <c r="BM35" s="51">
        <v>98.7</v>
      </c>
      <c r="BN35" s="51">
        <v>107.2</v>
      </c>
      <c r="BO35" s="51">
        <v>66.2</v>
      </c>
      <c r="BP35" s="51">
        <v>82.6</v>
      </c>
      <c r="BQ35" s="51">
        <v>52.1</v>
      </c>
      <c r="BR35" s="51">
        <f>242.5-BQ35-BP35-BO35</f>
        <v>41.600000000000009</v>
      </c>
      <c r="BS35" s="51">
        <v>38.200000000000003</v>
      </c>
      <c r="BT35" s="51">
        <v>22.5</v>
      </c>
      <c r="BU35" s="51">
        <v>32.700000000000003</v>
      </c>
      <c r="BV35" s="51">
        <v>35.1</v>
      </c>
      <c r="BW35" s="51">
        <v>38.6</v>
      </c>
      <c r="BX35" s="51">
        <v>40.5</v>
      </c>
      <c r="BY35" s="51">
        <v>35.200000000000003</v>
      </c>
      <c r="BZ35" s="51">
        <v>36.1</v>
      </c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51"/>
      <c r="DI35" s="51">
        <v>3</v>
      </c>
      <c r="DJ35" s="51">
        <v>370</v>
      </c>
      <c r="DK35" s="51">
        <v>666</v>
      </c>
      <c r="DL35" s="51">
        <v>552</v>
      </c>
      <c r="DM35" s="51">
        <v>594</v>
      </c>
      <c r="DN35" s="51">
        <f>SUM(S35:V35)</f>
        <v>569.5</v>
      </c>
      <c r="DO35" s="51">
        <f>SUM(W35:Z35)</f>
        <v>579.5</v>
      </c>
      <c r="DP35" s="51">
        <f>SUM(AA35:AD35)</f>
        <v>609.40000000000009</v>
      </c>
      <c r="DQ35" s="51">
        <f>SUM(AE35:AH35)</f>
        <v>576.79999999999995</v>
      </c>
      <c r="DR35" s="51">
        <f>SUM(AI35:AL35)</f>
        <v>620.19999999999993</v>
      </c>
      <c r="DS35" s="51">
        <f>SUM(AM35:AP35)</f>
        <v>621.4</v>
      </c>
      <c r="DT35" s="51">
        <v>709.2</v>
      </c>
      <c r="DU35" s="51">
        <v>738.5</v>
      </c>
      <c r="DV35" s="51">
        <v>784</v>
      </c>
      <c r="DW35" s="51">
        <v>854.7</v>
      </c>
      <c r="DX35" s="51">
        <f>284.9+333.3</f>
        <v>618.20000000000005</v>
      </c>
      <c r="DY35" s="51">
        <v>450.8</v>
      </c>
      <c r="DZ35" s="49">
        <f t="shared" si="15"/>
        <v>242.5</v>
      </c>
      <c r="EA35" s="49">
        <f t="shared" si="10"/>
        <v>128.5</v>
      </c>
      <c r="EB35" s="49">
        <f t="shared" si="11"/>
        <v>150.4</v>
      </c>
      <c r="EC35" s="49"/>
      <c r="ED35" s="49"/>
      <c r="EE35" s="49"/>
      <c r="EF35" s="49"/>
      <c r="EG35" s="49"/>
      <c r="EH35" s="49"/>
      <c r="EI35" s="49"/>
      <c r="EJ35" s="49"/>
      <c r="EK35" s="49"/>
    </row>
    <row r="36" spans="1:141" x14ac:dyDescent="0.2">
      <c r="A36" s="102"/>
      <c r="B36" t="s">
        <v>69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>
        <v>102</v>
      </c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>
        <v>88.7</v>
      </c>
      <c r="BT36" s="51">
        <v>46.2</v>
      </c>
      <c r="BU36" s="51">
        <v>50.7</v>
      </c>
      <c r="BV36" s="51">
        <v>110.8</v>
      </c>
      <c r="BW36" s="51">
        <v>64.900000000000006</v>
      </c>
      <c r="BX36" s="51">
        <v>22.4</v>
      </c>
      <c r="BY36" s="51">
        <v>50.2</v>
      </c>
      <c r="BZ36" s="51">
        <v>51.4</v>
      </c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>
        <v>269</v>
      </c>
      <c r="DC36" s="49"/>
      <c r="DD36" s="49"/>
      <c r="DE36" s="49"/>
      <c r="DF36" s="49">
        <v>300</v>
      </c>
      <c r="DG36" s="49">
        <v>300.7</v>
      </c>
      <c r="DH36" s="51"/>
      <c r="DI36" s="51">
        <v>329</v>
      </c>
      <c r="DJ36" s="51">
        <v>371</v>
      </c>
      <c r="DK36" s="51">
        <v>430</v>
      </c>
      <c r="DL36" s="51">
        <v>414</v>
      </c>
      <c r="DM36" s="51">
        <v>413</v>
      </c>
      <c r="DN36" s="51">
        <f>DM36*1.05</f>
        <v>433.65000000000003</v>
      </c>
      <c r="DO36" s="51">
        <f>DN36*1.05</f>
        <v>455.33250000000004</v>
      </c>
      <c r="DP36" s="51">
        <f>DO36*1.05</f>
        <v>478.09912500000007</v>
      </c>
      <c r="DQ36" s="51"/>
      <c r="DR36" s="51"/>
      <c r="DS36" s="51"/>
      <c r="DT36" s="51"/>
      <c r="DU36" s="51"/>
      <c r="DV36" s="51"/>
      <c r="DW36" s="51"/>
      <c r="DX36" s="51"/>
      <c r="DY36" s="53"/>
      <c r="DZ36" s="49"/>
      <c r="EA36" s="49">
        <f t="shared" ref="EA36" si="42">SUM(BS36:BV36)</f>
        <v>296.40000000000003</v>
      </c>
      <c r="EB36" s="49">
        <f>SUM(BW36:BZ36)</f>
        <v>188.9</v>
      </c>
      <c r="EC36" s="49"/>
      <c r="ED36" s="49"/>
    </row>
    <row r="37" spans="1:141" x14ac:dyDescent="0.2">
      <c r="A37" s="102"/>
      <c r="B37" s="38" t="s">
        <v>509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>
        <v>0.6</v>
      </c>
      <c r="BC37" s="51">
        <v>1.7</v>
      </c>
      <c r="BD37" s="51">
        <v>4</v>
      </c>
      <c r="BE37" s="51">
        <v>5.3</v>
      </c>
      <c r="BF37" s="51">
        <v>3.8</v>
      </c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  <c r="DS37" s="51"/>
      <c r="DT37" s="51"/>
      <c r="DU37" s="51"/>
      <c r="DV37" s="51"/>
      <c r="DW37" s="51"/>
      <c r="DX37" s="51"/>
      <c r="DY37" s="51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</row>
    <row r="38" spans="1:141" x14ac:dyDescent="0.2">
      <c r="A38" s="102"/>
      <c r="B38" s="38" t="s">
        <v>508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>
        <v>11.9</v>
      </c>
      <c r="BG38" s="51">
        <v>42.1</v>
      </c>
      <c r="BH38" s="51">
        <v>47.4</v>
      </c>
      <c r="BI38" s="51">
        <v>54.5</v>
      </c>
      <c r="BJ38" s="51">
        <v>59</v>
      </c>
      <c r="BK38" s="51">
        <v>64.400000000000006</v>
      </c>
      <c r="BL38" s="51">
        <v>79.900000000000006</v>
      </c>
      <c r="BM38" s="51">
        <v>76.900000000000006</v>
      </c>
      <c r="BN38" s="51">
        <v>83.5</v>
      </c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</row>
    <row r="39" spans="1:141" x14ac:dyDescent="0.2">
      <c r="A39" s="102"/>
      <c r="B39" t="s">
        <v>79</v>
      </c>
      <c r="C39" s="51"/>
      <c r="D39" s="51"/>
      <c r="E39" s="51"/>
      <c r="F39" s="51"/>
      <c r="G39" s="51"/>
      <c r="H39" s="51"/>
      <c r="I39" s="51"/>
      <c r="J39" s="51">
        <v>251.4</v>
      </c>
      <c r="K39" s="51">
        <f>O39/1.01</f>
        <v>196.33663366336634</v>
      </c>
      <c r="L39" s="51">
        <v>201</v>
      </c>
      <c r="M39" s="51">
        <v>216</v>
      </c>
      <c r="N39" s="51">
        <v>251.4</v>
      </c>
      <c r="O39" s="51">
        <v>198.3</v>
      </c>
      <c r="P39" s="51">
        <v>201</v>
      </c>
      <c r="Q39" s="51">
        <v>216</v>
      </c>
      <c r="R39" s="51">
        <v>236.6</v>
      </c>
      <c r="S39" s="51">
        <v>210</v>
      </c>
      <c r="T39" s="51">
        <v>214.7</v>
      </c>
      <c r="U39" s="51">
        <v>236.8</v>
      </c>
      <c r="V39" s="51">
        <v>329.4</v>
      </c>
      <c r="W39" s="51"/>
      <c r="X39" s="51">
        <v>254.5</v>
      </c>
      <c r="Y39" s="51">
        <v>277.10000000000002</v>
      </c>
      <c r="Z39" s="51">
        <v>326.39999999999998</v>
      </c>
      <c r="AA39" s="51">
        <v>264.10000000000002</v>
      </c>
      <c r="AB39" s="51">
        <v>275.39999999999998</v>
      </c>
      <c r="AC39" s="51">
        <v>314.60000000000002</v>
      </c>
      <c r="AD39" s="51">
        <v>353.1</v>
      </c>
      <c r="AE39" s="51">
        <v>289.60000000000002</v>
      </c>
      <c r="AF39" s="51">
        <v>324.2</v>
      </c>
      <c r="AG39" s="51">
        <v>353.2</v>
      </c>
      <c r="AH39" s="51">
        <v>424.3</v>
      </c>
      <c r="AI39" s="51">
        <v>369.8</v>
      </c>
      <c r="AJ39" s="51">
        <v>389.5</v>
      </c>
      <c r="AK39" s="51">
        <v>451</v>
      </c>
      <c r="AL39" s="51">
        <v>468.2</v>
      </c>
      <c r="AM39" s="51">
        <v>490.7</v>
      </c>
      <c r="AN39" s="51">
        <v>512.20000000000005</v>
      </c>
      <c r="AO39" s="51">
        <v>479.4</v>
      </c>
      <c r="AP39" s="51">
        <v>554.1</v>
      </c>
      <c r="AQ39" s="51">
        <v>499.1</v>
      </c>
      <c r="AR39" s="51">
        <v>543.5</v>
      </c>
      <c r="AS39" s="51">
        <v>530.29999999999995</v>
      </c>
      <c r="AT39" s="51">
        <v>578.4</v>
      </c>
      <c r="AU39" s="51">
        <v>527.4</v>
      </c>
      <c r="AV39" s="51">
        <v>601.20000000000005</v>
      </c>
      <c r="AW39" s="51">
        <v>584.70000000000005</v>
      </c>
      <c r="AX39" s="51">
        <v>633.29999999999995</v>
      </c>
      <c r="AY39" s="51">
        <v>749.8</v>
      </c>
      <c r="AZ39" s="51">
        <v>840.8</v>
      </c>
      <c r="BA39" s="51">
        <v>778.8</v>
      </c>
      <c r="BB39" s="51">
        <v>811.7</v>
      </c>
      <c r="BC39" s="51">
        <v>754.6</v>
      </c>
      <c r="BD39" s="51">
        <v>859.8</v>
      </c>
      <c r="BE39" s="51">
        <v>706.2</v>
      </c>
      <c r="BF39" s="51">
        <v>837.6</v>
      </c>
      <c r="BG39" s="51">
        <v>769.4</v>
      </c>
      <c r="BH39" s="51">
        <v>784.8</v>
      </c>
      <c r="BI39" s="51">
        <v>740.6</v>
      </c>
      <c r="BJ39" s="51">
        <v>790.9</v>
      </c>
      <c r="BK39" s="94" t="s">
        <v>760</v>
      </c>
      <c r="BL39" s="51">
        <v>792.1</v>
      </c>
      <c r="BM39" s="51">
        <v>772.7</v>
      </c>
      <c r="BN39" s="51">
        <v>816.5</v>
      </c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>
        <v>464</v>
      </c>
      <c r="DB39" s="49">
        <v>512.4</v>
      </c>
      <c r="DC39" s="49"/>
      <c r="DD39" s="49"/>
      <c r="DE39" s="49">
        <v>614.4</v>
      </c>
      <c r="DF39" s="49">
        <v>627.79999999999995</v>
      </c>
      <c r="DG39" s="49">
        <v>668.5</v>
      </c>
      <c r="DH39" s="51"/>
      <c r="DI39" s="51">
        <v>693</v>
      </c>
      <c r="DJ39" s="51">
        <v>727</v>
      </c>
      <c r="DK39" s="51">
        <v>798</v>
      </c>
      <c r="DL39" s="51">
        <v>864</v>
      </c>
      <c r="DM39" s="51">
        <v>882</v>
      </c>
      <c r="DN39" s="51">
        <f>DM39*1.05</f>
        <v>926.1</v>
      </c>
      <c r="DO39" s="51">
        <f t="shared" si="19"/>
        <v>858</v>
      </c>
      <c r="DP39" s="51">
        <f t="shared" si="20"/>
        <v>1207.2</v>
      </c>
      <c r="DQ39" s="51">
        <f t="shared" si="21"/>
        <v>1391.3</v>
      </c>
      <c r="DR39" s="51">
        <f t="shared" si="22"/>
        <v>1678.5</v>
      </c>
      <c r="DS39" s="51">
        <f t="shared" ref="DS39:DS43" si="43">SUM(AM39:AP39)</f>
        <v>2036.4</v>
      </c>
      <c r="DT39" s="51">
        <v>2151.5</v>
      </c>
      <c r="DU39" s="51">
        <v>2346.6</v>
      </c>
      <c r="DV39" s="51">
        <v>3181</v>
      </c>
      <c r="DW39" s="51">
        <v>3158.2</v>
      </c>
      <c r="DX39" s="51"/>
      <c r="DY39" s="51"/>
      <c r="DZ39" s="49"/>
      <c r="EA39" s="49"/>
      <c r="EB39" s="49"/>
      <c r="EC39" s="49"/>
      <c r="ED39" s="49"/>
    </row>
    <row r="40" spans="1:141" s="38" customFormat="1" x14ac:dyDescent="0.2">
      <c r="A40" s="106"/>
      <c r="B40" s="38" t="s">
        <v>261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>
        <v>22.6</v>
      </c>
      <c r="AD40" s="52">
        <v>4</v>
      </c>
      <c r="AE40" s="52">
        <v>8.8000000000000007</v>
      </c>
      <c r="AF40" s="52">
        <v>22.9</v>
      </c>
      <c r="AG40" s="52">
        <v>36.299999999999997</v>
      </c>
      <c r="AH40" s="52">
        <v>47</v>
      </c>
      <c r="AI40" s="52">
        <v>56.3</v>
      </c>
      <c r="AJ40" s="52">
        <v>71.7</v>
      </c>
      <c r="AK40" s="52">
        <v>83.5</v>
      </c>
      <c r="AL40" s="52">
        <v>90.9</v>
      </c>
      <c r="AM40" s="52">
        <v>115.8</v>
      </c>
      <c r="AN40" s="52">
        <v>111</v>
      </c>
      <c r="AO40" s="52">
        <v>109.7</v>
      </c>
      <c r="AP40" s="52">
        <v>120.6</v>
      </c>
      <c r="AQ40" s="52">
        <v>115.9</v>
      </c>
      <c r="AR40" s="52">
        <v>137.4</v>
      </c>
      <c r="AS40" s="52">
        <v>124.9</v>
      </c>
      <c r="AT40" s="52">
        <v>130.6</v>
      </c>
      <c r="AU40" s="52">
        <v>119.3</v>
      </c>
      <c r="AV40" s="52">
        <v>133.6</v>
      </c>
      <c r="AW40" s="52">
        <v>131.5</v>
      </c>
      <c r="AX40" s="52">
        <v>137.80000000000001</v>
      </c>
      <c r="AY40" s="52">
        <v>121.8</v>
      </c>
      <c r="AZ40" s="52">
        <v>128.80000000000001</v>
      </c>
      <c r="BA40" s="52">
        <v>132.1</v>
      </c>
      <c r="BB40" s="52">
        <v>140.30000000000001</v>
      </c>
      <c r="BC40" s="52">
        <v>131.5</v>
      </c>
      <c r="BD40" s="52">
        <v>135.1</v>
      </c>
      <c r="BE40" s="52">
        <v>127.7</v>
      </c>
      <c r="BF40" s="52">
        <v>140.9</v>
      </c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2"/>
      <c r="DI40" s="52"/>
      <c r="DJ40" s="52"/>
      <c r="DK40" s="52"/>
      <c r="DL40" s="52"/>
      <c r="DM40" s="52"/>
      <c r="DN40" s="52"/>
      <c r="DO40" s="52"/>
      <c r="DP40" s="52">
        <f>SUM(AA40:AD40)</f>
        <v>26.6</v>
      </c>
      <c r="DQ40" s="52">
        <f>SUM(AE40:AH40)</f>
        <v>115</v>
      </c>
      <c r="DR40" s="51">
        <f t="shared" si="22"/>
        <v>302.39999999999998</v>
      </c>
      <c r="DS40" s="51">
        <f t="shared" si="43"/>
        <v>457.1</v>
      </c>
      <c r="DT40" s="52">
        <v>508.7</v>
      </c>
      <c r="DU40" s="52">
        <v>522.20000000000005</v>
      </c>
      <c r="DV40" s="52">
        <v>523</v>
      </c>
      <c r="DW40" s="52">
        <v>535.20000000000005</v>
      </c>
      <c r="DX40" s="52"/>
      <c r="DY40" s="52"/>
      <c r="DZ40" s="49"/>
      <c r="EA40" s="49"/>
      <c r="EB40" s="49"/>
      <c r="EC40" s="49"/>
      <c r="ED40" s="49"/>
    </row>
    <row r="41" spans="1:141" x14ac:dyDescent="0.2">
      <c r="A41" s="102"/>
      <c r="B41" t="s">
        <v>55</v>
      </c>
      <c r="C41" s="51">
        <v>233.9</v>
      </c>
      <c r="D41" s="51">
        <v>254.6</v>
      </c>
      <c r="E41" s="51">
        <v>250.6</v>
      </c>
      <c r="F41" s="51">
        <v>282.60000000000002</v>
      </c>
      <c r="G41" s="51">
        <v>279</v>
      </c>
      <c r="H41" s="51">
        <v>293.3</v>
      </c>
      <c r="I41" s="51">
        <v>312.7</v>
      </c>
      <c r="J41" s="51">
        <v>329.5</v>
      </c>
      <c r="K41" s="51">
        <v>304.60000000000002</v>
      </c>
      <c r="L41" s="51">
        <v>343</v>
      </c>
      <c r="M41" s="51">
        <v>334.3</v>
      </c>
      <c r="N41" s="51">
        <v>352.6</v>
      </c>
      <c r="O41" s="51">
        <v>339</v>
      </c>
      <c r="P41" s="51">
        <v>344</v>
      </c>
      <c r="Q41" s="51">
        <v>355</v>
      </c>
      <c r="R41" s="51">
        <v>371.3</v>
      </c>
      <c r="S41" s="51">
        <v>376.9</v>
      </c>
      <c r="T41" s="51">
        <v>395.6</v>
      </c>
      <c r="U41" s="51">
        <v>394.4</v>
      </c>
      <c r="V41" s="51">
        <v>425.5</v>
      </c>
      <c r="W41" s="51">
        <v>426.2</v>
      </c>
      <c r="X41" s="51">
        <v>440.1</v>
      </c>
      <c r="Y41" s="51">
        <v>440.2</v>
      </c>
      <c r="Z41" s="51">
        <v>413.3</v>
      </c>
      <c r="AA41" s="51">
        <v>367.8</v>
      </c>
      <c r="AB41" s="51">
        <v>353.2</v>
      </c>
      <c r="AC41" s="51">
        <v>331.8</v>
      </c>
      <c r="AD41" s="51">
        <v>310.5</v>
      </c>
      <c r="AE41" s="51">
        <v>287.8</v>
      </c>
      <c r="AF41" s="51">
        <v>293.39999999999998</v>
      </c>
      <c r="AG41" s="51">
        <v>324.60000000000002</v>
      </c>
      <c r="AH41" s="51">
        <v>243.6</v>
      </c>
      <c r="AI41" s="51">
        <v>156.1</v>
      </c>
      <c r="AJ41" s="51">
        <v>112.4</v>
      </c>
      <c r="AK41" s="51">
        <v>91</v>
      </c>
      <c r="AL41" s="51">
        <v>92.6</v>
      </c>
      <c r="AM41" s="51">
        <v>0</v>
      </c>
      <c r="AN41" s="51">
        <v>0</v>
      </c>
      <c r="AO41" s="51">
        <v>0</v>
      </c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>
        <v>306.8</v>
      </c>
      <c r="DF41" s="49">
        <v>455.8</v>
      </c>
      <c r="DG41" s="49">
        <v>559.29999999999995</v>
      </c>
      <c r="DH41" s="51">
        <v>722.9</v>
      </c>
      <c r="DI41" s="51">
        <v>875</v>
      </c>
      <c r="DJ41" s="51">
        <v>1022</v>
      </c>
      <c r="DK41" s="51">
        <v>1214</v>
      </c>
      <c r="DL41" s="51">
        <v>1335</v>
      </c>
      <c r="DM41" s="51">
        <f>SUM(O41:R41)</f>
        <v>1409.3</v>
      </c>
      <c r="DN41" s="51">
        <f>SUM(S41:V41)</f>
        <v>1592.4</v>
      </c>
      <c r="DO41" s="51">
        <f>SUM(W41:Z41)</f>
        <v>1719.8</v>
      </c>
      <c r="DP41" s="51">
        <f>SUM(AA41:AD41)</f>
        <v>1363.3</v>
      </c>
      <c r="DQ41" s="51">
        <f>SUM(AE41:AH41)</f>
        <v>1149.4000000000001</v>
      </c>
      <c r="DR41" s="51">
        <f>SUM(AI41:AL41)</f>
        <v>452.1</v>
      </c>
      <c r="DS41" s="51">
        <f t="shared" si="43"/>
        <v>0</v>
      </c>
      <c r="DT41" s="51"/>
      <c r="DU41" s="51"/>
      <c r="DV41" s="51"/>
      <c r="DW41" s="51"/>
      <c r="DX41" s="51"/>
      <c r="DY41" s="53"/>
      <c r="DZ41" s="49"/>
      <c r="EA41" s="49"/>
      <c r="EB41" s="49"/>
      <c r="EC41" s="49"/>
      <c r="ED41" s="49"/>
    </row>
    <row r="42" spans="1:141" x14ac:dyDescent="0.2">
      <c r="A42" s="102"/>
      <c r="B42" s="38" t="s">
        <v>41</v>
      </c>
      <c r="C42" s="51"/>
      <c r="D42" s="51"/>
      <c r="E42" s="51"/>
      <c r="F42" s="51"/>
      <c r="G42" s="51"/>
      <c r="H42" s="51"/>
      <c r="I42" s="51">
        <v>13.5</v>
      </c>
      <c r="J42" s="51">
        <v>15.2</v>
      </c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51"/>
      <c r="DX42" s="51"/>
      <c r="DY42" s="53"/>
      <c r="DZ42" s="49"/>
      <c r="EA42" s="49"/>
      <c r="EB42" s="49"/>
      <c r="EC42" s="49"/>
      <c r="ED42" s="49"/>
    </row>
    <row r="43" spans="1:141" x14ac:dyDescent="0.2">
      <c r="A43" s="102"/>
      <c r="B43" t="s">
        <v>70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>
        <v>25.7</v>
      </c>
      <c r="O43" s="51">
        <v>36</v>
      </c>
      <c r="P43" s="51">
        <v>52</v>
      </c>
      <c r="Q43" s="51">
        <v>62</v>
      </c>
      <c r="R43" s="51">
        <f>V43/1.34</f>
        <v>68.731343283582078</v>
      </c>
      <c r="S43" s="51">
        <v>72</v>
      </c>
      <c r="T43" s="51">
        <v>152.1</v>
      </c>
      <c r="U43" s="51">
        <v>87.1</v>
      </c>
      <c r="V43" s="51">
        <v>92.1</v>
      </c>
      <c r="W43" s="51">
        <v>82.7</v>
      </c>
      <c r="X43" s="51">
        <v>101.2</v>
      </c>
      <c r="Y43" s="51">
        <v>109.2</v>
      </c>
      <c r="Z43" s="51">
        <v>103</v>
      </c>
      <c r="AA43" s="51">
        <v>97.5</v>
      </c>
      <c r="AB43" s="51">
        <v>114.6</v>
      </c>
      <c r="AC43" s="51">
        <v>115.8</v>
      </c>
      <c r="AD43" s="51">
        <v>120.5</v>
      </c>
      <c r="AE43" s="51">
        <v>115.7</v>
      </c>
      <c r="AF43" s="51">
        <v>106.9</v>
      </c>
      <c r="AG43" s="51">
        <v>102.7</v>
      </c>
      <c r="AH43" s="51">
        <v>105.3</v>
      </c>
      <c r="AI43" s="51">
        <v>101.8</v>
      </c>
      <c r="AJ43" s="51">
        <v>103.9</v>
      </c>
      <c r="AK43" s="51">
        <v>106.7</v>
      </c>
      <c r="AL43" s="51">
        <v>110.3</v>
      </c>
      <c r="AM43" s="51">
        <v>0</v>
      </c>
      <c r="AN43" s="51">
        <v>0</v>
      </c>
      <c r="AO43" s="51">
        <v>0</v>
      </c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51"/>
      <c r="DI43" s="51"/>
      <c r="DJ43" s="51"/>
      <c r="DK43" s="51"/>
      <c r="DL43" s="51">
        <v>36</v>
      </c>
      <c r="DM43" s="51">
        <v>193</v>
      </c>
      <c r="DN43" s="51">
        <f>DM43*1.75</f>
        <v>337.75</v>
      </c>
      <c r="DO43" s="51">
        <f>SUM(W43:Z43)</f>
        <v>396.1</v>
      </c>
      <c r="DP43" s="51">
        <f>SUM(AA43:AD43)</f>
        <v>448.4</v>
      </c>
      <c r="DQ43" s="51">
        <f>SUM(AE43:AH43)</f>
        <v>430.6</v>
      </c>
      <c r="DR43" s="51">
        <f>SUM(AI43:AL43)</f>
        <v>422.7</v>
      </c>
      <c r="DS43" s="51">
        <f t="shared" si="43"/>
        <v>0</v>
      </c>
      <c r="DT43" s="51"/>
      <c r="DU43" s="51"/>
      <c r="DV43" s="51"/>
      <c r="DW43" s="51"/>
      <c r="DX43" s="51"/>
      <c r="DY43" s="53"/>
      <c r="DZ43" s="49"/>
      <c r="EA43" s="49"/>
      <c r="EB43" s="49"/>
      <c r="EC43" s="49"/>
      <c r="ED43" s="49"/>
    </row>
    <row r="44" spans="1:141" x14ac:dyDescent="0.2">
      <c r="A44" s="102"/>
      <c r="B44" t="s">
        <v>61</v>
      </c>
      <c r="C44" s="51">
        <v>149.9</v>
      </c>
      <c r="D44" s="51">
        <v>175</v>
      </c>
      <c r="E44" s="51">
        <v>154.19999999999999</v>
      </c>
      <c r="F44" s="51">
        <f>645.1-E44-D44-C44</f>
        <v>166.00000000000003</v>
      </c>
      <c r="G44" s="51">
        <v>165</v>
      </c>
      <c r="H44" s="51">
        <v>129.80000000000001</v>
      </c>
      <c r="I44" s="51">
        <v>141</v>
      </c>
      <c r="J44" s="51">
        <v>123.1</v>
      </c>
      <c r="K44" s="51">
        <v>112.5</v>
      </c>
      <c r="L44" s="51">
        <v>114.2</v>
      </c>
      <c r="M44" s="51">
        <v>102.6</v>
      </c>
      <c r="N44" s="51">
        <v>114.4</v>
      </c>
      <c r="O44" s="51"/>
      <c r="P44" s="51"/>
      <c r="Q44" s="51">
        <v>78</v>
      </c>
      <c r="R44" s="51"/>
      <c r="S44" s="51">
        <f>Q44</f>
        <v>78</v>
      </c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>
        <v>1700</v>
      </c>
      <c r="DB44" s="49">
        <v>2100</v>
      </c>
      <c r="DC44" s="49"/>
      <c r="DD44" s="49"/>
      <c r="DE44" s="49">
        <v>2810</v>
      </c>
      <c r="DF44" s="49">
        <v>2613.4</v>
      </c>
      <c r="DG44" s="49">
        <v>2573.6999999999998</v>
      </c>
      <c r="DH44" s="51">
        <v>1990</v>
      </c>
      <c r="DI44" s="51">
        <v>734</v>
      </c>
      <c r="DJ44" s="51">
        <v>645</v>
      </c>
      <c r="DK44" s="51">
        <v>559</v>
      </c>
      <c r="DL44" s="51">
        <v>454</v>
      </c>
      <c r="DM44" s="51">
        <v>327</v>
      </c>
      <c r="DN44" s="51">
        <f>DM44*0.95</f>
        <v>310.64999999999998</v>
      </c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3"/>
      <c r="DZ44" s="49"/>
      <c r="EA44" s="49"/>
      <c r="EB44" s="49"/>
      <c r="EC44" s="49"/>
      <c r="ED44" s="49"/>
    </row>
    <row r="45" spans="1:141" x14ac:dyDescent="0.2">
      <c r="A45" s="102"/>
      <c r="B45" t="s">
        <v>63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>
        <f>227.5+494.7</f>
        <v>722.2</v>
      </c>
      <c r="DC45" s="49"/>
      <c r="DD45" s="49"/>
      <c r="DE45" s="49"/>
      <c r="DF45" s="49"/>
      <c r="DG45" s="49">
        <v>285.39999999999998</v>
      </c>
      <c r="DH45" s="51"/>
      <c r="DI45" s="51">
        <v>198</v>
      </c>
      <c r="DJ45" s="51">
        <v>171</v>
      </c>
      <c r="DK45" s="51">
        <v>138</v>
      </c>
      <c r="DL45" s="51">
        <v>118</v>
      </c>
      <c r="DM45" s="51">
        <v>90</v>
      </c>
      <c r="DN45" s="51">
        <f>DM45*0.9</f>
        <v>81</v>
      </c>
      <c r="DO45" s="51">
        <f>DN45*0.9</f>
        <v>72.900000000000006</v>
      </c>
      <c r="DP45" s="51"/>
      <c r="DQ45" s="51"/>
      <c r="DR45" s="51"/>
      <c r="DS45" s="51"/>
      <c r="DT45" s="51"/>
      <c r="DU45" s="51"/>
      <c r="DV45" s="51"/>
      <c r="DW45" s="51"/>
      <c r="DX45" s="51"/>
      <c r="DY45" s="53"/>
      <c r="DZ45" s="49"/>
      <c r="EA45" s="49"/>
      <c r="EB45" s="49"/>
      <c r="EC45" s="49"/>
      <c r="ED45" s="49"/>
    </row>
    <row r="46" spans="1:141" x14ac:dyDescent="0.2">
      <c r="A46" s="102"/>
      <c r="B46" t="s">
        <v>64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>
        <v>169</v>
      </c>
      <c r="DC46" s="49"/>
      <c r="DD46" s="49"/>
      <c r="DE46" s="49"/>
      <c r="DF46" s="49"/>
      <c r="DG46" s="49"/>
      <c r="DH46" s="51"/>
      <c r="DI46" s="51">
        <v>38</v>
      </c>
      <c r="DJ46" s="51">
        <v>32</v>
      </c>
      <c r="DK46" s="51">
        <v>55</v>
      </c>
      <c r="DL46" s="51">
        <v>28</v>
      </c>
      <c r="DM46" s="51">
        <v>17</v>
      </c>
      <c r="DN46" s="51">
        <v>16</v>
      </c>
      <c r="DO46" s="51">
        <v>16</v>
      </c>
      <c r="DP46" s="51"/>
      <c r="DQ46" s="51"/>
      <c r="DR46" s="51"/>
      <c r="DS46" s="51"/>
      <c r="DT46" s="51"/>
      <c r="DU46" s="51"/>
      <c r="DV46" s="51"/>
      <c r="DW46" s="51"/>
      <c r="DX46" s="51"/>
      <c r="DY46" s="53"/>
      <c r="DZ46" s="49"/>
      <c r="EA46" s="49"/>
      <c r="EB46" s="49"/>
      <c r="EC46" s="49"/>
      <c r="ED46" s="49"/>
    </row>
    <row r="47" spans="1:141" x14ac:dyDescent="0.2">
      <c r="A47" s="102"/>
      <c r="B47" s="38" t="s">
        <v>768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>
        <v>548</v>
      </c>
      <c r="DC47" s="49"/>
      <c r="DD47" s="49"/>
      <c r="DE47" s="49">
        <v>418</v>
      </c>
      <c r="DF47" s="49">
        <v>354.7</v>
      </c>
      <c r="DG47" s="49">
        <v>321.39999999999998</v>
      </c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3"/>
      <c r="DZ47" s="49"/>
      <c r="EA47" s="49"/>
      <c r="EB47" s="49"/>
      <c r="EC47" s="49"/>
      <c r="ED47" s="49"/>
    </row>
    <row r="48" spans="1:141" x14ac:dyDescent="0.2">
      <c r="A48" s="102"/>
      <c r="B48" t="s">
        <v>65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51"/>
      <c r="DI48" s="51">
        <v>75</v>
      </c>
      <c r="DJ48" s="51">
        <v>52</v>
      </c>
      <c r="DK48" s="51">
        <v>46</v>
      </c>
      <c r="DL48" s="51">
        <v>34</v>
      </c>
      <c r="DM48" s="51">
        <v>32</v>
      </c>
      <c r="DN48" s="51">
        <f>DM48*0.8</f>
        <v>25.6</v>
      </c>
      <c r="DO48" s="51">
        <f>DN48*0.8</f>
        <v>20.480000000000004</v>
      </c>
      <c r="DP48" s="51"/>
      <c r="DQ48" s="51"/>
      <c r="DR48" s="51"/>
      <c r="DS48" s="51"/>
      <c r="DT48" s="51"/>
      <c r="DU48" s="51"/>
      <c r="DV48" s="51"/>
      <c r="DW48" s="51"/>
      <c r="DX48" s="51"/>
      <c r="DY48" s="53"/>
      <c r="DZ48" s="49"/>
      <c r="EA48" s="49"/>
      <c r="EB48" s="49"/>
      <c r="EC48" s="49"/>
      <c r="ED48" s="49"/>
    </row>
    <row r="49" spans="1:141" x14ac:dyDescent="0.2">
      <c r="A49" s="102"/>
      <c r="B49" t="s">
        <v>66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>
        <v>25</v>
      </c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>
        <v>205</v>
      </c>
      <c r="DH49" s="51"/>
      <c r="DI49" s="51">
        <v>145</v>
      </c>
      <c r="DJ49" s="51">
        <v>173</v>
      </c>
      <c r="DK49" s="51">
        <v>198</v>
      </c>
      <c r="DL49" s="51">
        <v>240</v>
      </c>
      <c r="DM49" s="51">
        <v>154</v>
      </c>
      <c r="DN49" s="51">
        <v>136</v>
      </c>
      <c r="DO49" s="51">
        <v>143</v>
      </c>
      <c r="DP49" s="51"/>
      <c r="DQ49" s="51"/>
      <c r="DR49" s="51"/>
      <c r="DS49" s="51"/>
      <c r="DT49" s="51"/>
      <c r="DU49" s="51"/>
      <c r="DV49" s="51"/>
      <c r="DW49" s="51"/>
      <c r="DX49" s="51"/>
      <c r="DY49" s="53"/>
      <c r="DZ49" s="49"/>
      <c r="EA49" s="49"/>
      <c r="EB49" s="49"/>
      <c r="EC49" s="49"/>
      <c r="ED49" s="49"/>
    </row>
    <row r="50" spans="1:141" x14ac:dyDescent="0.2">
      <c r="A50" s="102"/>
      <c r="B50" t="s">
        <v>67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51"/>
      <c r="DI50" s="51">
        <v>122</v>
      </c>
      <c r="DJ50" s="51">
        <v>63</v>
      </c>
      <c r="DK50" s="51">
        <v>44</v>
      </c>
      <c r="DL50" s="51">
        <v>25</v>
      </c>
      <c r="DM50" s="51">
        <v>31</v>
      </c>
      <c r="DN50" s="51">
        <f>DM50*0.9</f>
        <v>27.900000000000002</v>
      </c>
      <c r="DO50" s="51">
        <f>DN50*0.9</f>
        <v>25.110000000000003</v>
      </c>
      <c r="DP50" s="51">
        <f>DO50*0.9</f>
        <v>22.599000000000004</v>
      </c>
      <c r="DQ50" s="51"/>
      <c r="DR50" s="51"/>
      <c r="DS50" s="51"/>
      <c r="DT50" s="51"/>
      <c r="DU50" s="51"/>
      <c r="DV50" s="51"/>
      <c r="DW50" s="51"/>
      <c r="DX50" s="51"/>
      <c r="DY50" s="53"/>
      <c r="DZ50" s="49"/>
      <c r="EA50" s="49"/>
      <c r="EB50" s="49"/>
      <c r="EC50" s="49"/>
      <c r="ED50" s="49"/>
    </row>
    <row r="51" spans="1:141" x14ac:dyDescent="0.2">
      <c r="A51" s="102"/>
      <c r="B51" t="s">
        <v>71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51"/>
      <c r="DI51" s="51">
        <v>46</v>
      </c>
      <c r="DJ51" s="51">
        <v>43</v>
      </c>
      <c r="DK51" s="51">
        <v>34</v>
      </c>
      <c r="DL51" s="51">
        <v>52</v>
      </c>
      <c r="DM51" s="51">
        <v>34</v>
      </c>
      <c r="DN51" s="51">
        <v>34</v>
      </c>
      <c r="DO51" s="51">
        <v>35</v>
      </c>
      <c r="DP51" s="51"/>
      <c r="DQ51" s="51"/>
      <c r="DR51" s="51"/>
      <c r="DS51" s="51"/>
      <c r="DT51" s="51"/>
      <c r="DU51" s="51"/>
      <c r="DV51" s="51"/>
      <c r="DW51" s="51"/>
      <c r="DX51" s="51"/>
      <c r="DY51" s="53"/>
      <c r="DZ51" s="49"/>
      <c r="EA51" s="49"/>
      <c r="EB51" s="49"/>
      <c r="EC51" s="49"/>
      <c r="ED51" s="49"/>
    </row>
    <row r="52" spans="1:141" x14ac:dyDescent="0.2">
      <c r="A52" s="102"/>
      <c r="B52" t="s">
        <v>72</v>
      </c>
      <c r="C52" s="51">
        <v>93.1</v>
      </c>
      <c r="D52" s="51">
        <v>94.5</v>
      </c>
      <c r="E52" s="51">
        <v>88.2</v>
      </c>
      <c r="F52" s="51">
        <f>364.4-E52-D52-C52</f>
        <v>88.6</v>
      </c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>
        <v>67</v>
      </c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>
        <v>365.4</v>
      </c>
      <c r="DF52" s="49">
        <v>447.3</v>
      </c>
      <c r="DG52" s="49">
        <v>418.1</v>
      </c>
      <c r="DH52" s="51">
        <v>431.4</v>
      </c>
      <c r="DI52" s="51">
        <v>384</v>
      </c>
      <c r="DJ52" s="51">
        <v>364</v>
      </c>
      <c r="DK52" s="51">
        <v>363</v>
      </c>
      <c r="DL52" s="51">
        <v>297</v>
      </c>
      <c r="DM52" s="51">
        <v>296</v>
      </c>
      <c r="DN52" s="51">
        <f>DM52*0.95</f>
        <v>281.2</v>
      </c>
      <c r="DO52" s="51">
        <f>DN52*0.95</f>
        <v>267.14</v>
      </c>
      <c r="DP52" s="51">
        <f>DO52*0.95</f>
        <v>253.78299999999999</v>
      </c>
      <c r="DQ52" s="51"/>
      <c r="DR52" s="51"/>
      <c r="DS52" s="51"/>
      <c r="DT52" s="51"/>
      <c r="DU52" s="51"/>
      <c r="DV52" s="51"/>
      <c r="DW52" s="51"/>
      <c r="DX52" s="51"/>
      <c r="DY52" s="53"/>
      <c r="DZ52" s="49"/>
      <c r="EA52" s="49"/>
      <c r="EB52" s="49"/>
      <c r="EC52" s="49"/>
      <c r="ED52" s="49"/>
    </row>
    <row r="53" spans="1:141" x14ac:dyDescent="0.2">
      <c r="A53" s="102"/>
      <c r="B53" t="s">
        <v>73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51"/>
      <c r="DI53" s="51">
        <v>60</v>
      </c>
      <c r="DJ53" s="51">
        <v>70</v>
      </c>
      <c r="DK53" s="51">
        <v>42</v>
      </c>
      <c r="DL53" s="51">
        <v>34</v>
      </c>
      <c r="DM53" s="51">
        <v>23</v>
      </c>
      <c r="DN53" s="51">
        <v>22</v>
      </c>
      <c r="DO53" s="51">
        <v>22</v>
      </c>
      <c r="DP53" s="51">
        <v>22</v>
      </c>
      <c r="DQ53" s="51"/>
      <c r="DR53" s="51"/>
      <c r="DS53" s="51"/>
      <c r="DT53" s="51"/>
      <c r="DU53" s="51"/>
      <c r="DV53" s="51"/>
      <c r="DW53" s="51"/>
      <c r="DX53" s="51"/>
      <c r="DY53" s="53"/>
      <c r="DZ53" s="49"/>
      <c r="EA53" s="49"/>
      <c r="EB53" s="49"/>
      <c r="EC53" s="49"/>
      <c r="ED53" s="49"/>
    </row>
    <row r="54" spans="1:141" x14ac:dyDescent="0.2">
      <c r="A54" s="102"/>
      <c r="B54" t="s">
        <v>68</v>
      </c>
      <c r="C54" s="51">
        <v>133.19999999999999</v>
      </c>
      <c r="D54" s="51">
        <v>116.3</v>
      </c>
      <c r="E54" s="51">
        <v>67.099999999999994</v>
      </c>
      <c r="F54" s="51">
        <f>431.2-E54-D54-C54</f>
        <v>114.60000000000002</v>
      </c>
      <c r="G54" s="51">
        <v>153.30000000000001</v>
      </c>
      <c r="H54" s="51">
        <v>112.4</v>
      </c>
      <c r="I54" s="51">
        <v>58.3</v>
      </c>
      <c r="J54" s="51">
        <v>128.9</v>
      </c>
      <c r="K54" s="51">
        <v>168.7</v>
      </c>
      <c r="L54" s="51">
        <v>105</v>
      </c>
      <c r="M54" s="51">
        <f>Q54/1.2</f>
        <v>64.166666666666671</v>
      </c>
      <c r="N54" s="51">
        <v>155</v>
      </c>
      <c r="O54" s="51">
        <v>189</v>
      </c>
      <c r="P54" s="51">
        <v>93</v>
      </c>
      <c r="Q54" s="51">
        <v>77</v>
      </c>
      <c r="R54" s="51">
        <f>V54/1.04</f>
        <v>89.615384615384613</v>
      </c>
      <c r="S54" s="51"/>
      <c r="T54" s="51"/>
      <c r="U54" s="51">
        <v>97.8</v>
      </c>
      <c r="V54" s="51">
        <v>93.2</v>
      </c>
      <c r="W54" s="51">
        <v>84.1</v>
      </c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>
        <v>37.9</v>
      </c>
      <c r="DG54" s="49">
        <v>223</v>
      </c>
      <c r="DH54" s="51"/>
      <c r="DI54" s="51">
        <v>392</v>
      </c>
      <c r="DJ54" s="51">
        <v>430</v>
      </c>
      <c r="DK54" s="51">
        <v>453</v>
      </c>
      <c r="DL54" s="51">
        <v>493</v>
      </c>
      <c r="DM54" s="51">
        <v>428</v>
      </c>
      <c r="DN54" s="51">
        <f>SUM(S54:V54)</f>
        <v>191</v>
      </c>
      <c r="DO54" s="51">
        <f>SUM(W54:Z54)</f>
        <v>84.1</v>
      </c>
      <c r="DP54" s="51"/>
      <c r="DQ54" s="51"/>
      <c r="DR54" s="51"/>
      <c r="DS54" s="51"/>
      <c r="DT54" s="51"/>
      <c r="DU54" s="51"/>
      <c r="DV54" s="51"/>
      <c r="DW54" s="51"/>
      <c r="DX54" s="51"/>
      <c r="DY54" s="53"/>
      <c r="DZ54" s="49"/>
      <c r="EA54" s="49"/>
      <c r="EB54" s="49"/>
      <c r="EC54" s="49"/>
      <c r="ED54" s="49"/>
    </row>
    <row r="55" spans="1:141" x14ac:dyDescent="0.2">
      <c r="A55" s="102"/>
      <c r="B55" t="s">
        <v>74</v>
      </c>
      <c r="C55" s="51">
        <v>35.9</v>
      </c>
      <c r="D55" s="51">
        <v>36.1</v>
      </c>
      <c r="E55" s="51">
        <v>37.799999999999997</v>
      </c>
      <c r="F55" s="51">
        <f>160.4-E55-D55-C55</f>
        <v>50.6</v>
      </c>
      <c r="G55" s="51"/>
      <c r="H55" s="51"/>
      <c r="I55" s="51"/>
      <c r="J55" s="51">
        <v>55.3</v>
      </c>
      <c r="K55" s="51">
        <v>59.5</v>
      </c>
      <c r="L55" s="51"/>
      <c r="M55" s="51">
        <v>45.5</v>
      </c>
      <c r="N55" s="51">
        <v>51.8</v>
      </c>
      <c r="O55" s="51">
        <v>50</v>
      </c>
      <c r="P55" s="51">
        <v>48</v>
      </c>
      <c r="Q55" s="51">
        <v>42</v>
      </c>
      <c r="R55" s="51"/>
      <c r="S55" s="51">
        <v>40</v>
      </c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49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51">
        <v>21.2</v>
      </c>
      <c r="DI55" s="51">
        <v>98</v>
      </c>
      <c r="DJ55" s="51">
        <v>161</v>
      </c>
      <c r="DK55" s="51">
        <v>202</v>
      </c>
      <c r="DL55" s="51">
        <v>215</v>
      </c>
      <c r="DM55" s="51">
        <v>212</v>
      </c>
      <c r="DN55" s="51">
        <f>DM55*0.8</f>
        <v>169.60000000000002</v>
      </c>
      <c r="DO55" s="51">
        <f>DN55*0.8</f>
        <v>135.68000000000004</v>
      </c>
      <c r="DP55" s="51">
        <f>DO55*0.8</f>
        <v>108.54400000000004</v>
      </c>
      <c r="DQ55" s="51"/>
      <c r="DR55" s="51"/>
      <c r="DS55" s="51"/>
      <c r="DT55" s="51"/>
      <c r="DU55" s="51"/>
      <c r="DV55" s="51"/>
      <c r="DW55" s="51"/>
      <c r="DX55" s="51"/>
      <c r="DY55" s="53"/>
      <c r="DZ55" s="49"/>
      <c r="EA55" s="49"/>
      <c r="EB55" s="49"/>
      <c r="EC55" s="49"/>
      <c r="ED55" s="49"/>
    </row>
    <row r="56" spans="1:141" x14ac:dyDescent="0.2">
      <c r="A56" s="102"/>
      <c r="B56" t="s">
        <v>17</v>
      </c>
      <c r="C56" s="51">
        <v>214</v>
      </c>
      <c r="D56" s="51">
        <v>223.5</v>
      </c>
      <c r="E56" s="51">
        <v>240</v>
      </c>
      <c r="F56" s="51">
        <v>244.6</v>
      </c>
      <c r="G56" s="51">
        <v>232.8</v>
      </c>
      <c r="H56" s="51">
        <v>276.60000000000002</v>
      </c>
      <c r="I56" s="51">
        <v>246.1</v>
      </c>
      <c r="J56" s="51">
        <v>257.3</v>
      </c>
      <c r="K56" s="51">
        <v>248.9</v>
      </c>
      <c r="L56" s="51">
        <v>261.60000000000002</v>
      </c>
      <c r="M56" s="51">
        <v>260.3</v>
      </c>
      <c r="N56" s="51">
        <v>265.3</v>
      </c>
      <c r="O56" s="51">
        <v>242</v>
      </c>
      <c r="P56" s="51">
        <v>276</v>
      </c>
      <c r="Q56" s="51">
        <v>258</v>
      </c>
      <c r="R56" s="51">
        <v>270.3</v>
      </c>
      <c r="S56" s="51">
        <v>263.8</v>
      </c>
      <c r="T56" s="51">
        <v>278</v>
      </c>
      <c r="U56" s="51">
        <v>263.2</v>
      </c>
      <c r="V56" s="51">
        <v>285.8</v>
      </c>
      <c r="W56" s="51">
        <v>261.10000000000002</v>
      </c>
      <c r="X56" s="51">
        <v>279.8</v>
      </c>
      <c r="Y56" s="51">
        <v>265.7</v>
      </c>
      <c r="Z56" s="51">
        <v>269</v>
      </c>
      <c r="AA56" s="51">
        <v>256.89999999999998</v>
      </c>
      <c r="AB56" s="51">
        <v>251.3</v>
      </c>
      <c r="AC56" s="51">
        <v>259.5</v>
      </c>
      <c r="AD56" s="51">
        <v>262.7</v>
      </c>
      <c r="AE56" s="51">
        <v>241.6</v>
      </c>
      <c r="AF56" s="51">
        <v>259.5</v>
      </c>
      <c r="AG56" s="51">
        <v>256.8</v>
      </c>
      <c r="AH56" s="51">
        <v>266.5</v>
      </c>
      <c r="AI56" s="51">
        <v>266.10000000000002</v>
      </c>
      <c r="AJ56" s="51">
        <v>263.5</v>
      </c>
      <c r="AK56" s="51">
        <v>270.10000000000002</v>
      </c>
      <c r="AL56" s="51">
        <v>267.10000000000002</v>
      </c>
      <c r="AM56" s="51">
        <v>256.2</v>
      </c>
      <c r="AN56" s="51">
        <v>265.89999999999998</v>
      </c>
      <c r="AO56" s="51">
        <v>247</v>
      </c>
      <c r="AP56" s="51">
        <v>241</v>
      </c>
      <c r="AQ56" s="51">
        <v>240.6</v>
      </c>
      <c r="AR56" s="51">
        <v>278.7</v>
      </c>
      <c r="AS56" s="51">
        <v>255.3</v>
      </c>
      <c r="AT56" s="51">
        <v>275.89999999999998</v>
      </c>
      <c r="AU56" s="51">
        <v>150.1</v>
      </c>
      <c r="AV56" s="51">
        <v>108.3</v>
      </c>
      <c r="AW56" s="51">
        <v>89.5</v>
      </c>
      <c r="AX56" s="51">
        <v>72.099999999999994</v>
      </c>
      <c r="AY56" s="51">
        <v>66.8</v>
      </c>
      <c r="AZ56" s="51">
        <v>59.7</v>
      </c>
      <c r="BA56" s="51">
        <v>58</v>
      </c>
      <c r="BB56" s="51">
        <v>52.8</v>
      </c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>
        <v>144.1</v>
      </c>
      <c r="DF56" s="49">
        <v>326.10000000000002</v>
      </c>
      <c r="DG56" s="49">
        <v>521.5</v>
      </c>
      <c r="DH56" s="51">
        <v>664.8</v>
      </c>
      <c r="DI56" s="51">
        <v>822</v>
      </c>
      <c r="DJ56" s="51">
        <v>922</v>
      </c>
      <c r="DK56" s="51">
        <v>1013</v>
      </c>
      <c r="DL56" s="51">
        <v>1036</v>
      </c>
      <c r="DM56" s="51">
        <f>SUM(O56:R56)</f>
        <v>1046.3</v>
      </c>
      <c r="DN56" s="51">
        <f>SUM(S56:V56)</f>
        <v>1090.8</v>
      </c>
      <c r="DO56" s="51">
        <f>SUM(W56:Z56)</f>
        <v>1075.6000000000001</v>
      </c>
      <c r="DP56" s="51">
        <f>SUM(AA56:AD56)</f>
        <v>1030.4000000000001</v>
      </c>
      <c r="DQ56" s="51">
        <f>SUM(AE56:AH56)</f>
        <v>1024.4000000000001</v>
      </c>
      <c r="DR56" s="51">
        <f>SUM(AI56:AL56)</f>
        <v>1066.8000000000002</v>
      </c>
      <c r="DS56" s="51">
        <f>SUM(AM56:AP56)</f>
        <v>1010.0999999999999</v>
      </c>
      <c r="DT56" s="51">
        <v>1050.4000000000001</v>
      </c>
      <c r="DU56" s="51">
        <v>419.8</v>
      </c>
      <c r="DV56" s="51">
        <v>237.3</v>
      </c>
      <c r="DW56" s="51"/>
      <c r="DX56" s="51"/>
      <c r="DY56" s="51"/>
      <c r="DZ56" s="49"/>
      <c r="EA56" s="49"/>
      <c r="EB56" s="49"/>
      <c r="EC56" s="49"/>
      <c r="ED56" s="49"/>
    </row>
    <row r="57" spans="1:141" x14ac:dyDescent="0.2">
      <c r="A57" s="102"/>
      <c r="B57" s="38" t="s">
        <v>238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3"/>
      <c r="DZ57" s="49"/>
      <c r="EA57" s="49"/>
      <c r="EB57" s="49"/>
      <c r="EC57" s="49"/>
      <c r="ED57" s="49"/>
    </row>
    <row r="58" spans="1:141" s="38" customFormat="1" x14ac:dyDescent="0.2">
      <c r="A58" s="106"/>
      <c r="B58" s="38" t="s">
        <v>275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49"/>
      <c r="EA58" s="49"/>
      <c r="EB58" s="49"/>
      <c r="EC58" s="49"/>
      <c r="ED58" s="49"/>
    </row>
    <row r="59" spans="1:141" x14ac:dyDescent="0.2">
      <c r="A59" s="102"/>
      <c r="B59" t="s">
        <v>80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>
        <v>155.19999999999999</v>
      </c>
      <c r="AB59" s="51">
        <v>179.5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>
        <f>5957.3-SUM(AP5:AP56)</f>
        <v>601.19999999999982</v>
      </c>
      <c r="AQ59" s="51">
        <f>5602-SUM(AQ5:AQ56)</f>
        <v>608.79999999999927</v>
      </c>
      <c r="AR59" s="51">
        <f>5929.7-SUM(AR5:AR56)</f>
        <v>569.60000000000036</v>
      </c>
      <c r="AS59" s="51">
        <f>5772.6-SUM(AS5:AS56)</f>
        <v>587.50000000000091</v>
      </c>
      <c r="AT59" s="51">
        <f>5808.8-SUM(AT5:AT56)</f>
        <v>613.70000000000073</v>
      </c>
      <c r="AU59" s="51">
        <f>4683.1-SUM(AU5:AU56)</f>
        <v>462.69999999999982</v>
      </c>
      <c r="AV59" s="51">
        <f>4935.6-SUM(AV5:AV56)</f>
        <v>505.49999999999909</v>
      </c>
      <c r="AW59" s="51">
        <f>4875.6-SUM(AW5:AW56)</f>
        <v>479.30000000000018</v>
      </c>
      <c r="AX59" s="51">
        <f>5121.3-SUM(AX5:AX56)</f>
        <v>387.39999999999964</v>
      </c>
      <c r="AY59" s="51">
        <f>4644.7-SUM(AY5:AY57)</f>
        <v>346.5</v>
      </c>
      <c r="AZ59" s="51">
        <f>4978.7-SUM(AZ5:AZ56)</f>
        <v>340.80000000000018</v>
      </c>
      <c r="BA59" s="51">
        <f>4959.7-SUM(BA5:BA56)</f>
        <v>365.19999999999891</v>
      </c>
      <c r="BB59" s="51">
        <f>5375.6-SUM(BB5:BB56)</f>
        <v>365.30000000000018</v>
      </c>
      <c r="BC59" s="51">
        <f>4865.1-SUM(BC5:BC40)</f>
        <v>463.70000000000073</v>
      </c>
      <c r="BD59" s="51">
        <f>5404.8-SUM(BD5:BD40)</f>
        <v>490.10000000000036</v>
      </c>
      <c r="BE59" s="51">
        <f>5191.7-SUM(BE5:BE40)</f>
        <v>492.09999999999945</v>
      </c>
      <c r="BF59" s="51">
        <f>5760.5-SUM(BF5:BF40)</f>
        <v>528.10000000000036</v>
      </c>
      <c r="BG59" s="51">
        <f>5228.3-SUM(BG5:BG39)</f>
        <v>474.60000000000036</v>
      </c>
      <c r="BH59" s="51">
        <f>5824.3-SUM(BH5:BH39)</f>
        <v>514.19999999999982</v>
      </c>
      <c r="BI59" s="51">
        <f>5658-SUM(BI5:BI39)</f>
        <v>403.29999999999927</v>
      </c>
      <c r="BJ59" s="51">
        <f>6160.7-SUM(BJ5:BJ39)</f>
        <v>420.99999999999909</v>
      </c>
      <c r="BK59" s="51"/>
      <c r="BL59" s="51">
        <f>6355.2-SUM(BL5:BL39)</f>
        <v>-101.89999999999964</v>
      </c>
      <c r="BM59" s="51">
        <f>6061.9-SUM(BM5:BM39)</f>
        <v>-94.599999999999454</v>
      </c>
      <c r="BN59" s="51">
        <f>6438.6-SUM(BN5:BN39)</f>
        <v>331.80000000000018</v>
      </c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51"/>
      <c r="DI59" s="51">
        <v>59</v>
      </c>
      <c r="DJ59" s="51">
        <v>58</v>
      </c>
      <c r="DK59" s="51">
        <v>57</v>
      </c>
      <c r="DL59" s="51">
        <v>69</v>
      </c>
      <c r="DM59" s="51">
        <v>65</v>
      </c>
      <c r="DN59" s="51">
        <v>65</v>
      </c>
      <c r="DO59" s="51">
        <v>65</v>
      </c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49"/>
      <c r="EA59" s="49"/>
      <c r="EB59" s="49"/>
      <c r="EC59" s="49"/>
      <c r="ED59" s="49"/>
    </row>
    <row r="60" spans="1:141" x14ac:dyDescent="0.2">
      <c r="A60" s="102"/>
      <c r="B60" t="s">
        <v>76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51"/>
      <c r="DI60" s="51">
        <v>35</v>
      </c>
      <c r="DJ60" s="51">
        <v>32</v>
      </c>
      <c r="DK60" s="51">
        <v>19</v>
      </c>
      <c r="DL60" s="51">
        <v>12</v>
      </c>
      <c r="DM60" s="51">
        <v>14</v>
      </c>
      <c r="DN60" s="51">
        <v>10</v>
      </c>
      <c r="DO60" s="51">
        <v>10</v>
      </c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49"/>
      <c r="EA60" s="49"/>
      <c r="EB60" s="49"/>
      <c r="EC60" s="49"/>
      <c r="ED60" s="49"/>
    </row>
    <row r="61" spans="1:141" x14ac:dyDescent="0.2">
      <c r="A61" s="102"/>
      <c r="B61" s="38" t="s">
        <v>249</v>
      </c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>
        <f>5210.5-SUM(Z9:Z60)</f>
        <v>481.80000000000018</v>
      </c>
      <c r="AA61" s="51">
        <f>4891.8-SUM(AA9:AA60)</f>
        <v>186.30000000000018</v>
      </c>
      <c r="AB61" s="51">
        <f>5113.5-SUM(AB9:AB60)</f>
        <v>71.599999999999454</v>
      </c>
      <c r="AC61" s="51">
        <f>5562-SUM(AC9:AC57)</f>
        <v>424.29999999999927</v>
      </c>
      <c r="AD61" s="51">
        <f>5934-SUM(AD9:AD57)</f>
        <v>449</v>
      </c>
      <c r="AE61" s="51">
        <f>5485.5-SUM(AE9:AE57)</f>
        <v>390.59999999999945</v>
      </c>
      <c r="AF61" s="51">
        <f>5748.7-SUM(AF9:AF57)</f>
        <v>410.40000000000055</v>
      </c>
      <c r="AG61" s="51">
        <f>5654.8-SUM(AG9:AG57)</f>
        <v>381.39999999999964</v>
      </c>
      <c r="AH61" s="51"/>
      <c r="AI61" s="51">
        <f>5839.2-SUM(AI9:AI57)</f>
        <v>410.09999999999854</v>
      </c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2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T61" s="51">
        <v>707.5</v>
      </c>
      <c r="DY61" s="47"/>
      <c r="DZ61" s="47"/>
      <c r="EA61" s="49"/>
      <c r="EB61" s="49"/>
      <c r="EC61" s="49"/>
      <c r="ED61" s="49"/>
    </row>
    <row r="62" spans="1:141" s="55" customFormat="1" x14ac:dyDescent="0.2">
      <c r="A62" s="107"/>
      <c r="B62" s="55" t="s">
        <v>379</v>
      </c>
      <c r="C62" s="56">
        <f t="shared" ref="C62:AW62" si="44">SUM(C9:C61)</f>
        <v>2388.6999999999998</v>
      </c>
      <c r="D62" s="56">
        <f t="shared" si="44"/>
        <v>2585.6</v>
      </c>
      <c r="E62" s="56">
        <f t="shared" si="44"/>
        <v>2652.3999999999996</v>
      </c>
      <c r="F62" s="56">
        <f t="shared" si="44"/>
        <v>2920.9999999999995</v>
      </c>
      <c r="G62" s="56">
        <f t="shared" si="44"/>
        <v>2746.8</v>
      </c>
      <c r="H62" s="56">
        <f t="shared" si="44"/>
        <v>2830.7000000000003</v>
      </c>
      <c r="I62" s="56">
        <f t="shared" si="44"/>
        <v>2751.9</v>
      </c>
      <c r="J62" s="56">
        <f t="shared" si="44"/>
        <v>3320.8</v>
      </c>
      <c r="K62" s="56">
        <f t="shared" si="44"/>
        <v>3209.4366336633661</v>
      </c>
      <c r="L62" s="56">
        <f t="shared" si="44"/>
        <v>3165.6</v>
      </c>
      <c r="M62" s="56">
        <f t="shared" si="44"/>
        <v>3164.1333333333332</v>
      </c>
      <c r="N62" s="56">
        <f t="shared" si="44"/>
        <v>3455.3000000000006</v>
      </c>
      <c r="O62" s="56">
        <f t="shared" si="44"/>
        <v>3227.7000000000003</v>
      </c>
      <c r="P62" s="56">
        <f t="shared" si="44"/>
        <v>3423</v>
      </c>
      <c r="Q62" s="56">
        <f t="shared" si="44"/>
        <v>3699.7</v>
      </c>
      <c r="R62" s="56">
        <f t="shared" si="44"/>
        <v>5680.6</v>
      </c>
      <c r="S62" s="56">
        <f t="shared" si="44"/>
        <v>4236</v>
      </c>
      <c r="T62" s="56">
        <f t="shared" si="44"/>
        <v>4193.8</v>
      </c>
      <c r="U62" s="56">
        <f t="shared" si="44"/>
        <v>5899.2999999999993</v>
      </c>
      <c r="V62" s="56">
        <f t="shared" si="44"/>
        <v>6665.7000000000007</v>
      </c>
      <c r="W62" s="56">
        <f t="shared" si="44"/>
        <v>6241.8000000000011</v>
      </c>
      <c r="X62" s="56">
        <f t="shared" si="44"/>
        <v>6703.4999999999991</v>
      </c>
      <c r="Y62" s="56">
        <f t="shared" si="44"/>
        <v>6796.9000000000005</v>
      </c>
      <c r="Z62" s="56">
        <f t="shared" si="44"/>
        <v>5210.5</v>
      </c>
      <c r="AA62" s="56">
        <f t="shared" si="44"/>
        <v>4891.8</v>
      </c>
      <c r="AB62" s="56">
        <f t="shared" si="44"/>
        <v>5113.5</v>
      </c>
      <c r="AC62" s="56">
        <f t="shared" si="44"/>
        <v>5562</v>
      </c>
      <c r="AD62" s="56">
        <f t="shared" si="44"/>
        <v>5934</v>
      </c>
      <c r="AE62" s="56">
        <f t="shared" si="44"/>
        <v>5485.5</v>
      </c>
      <c r="AF62" s="56">
        <f t="shared" si="44"/>
        <v>5748.7</v>
      </c>
      <c r="AG62" s="56">
        <f t="shared" si="44"/>
        <v>5654.8</v>
      </c>
      <c r="AH62" s="56">
        <f t="shared" si="44"/>
        <v>6187.2000000000007</v>
      </c>
      <c r="AI62" s="56">
        <f t="shared" si="44"/>
        <v>5839.2</v>
      </c>
      <c r="AJ62" s="56">
        <f t="shared" si="44"/>
        <v>6252.7999999999984</v>
      </c>
      <c r="AK62" s="56">
        <f t="shared" si="44"/>
        <v>6148.1</v>
      </c>
      <c r="AL62" s="56">
        <f t="shared" si="44"/>
        <v>6047.3</v>
      </c>
      <c r="AM62" s="56">
        <f t="shared" si="44"/>
        <v>5602.4000000000005</v>
      </c>
      <c r="AN62" s="56">
        <f t="shared" si="44"/>
        <v>5600.4999999999991</v>
      </c>
      <c r="AO62" s="56">
        <f t="shared" si="44"/>
        <v>5442.5</v>
      </c>
      <c r="AP62" s="56">
        <f t="shared" si="44"/>
        <v>5957.3</v>
      </c>
      <c r="AQ62" s="56">
        <f t="shared" si="44"/>
        <v>5602</v>
      </c>
      <c r="AR62" s="56">
        <f t="shared" si="44"/>
        <v>5929.7</v>
      </c>
      <c r="AS62" s="56">
        <f t="shared" si="44"/>
        <v>5772.6</v>
      </c>
      <c r="AT62" s="56">
        <f t="shared" si="44"/>
        <v>5808.8</v>
      </c>
      <c r="AU62" s="56">
        <f t="shared" si="44"/>
        <v>4683.1000000000004</v>
      </c>
      <c r="AV62" s="56">
        <f t="shared" si="44"/>
        <v>4935.6000000000004</v>
      </c>
      <c r="AW62" s="56">
        <f t="shared" si="44"/>
        <v>4875.6000000000004</v>
      </c>
      <c r="AX62" s="56">
        <f t="shared" ref="AX62:BT62" si="45">SUM(AX5:AX61)</f>
        <v>5121.3</v>
      </c>
      <c r="AY62" s="56">
        <f t="shared" si="45"/>
        <v>4644.7</v>
      </c>
      <c r="AZ62" s="56">
        <f t="shared" si="45"/>
        <v>4978.7</v>
      </c>
      <c r="BA62" s="56">
        <f t="shared" si="45"/>
        <v>4959.7</v>
      </c>
      <c r="BB62" s="56">
        <f t="shared" si="45"/>
        <v>5375.6</v>
      </c>
      <c r="BC62" s="56">
        <f t="shared" si="45"/>
        <v>4865.1000000000004</v>
      </c>
      <c r="BD62" s="56">
        <f t="shared" si="45"/>
        <v>5404.8</v>
      </c>
      <c r="BE62" s="56">
        <f t="shared" si="45"/>
        <v>5191.7</v>
      </c>
      <c r="BF62" s="56">
        <f t="shared" si="45"/>
        <v>5760.5</v>
      </c>
      <c r="BG62" s="56">
        <f t="shared" si="45"/>
        <v>5228.3</v>
      </c>
      <c r="BH62" s="56">
        <f t="shared" si="45"/>
        <v>5824.3</v>
      </c>
      <c r="BI62" s="56">
        <f t="shared" si="45"/>
        <v>5658</v>
      </c>
      <c r="BJ62" s="56">
        <f t="shared" si="45"/>
        <v>6160.7</v>
      </c>
      <c r="BK62" s="56">
        <f t="shared" si="45"/>
        <v>4963.8</v>
      </c>
      <c r="BL62" s="56">
        <f t="shared" si="45"/>
        <v>6355.2</v>
      </c>
      <c r="BM62" s="56">
        <f t="shared" si="45"/>
        <v>6061.9</v>
      </c>
      <c r="BN62" s="56">
        <f t="shared" si="45"/>
        <v>6438.6</v>
      </c>
      <c r="BO62" s="56">
        <f t="shared" si="45"/>
        <v>5092.0999999999976</v>
      </c>
      <c r="BP62" s="56">
        <f t="shared" si="45"/>
        <v>5636.8000000000011</v>
      </c>
      <c r="BQ62" s="56">
        <f t="shared" si="45"/>
        <v>5476.6</v>
      </c>
      <c r="BR62" s="56">
        <f t="shared" si="45"/>
        <v>6113.7999999999993</v>
      </c>
      <c r="BS62" s="56">
        <f t="shared" si="45"/>
        <v>5859.7999999999975</v>
      </c>
      <c r="BT62" s="56">
        <f t="shared" si="45"/>
        <v>5499.3999999999987</v>
      </c>
      <c r="BU62" s="56">
        <f>SUM(BU5:BU51)</f>
        <v>5740.5999999999985</v>
      </c>
      <c r="BV62" s="56">
        <f>SUM(BV5:BV53)</f>
        <v>7440.0999999999995</v>
      </c>
      <c r="BW62" s="56">
        <f>SUM(BW5:BW51)</f>
        <v>6805.6</v>
      </c>
      <c r="BX62" s="56">
        <f>SUM(BX5:BX53)</f>
        <v>6739.9999999999973</v>
      </c>
      <c r="BY62" s="56">
        <f>SUM(BY5:BY51)</f>
        <v>6772.9999999999982</v>
      </c>
      <c r="BZ62" s="56">
        <f>SUM(BZ5:BZ53)</f>
        <v>7999.9</v>
      </c>
      <c r="CA62" s="56">
        <f>SUM(CA5:CA32)</f>
        <v>7810.0999999999995</v>
      </c>
      <c r="CB62" s="56">
        <f>SUM(CB5:CB40)</f>
        <v>6487.9000000000015</v>
      </c>
      <c r="CC62" s="56">
        <f t="shared" ref="CC62:CL62" si="46">SUM(CC5:CC32)</f>
        <v>6941.5</v>
      </c>
      <c r="CD62" s="56">
        <f t="shared" si="46"/>
        <v>7301.9000000000015</v>
      </c>
      <c r="CE62" s="56">
        <f t="shared" si="46"/>
        <v>6960.2</v>
      </c>
      <c r="CF62" s="56">
        <f t="shared" si="46"/>
        <v>7733.1999999999989</v>
      </c>
      <c r="CG62" s="56">
        <f t="shared" si="46"/>
        <v>8078.699999999998</v>
      </c>
      <c r="CH62" s="56">
        <f t="shared" si="46"/>
        <v>9353.0000000000036</v>
      </c>
      <c r="CI62" s="56">
        <f t="shared" si="46"/>
        <v>8767.9</v>
      </c>
      <c r="CJ62" s="56">
        <f t="shared" si="46"/>
        <v>11302.8</v>
      </c>
      <c r="CK62" s="56">
        <f t="shared" si="46"/>
        <v>9622.4</v>
      </c>
      <c r="CL62" s="56">
        <f t="shared" si="46"/>
        <v>10077.4</v>
      </c>
      <c r="CM62" s="56"/>
      <c r="CN62" s="56"/>
      <c r="CO62" s="56"/>
      <c r="CP62" s="56"/>
      <c r="CQ62" s="57"/>
      <c r="CR62" s="57">
        <v>2140</v>
      </c>
      <c r="CS62" s="57"/>
      <c r="CT62" s="57"/>
      <c r="CU62" s="57"/>
      <c r="CV62" s="57"/>
      <c r="CW62" s="57"/>
      <c r="CX62" s="57"/>
      <c r="CY62" s="57"/>
      <c r="CZ62" s="57">
        <v>5198.5</v>
      </c>
      <c r="DA62" s="57">
        <v>5711.6</v>
      </c>
      <c r="DB62" s="57">
        <v>6508.8</v>
      </c>
      <c r="DC62" s="57">
        <v>6998.3</v>
      </c>
      <c r="DD62" s="57">
        <v>7987.7</v>
      </c>
      <c r="DE62" s="57">
        <v>9236.7999999999993</v>
      </c>
      <c r="DF62" s="57">
        <v>10002.9</v>
      </c>
      <c r="DG62" s="57">
        <v>10862.2</v>
      </c>
      <c r="DH62" s="56">
        <v>11629</v>
      </c>
      <c r="DI62" s="56">
        <f t="shared" ref="DI62:DT62" si="47">SUM(DI9:DI61)</f>
        <v>11156.2</v>
      </c>
      <c r="DJ62" s="56">
        <f t="shared" si="47"/>
        <v>12585</v>
      </c>
      <c r="DK62" s="56">
        <f t="shared" si="47"/>
        <v>13859</v>
      </c>
      <c r="DL62" s="56">
        <f t="shared" si="47"/>
        <v>14650</v>
      </c>
      <c r="DM62" s="56">
        <f t="shared" si="47"/>
        <v>15783.499999999998</v>
      </c>
      <c r="DN62" s="56">
        <f t="shared" si="47"/>
        <v>18492.3</v>
      </c>
      <c r="DO62" s="56">
        <f t="shared" si="47"/>
        <v>19604.942499999997</v>
      </c>
      <c r="DP62" s="56">
        <f t="shared" si="47"/>
        <v>20974.425124999998</v>
      </c>
      <c r="DQ62" s="56">
        <f t="shared" si="47"/>
        <v>21893.8</v>
      </c>
      <c r="DR62" s="56">
        <f t="shared" si="47"/>
        <v>23877.3</v>
      </c>
      <c r="DS62" s="56">
        <f t="shared" si="47"/>
        <v>22001.5</v>
      </c>
      <c r="DT62" s="56">
        <f t="shared" si="47"/>
        <v>23113.100000000002</v>
      </c>
      <c r="DU62" s="56">
        <f t="shared" ref="DU62:EK62" si="48">SUM(DU5:DU61)</f>
        <v>19615.7</v>
      </c>
      <c r="DV62" s="56">
        <f t="shared" si="48"/>
        <v>20030.3</v>
      </c>
      <c r="DW62" s="56">
        <f t="shared" si="48"/>
        <v>21623.4</v>
      </c>
      <c r="DX62" s="56">
        <f t="shared" si="48"/>
        <v>19974.200000000004</v>
      </c>
      <c r="DY62" s="56">
        <f t="shared" si="48"/>
        <v>21493.1</v>
      </c>
      <c r="DZ62" s="56">
        <f t="shared" si="48"/>
        <v>22319.3</v>
      </c>
      <c r="EA62" s="56">
        <f t="shared" si="48"/>
        <v>24539.899999999998</v>
      </c>
      <c r="EB62" s="56">
        <f t="shared" si="48"/>
        <v>28318.499999999996</v>
      </c>
      <c r="EC62" s="56">
        <f t="shared" si="48"/>
        <v>28541.400000000005</v>
      </c>
      <c r="ED62" s="56">
        <f t="shared" si="48"/>
        <v>32125.100000000002</v>
      </c>
      <c r="EE62" s="56">
        <f t="shared" si="48"/>
        <v>39770.500000000007</v>
      </c>
      <c r="EF62" s="56">
        <f t="shared" si="48"/>
        <v>47125.962999999996</v>
      </c>
      <c r="EG62" s="56">
        <f t="shared" si="48"/>
        <v>57479.582630000004</v>
      </c>
      <c r="EH62" s="56">
        <f t="shared" si="48"/>
        <v>71050.032421299984</v>
      </c>
      <c r="EI62" s="56">
        <f t="shared" si="48"/>
        <v>80791.425591762993</v>
      </c>
      <c r="EJ62" s="56">
        <f t="shared" si="48"/>
        <v>86973.595620568114</v>
      </c>
      <c r="EK62" s="56">
        <f t="shared" si="48"/>
        <v>82196.219479557665</v>
      </c>
    </row>
    <row r="63" spans="1:141" x14ac:dyDescent="0.2">
      <c r="A63" s="102"/>
      <c r="B63" t="s">
        <v>58</v>
      </c>
      <c r="C63" s="51"/>
      <c r="D63" s="51"/>
      <c r="E63" s="51"/>
      <c r="F63" s="51"/>
      <c r="G63" s="51"/>
      <c r="H63" s="51"/>
      <c r="I63" s="51"/>
      <c r="J63" s="51">
        <v>865.7</v>
      </c>
      <c r="K63" s="51">
        <v>859</v>
      </c>
      <c r="L63" s="51">
        <v>871.3</v>
      </c>
      <c r="M63" s="51">
        <v>845.7</v>
      </c>
      <c r="N63" s="51">
        <v>898.2</v>
      </c>
      <c r="O63" s="51">
        <v>806.5</v>
      </c>
      <c r="P63" s="47">
        <v>861</v>
      </c>
      <c r="Q63" s="51">
        <v>906.2</v>
      </c>
      <c r="R63" s="51">
        <v>1066.7</v>
      </c>
      <c r="S63" s="51">
        <v>922.5</v>
      </c>
      <c r="T63" s="51">
        <v>998.9</v>
      </c>
      <c r="U63" s="51">
        <v>1054.5999999999999</v>
      </c>
      <c r="V63" s="51">
        <v>1272.8</v>
      </c>
      <c r="W63" s="51">
        <v>1111.3</v>
      </c>
      <c r="X63" s="51">
        <v>1200.9000000000001</v>
      </c>
      <c r="Y63" s="51">
        <v>1155.2</v>
      </c>
      <c r="Z63" s="51">
        <v>899.6</v>
      </c>
      <c r="AA63" s="51">
        <v>816.4</v>
      </c>
      <c r="AB63" s="51">
        <v>947.4</v>
      </c>
      <c r="AC63" s="51">
        <v>1051.9000000000001</v>
      </c>
      <c r="AD63" s="51">
        <v>1431.3</v>
      </c>
      <c r="AE63" s="51">
        <v>1122.5</v>
      </c>
      <c r="AF63" s="51">
        <v>1023.9</v>
      </c>
      <c r="AG63" s="51">
        <v>987.6</v>
      </c>
      <c r="AH63" s="51">
        <v>1232.2</v>
      </c>
      <c r="AI63" s="51">
        <v>1180.0999999999999</v>
      </c>
      <c r="AJ63" s="51">
        <v>1228</v>
      </c>
      <c r="AK63" s="51">
        <v>1338.1</v>
      </c>
      <c r="AL63" s="51">
        <v>1321.7</v>
      </c>
      <c r="AM63" s="51">
        <v>1197.9000000000001</v>
      </c>
      <c r="AN63" s="51">
        <v>1146.7</v>
      </c>
      <c r="AO63" s="51">
        <v>1203.5999999999999</v>
      </c>
      <c r="AP63" s="51">
        <v>1248.3</v>
      </c>
      <c r="AQ63" s="51">
        <v>1158.3</v>
      </c>
      <c r="AR63" s="51">
        <v>1165.2</v>
      </c>
      <c r="AS63" s="51">
        <v>1198.0999999999999</v>
      </c>
      <c r="AT63" s="51">
        <v>1386.5</v>
      </c>
      <c r="AU63" s="51">
        <v>1222.7</v>
      </c>
      <c r="AV63" s="51">
        <v>1189.7</v>
      </c>
      <c r="AW63" s="51">
        <v>1267</v>
      </c>
      <c r="AX63" s="51">
        <v>1253.0999999999999</v>
      </c>
      <c r="AY63" s="51">
        <v>1192.7</v>
      </c>
      <c r="AZ63" s="51">
        <v>1033.9000000000001</v>
      </c>
      <c r="BA63" s="51">
        <v>1236.9000000000001</v>
      </c>
      <c r="BB63" s="51">
        <v>1389.2</v>
      </c>
      <c r="BC63" s="51">
        <v>1323</v>
      </c>
      <c r="BD63" s="51">
        <v>1298.4000000000001</v>
      </c>
      <c r="BE63" s="51">
        <v>1400.9</v>
      </c>
      <c r="BF63" s="51">
        <v>1466</v>
      </c>
      <c r="BG63" s="51">
        <v>1347.9</v>
      </c>
      <c r="BH63" s="51">
        <v>1571.7</v>
      </c>
      <c r="BI63" s="51">
        <v>1586.3</v>
      </c>
      <c r="BJ63" s="51">
        <v>1644.9</v>
      </c>
      <c r="BK63" s="51">
        <v>1571.3</v>
      </c>
      <c r="BL63" s="51">
        <v>1702.7</v>
      </c>
      <c r="BM63" s="51">
        <v>1562.3</v>
      </c>
      <c r="BN63" s="51">
        <v>1593.7</v>
      </c>
      <c r="BO63" s="51">
        <v>1010.5</v>
      </c>
      <c r="BP63" s="51">
        <v>1073.3</v>
      </c>
      <c r="BQ63" s="51">
        <v>1118.4000000000001</v>
      </c>
      <c r="BR63" s="51">
        <v>1229.4000000000001</v>
      </c>
      <c r="BS63" s="51">
        <v>1156.5</v>
      </c>
      <c r="BT63" s="51">
        <v>1119.2</v>
      </c>
      <c r="BU63" s="51">
        <v>1199.9000000000001</v>
      </c>
      <c r="BV63" s="51">
        <v>1719.8</v>
      </c>
      <c r="BW63" s="51">
        <v>1671.4</v>
      </c>
      <c r="BX63" s="51">
        <v>1398</v>
      </c>
      <c r="BY63" s="51">
        <v>1421.8</v>
      </c>
      <c r="BZ63" s="51">
        <v>2050.1999999999998</v>
      </c>
      <c r="CA63" s="51">
        <v>1867.5</v>
      </c>
      <c r="CB63" s="51">
        <v>1309.2</v>
      </c>
      <c r="CC63" s="51">
        <v>1579.1</v>
      </c>
      <c r="CD63" s="51">
        <f>1548.1-124.1</f>
        <v>1424</v>
      </c>
      <c r="CE63" s="51">
        <f>1626.7-125.8</f>
        <v>1500.9</v>
      </c>
      <c r="CF63" s="51">
        <f>1807.4-126.4</f>
        <v>1681</v>
      </c>
      <c r="CG63" s="51">
        <f t="shared" ref="CG63" si="49">+CG62-CG64</f>
        <v>1696.5269999999991</v>
      </c>
      <c r="CH63" s="51">
        <f>1788-129</f>
        <v>1659</v>
      </c>
      <c r="CI63" s="51">
        <f>1673.5-139.1</f>
        <v>1534.4</v>
      </c>
      <c r="CJ63" s="51">
        <f>2170.2-139.1</f>
        <v>2031.1</v>
      </c>
      <c r="CK63" s="51">
        <f t="shared" ref="CK63:CL63" si="50">+CK62-CK64</f>
        <v>1828.2559999999994</v>
      </c>
      <c r="CL63" s="51">
        <f t="shared" si="50"/>
        <v>1914.7059999999992</v>
      </c>
      <c r="CM63" s="51"/>
      <c r="CN63" s="51"/>
      <c r="CO63" s="51"/>
      <c r="CP63" s="51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>
        <v>1946</v>
      </c>
      <c r="DE63" s="49">
        <v>2015.1</v>
      </c>
      <c r="DF63" s="49">
        <v>2098</v>
      </c>
      <c r="DG63" s="49">
        <v>2055.6999999999998</v>
      </c>
      <c r="DH63" s="51">
        <v>2160</v>
      </c>
      <c r="DI63" s="51">
        <v>2177</v>
      </c>
      <c r="DJ63" s="51">
        <v>2675</v>
      </c>
      <c r="DK63" s="51">
        <v>3224</v>
      </c>
      <c r="DL63" s="51">
        <v>3474</v>
      </c>
      <c r="DM63" s="51">
        <v>3501</v>
      </c>
      <c r="DN63" s="51">
        <f>DN62-DN64</f>
        <v>4068.3059999999987</v>
      </c>
      <c r="DO63" s="51">
        <f>DO62-DO64</f>
        <v>-980.75749999999971</v>
      </c>
      <c r="DP63" s="51">
        <f>DP62-DP64</f>
        <v>3720.1251249999987</v>
      </c>
      <c r="DQ63" s="51">
        <f>SUM(AE63:AH63)</f>
        <v>4366.2</v>
      </c>
      <c r="DR63" s="51">
        <f>SUM(AI63:AL63)</f>
        <v>5067.8999999999996</v>
      </c>
      <c r="DS63" s="51">
        <f>SUM(AM63:AP63)</f>
        <v>4796.5</v>
      </c>
      <c r="DT63" s="51">
        <f t="shared" ref="DT63:DU63" si="51">DT62-DT64</f>
        <v>23113.100000000002</v>
      </c>
      <c r="DU63" s="51">
        <f t="shared" si="51"/>
        <v>19615.7</v>
      </c>
      <c r="DV63" s="51"/>
      <c r="DW63" s="51"/>
      <c r="DX63" s="51">
        <v>4447.7</v>
      </c>
      <c r="DY63" s="51">
        <v>4681.7</v>
      </c>
      <c r="DZ63" s="49">
        <f t="shared" ref="DZ63" si="52">SUM(BO63:BR63)</f>
        <v>4431.6000000000004</v>
      </c>
      <c r="EA63" s="49">
        <f t="shared" ref="EA63" si="53">SUM(BS63:BV63)</f>
        <v>5195.3999999999996</v>
      </c>
      <c r="EB63" s="49">
        <f>SUM(BW63:BZ63)</f>
        <v>6541.4</v>
      </c>
      <c r="EC63" s="49">
        <f>SUM(CA63:CD63)</f>
        <v>6179.7999999999993</v>
      </c>
      <c r="ED63" s="49">
        <f>SUM(CE63:CH63)</f>
        <v>6537.4269999999997</v>
      </c>
      <c r="EE63" s="49">
        <f>SUM(Model!CI63:CL63)</f>
        <v>7308.4619999999986</v>
      </c>
      <c r="EF63" s="49">
        <f t="shared" ref="EF63:EK63" si="54">EF62-EF64</f>
        <v>9896.4522299999953</v>
      </c>
      <c r="EG63" s="49">
        <f t="shared" si="54"/>
        <v>12070.712352299997</v>
      </c>
      <c r="EH63" s="49">
        <f t="shared" si="54"/>
        <v>14920.506808472994</v>
      </c>
      <c r="EI63" s="49">
        <f t="shared" si="54"/>
        <v>16966.199374270225</v>
      </c>
      <c r="EJ63" s="49">
        <f t="shared" si="54"/>
        <v>18264.455080319298</v>
      </c>
      <c r="EK63" s="49">
        <f t="shared" si="54"/>
        <v>12329.432921933651</v>
      </c>
    </row>
    <row r="64" spans="1:141" x14ac:dyDescent="0.2">
      <c r="A64" s="102"/>
      <c r="B64" t="s">
        <v>123</v>
      </c>
      <c r="C64" s="51"/>
      <c r="D64" s="51"/>
      <c r="E64" s="51"/>
      <c r="F64" s="51"/>
      <c r="G64" s="51"/>
      <c r="H64" s="51"/>
      <c r="I64" s="51"/>
      <c r="J64" s="51">
        <f t="shared" ref="J64:R64" si="55">J62-J63</f>
        <v>2455.1000000000004</v>
      </c>
      <c r="K64" s="51">
        <f t="shared" si="55"/>
        <v>2350.4366336633661</v>
      </c>
      <c r="L64" s="51">
        <f t="shared" si="55"/>
        <v>2294.3000000000002</v>
      </c>
      <c r="M64" s="51">
        <f t="shared" si="55"/>
        <v>2318.4333333333334</v>
      </c>
      <c r="N64" s="51">
        <f t="shared" si="55"/>
        <v>2557.1000000000004</v>
      </c>
      <c r="O64" s="51">
        <f t="shared" si="55"/>
        <v>2421.2000000000003</v>
      </c>
      <c r="P64" s="51">
        <f t="shared" si="55"/>
        <v>2562</v>
      </c>
      <c r="Q64" s="51">
        <f t="shared" si="55"/>
        <v>2793.5</v>
      </c>
      <c r="R64" s="51">
        <f t="shared" si="55"/>
        <v>4613.9000000000005</v>
      </c>
      <c r="S64" s="51">
        <f t="shared" ref="S64:AA64" si="56">S62-S63</f>
        <v>3313.5</v>
      </c>
      <c r="T64" s="51">
        <f t="shared" si="56"/>
        <v>3194.9</v>
      </c>
      <c r="U64" s="51">
        <f t="shared" si="56"/>
        <v>4844.6999999999989</v>
      </c>
      <c r="V64" s="51">
        <f t="shared" si="56"/>
        <v>5392.9000000000005</v>
      </c>
      <c r="W64" s="51">
        <f t="shared" si="56"/>
        <v>5130.5000000000009</v>
      </c>
      <c r="X64" s="51">
        <f t="shared" si="56"/>
        <v>5502.5999999999985</v>
      </c>
      <c r="Y64" s="51">
        <f t="shared" si="56"/>
        <v>5641.7000000000007</v>
      </c>
      <c r="Z64" s="51">
        <f t="shared" si="56"/>
        <v>4310.8999999999996</v>
      </c>
      <c r="AA64" s="51">
        <f t="shared" si="56"/>
        <v>4075.4</v>
      </c>
      <c r="AB64" s="51">
        <f t="shared" ref="AB64:AG64" si="57">AB62-AB63</f>
        <v>4166.1000000000004</v>
      </c>
      <c r="AC64" s="51">
        <f t="shared" si="57"/>
        <v>4510.1000000000004</v>
      </c>
      <c r="AD64" s="51">
        <f t="shared" si="57"/>
        <v>4502.7</v>
      </c>
      <c r="AE64" s="51">
        <f t="shared" si="57"/>
        <v>4363</v>
      </c>
      <c r="AF64" s="51">
        <f t="shared" si="57"/>
        <v>4724.8</v>
      </c>
      <c r="AG64" s="51">
        <f t="shared" si="57"/>
        <v>4667.2</v>
      </c>
      <c r="AH64" s="51">
        <f>+AH62-AH63</f>
        <v>4955.0000000000009</v>
      </c>
      <c r="AI64" s="51">
        <f>+AI62-AI63</f>
        <v>4659.1000000000004</v>
      </c>
      <c r="AJ64" s="51">
        <f>AJ62-AJ63</f>
        <v>5024.7999999999984</v>
      </c>
      <c r="AK64" s="51">
        <f>AK62-AK63</f>
        <v>4810</v>
      </c>
      <c r="AL64" s="51">
        <f>+AL62-AL63</f>
        <v>4725.6000000000004</v>
      </c>
      <c r="AM64" s="51">
        <f>+AM62-AM63</f>
        <v>4404.5</v>
      </c>
      <c r="AN64" s="51">
        <f>+AN62-AN63</f>
        <v>4453.7999999999993</v>
      </c>
      <c r="AO64" s="51">
        <f>+AO62-AO63</f>
        <v>4238.8999999999996</v>
      </c>
      <c r="AP64" s="51">
        <f>+AP62-AP63</f>
        <v>4709</v>
      </c>
      <c r="AQ64" s="51">
        <f t="shared" ref="AQ64:AT64" si="58">+AQ62-AQ63</f>
        <v>4443.7</v>
      </c>
      <c r="AR64" s="51">
        <f t="shared" si="58"/>
        <v>4764.5</v>
      </c>
      <c r="AS64" s="51">
        <f t="shared" si="58"/>
        <v>4574.5</v>
      </c>
      <c r="AT64" s="51">
        <f t="shared" si="58"/>
        <v>4422.3</v>
      </c>
      <c r="AU64" s="51">
        <f t="shared" ref="AU64" si="59">AU62-AU63</f>
        <v>3460.4000000000005</v>
      </c>
      <c r="AV64" s="51">
        <f t="shared" ref="AV64:AW64" si="60">AV62-AV63</f>
        <v>3745.9000000000005</v>
      </c>
      <c r="AW64" s="51">
        <f t="shared" si="60"/>
        <v>3608.6000000000004</v>
      </c>
      <c r="AX64" s="51">
        <f t="shared" ref="AX64" si="61">AX62-AX63</f>
        <v>3868.2000000000003</v>
      </c>
      <c r="AY64" s="51">
        <f t="shared" ref="AY64:AZ64" si="62">AY62-AY63</f>
        <v>3452</v>
      </c>
      <c r="AZ64" s="51">
        <f t="shared" si="62"/>
        <v>3944.7999999999997</v>
      </c>
      <c r="BA64" s="51">
        <f t="shared" ref="BA64:BC64" si="63">BA62-BA63</f>
        <v>3722.7999999999997</v>
      </c>
      <c r="BB64" s="51">
        <f t="shared" si="63"/>
        <v>3986.4000000000005</v>
      </c>
      <c r="BC64" s="51">
        <f t="shared" si="63"/>
        <v>3542.1000000000004</v>
      </c>
      <c r="BD64" s="51">
        <f t="shared" ref="BD64:BE64" si="64">BD62-BD63</f>
        <v>4106.3999999999996</v>
      </c>
      <c r="BE64" s="51">
        <f t="shared" si="64"/>
        <v>3790.7999999999997</v>
      </c>
      <c r="BF64" s="51">
        <f t="shared" ref="BF64:BG64" si="65">BF62-BF63</f>
        <v>4294.5</v>
      </c>
      <c r="BG64" s="51">
        <f t="shared" si="65"/>
        <v>3880.4</v>
      </c>
      <c r="BH64" s="51">
        <f t="shared" ref="BH64:BJ64" si="66">BH62-BH63</f>
        <v>4252.6000000000004</v>
      </c>
      <c r="BI64" s="51">
        <f t="shared" si="66"/>
        <v>4071.7</v>
      </c>
      <c r="BJ64" s="51">
        <f t="shared" si="66"/>
        <v>4515.7999999999993</v>
      </c>
      <c r="BK64" s="51">
        <f t="shared" ref="BK64:BL64" si="67">BK62-BK63</f>
        <v>3392.5</v>
      </c>
      <c r="BL64" s="51">
        <f t="shared" si="67"/>
        <v>4652.5</v>
      </c>
      <c r="BM64" s="51">
        <f t="shared" ref="BM64:BN64" si="68">BM62-BM63</f>
        <v>4499.5999999999995</v>
      </c>
      <c r="BN64" s="51">
        <f t="shared" si="68"/>
        <v>4844.9000000000005</v>
      </c>
      <c r="BO64" s="51">
        <f t="shared" ref="BO64:CA64" si="69">BO62-BO63</f>
        <v>4081.5999999999976</v>
      </c>
      <c r="BP64" s="51">
        <f t="shared" si="69"/>
        <v>4563.5000000000009</v>
      </c>
      <c r="BQ64" s="51">
        <f t="shared" si="69"/>
        <v>4358.2000000000007</v>
      </c>
      <c r="BR64" s="51">
        <f t="shared" si="69"/>
        <v>4884.3999999999996</v>
      </c>
      <c r="BS64" s="51">
        <f t="shared" si="69"/>
        <v>4703.2999999999975</v>
      </c>
      <c r="BT64" s="51">
        <f t="shared" si="69"/>
        <v>4380.1999999999989</v>
      </c>
      <c r="BU64" s="51">
        <f t="shared" si="69"/>
        <v>4540.6999999999989</v>
      </c>
      <c r="BV64" s="51">
        <f t="shared" si="69"/>
        <v>5720.2999999999993</v>
      </c>
      <c r="BW64" s="51">
        <f t="shared" si="69"/>
        <v>5134.2000000000007</v>
      </c>
      <c r="BX64" s="51">
        <f t="shared" si="69"/>
        <v>5341.9999999999973</v>
      </c>
      <c r="BY64" s="51">
        <f t="shared" si="69"/>
        <v>5351.199999999998</v>
      </c>
      <c r="BZ64" s="51">
        <f t="shared" si="69"/>
        <v>5949.7</v>
      </c>
      <c r="CA64" s="51">
        <f t="shared" si="69"/>
        <v>5942.5999999999995</v>
      </c>
      <c r="CB64" s="51">
        <f>CB62-CB63</f>
        <v>5178.7000000000016</v>
      </c>
      <c r="CC64" s="51">
        <f>+CC62-CC63</f>
        <v>5362.4</v>
      </c>
      <c r="CD64" s="51">
        <f>+CD62-CD63</f>
        <v>5877.9000000000015</v>
      </c>
      <c r="CE64" s="51">
        <f>CE62-CE63</f>
        <v>5459.2999999999993</v>
      </c>
      <c r="CF64" s="51">
        <f>+CF62-CF63</f>
        <v>6052.1999999999989</v>
      </c>
      <c r="CG64" s="51">
        <f t="shared" ref="CG64" si="70">+CG62*0.79</f>
        <v>6382.1729999999989</v>
      </c>
      <c r="CH64" s="51">
        <f>+CH62-CH63</f>
        <v>7694.0000000000036</v>
      </c>
      <c r="CI64" s="51">
        <f>+CI62-CI63</f>
        <v>7233.5</v>
      </c>
      <c r="CJ64" s="51">
        <f>+CJ62-CJ63</f>
        <v>9271.6999999999989</v>
      </c>
      <c r="CK64" s="51">
        <f t="shared" ref="CK64:CL64" si="71">+CK62*0.81</f>
        <v>7794.1440000000002</v>
      </c>
      <c r="CL64" s="51">
        <f t="shared" si="71"/>
        <v>8162.6940000000004</v>
      </c>
      <c r="CM64" s="51"/>
      <c r="CN64" s="51"/>
      <c r="CO64" s="51"/>
      <c r="CP64" s="51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>
        <f>+DD62-DD63</f>
        <v>6041.7</v>
      </c>
      <c r="DE64" s="49">
        <f>+DE62-DE63</f>
        <v>7221.6999999999989</v>
      </c>
      <c r="DF64" s="49">
        <f t="shared" ref="DF64:DH64" si="72">+DF62-DF63</f>
        <v>7904.9</v>
      </c>
      <c r="DG64" s="49">
        <f t="shared" si="72"/>
        <v>8806.5</v>
      </c>
      <c r="DH64" s="49">
        <f t="shared" si="72"/>
        <v>9469</v>
      </c>
      <c r="DI64" s="51">
        <f t="shared" ref="DI64:DM64" si="73">DI62-DI63</f>
        <v>8979.2000000000007</v>
      </c>
      <c r="DJ64" s="51">
        <f t="shared" si="73"/>
        <v>9910</v>
      </c>
      <c r="DK64" s="51">
        <f t="shared" si="73"/>
        <v>10635</v>
      </c>
      <c r="DL64" s="51">
        <f t="shared" si="73"/>
        <v>11176</v>
      </c>
      <c r="DM64" s="51">
        <f t="shared" si="73"/>
        <v>12282.499999999998</v>
      </c>
      <c r="DN64" s="51">
        <f>DN62*DN85</f>
        <v>14423.994000000001</v>
      </c>
      <c r="DO64" s="51">
        <f>SUM(W64:Z64)</f>
        <v>20585.699999999997</v>
      </c>
      <c r="DP64" s="51">
        <f>SUM(AA64:AD64)</f>
        <v>17254.3</v>
      </c>
      <c r="DQ64" s="51">
        <f>DQ62-DQ63</f>
        <v>17527.599999999999</v>
      </c>
      <c r="DR64" s="51">
        <f>DR62-DR63</f>
        <v>18809.400000000001</v>
      </c>
      <c r="DS64" s="51">
        <f>DS62-DS63</f>
        <v>17205</v>
      </c>
      <c r="DT64" s="51">
        <f t="shared" ref="DT64:DU64" si="74">DT62*DT85</f>
        <v>0</v>
      </c>
      <c r="DU64" s="51">
        <f t="shared" si="74"/>
        <v>0</v>
      </c>
      <c r="DV64" s="51"/>
      <c r="DW64" s="51"/>
      <c r="DX64" s="51">
        <f t="shared" ref="DX64:DY64" si="75">+DX62-DX63</f>
        <v>15526.500000000004</v>
      </c>
      <c r="DY64" s="51">
        <f t="shared" si="75"/>
        <v>16811.399999999998</v>
      </c>
      <c r="DZ64" s="51">
        <f>+DZ62-DZ63</f>
        <v>17887.699999999997</v>
      </c>
      <c r="EA64" s="51">
        <f>+EA62-EA63</f>
        <v>19344.5</v>
      </c>
      <c r="EB64" s="51">
        <f>+EB62-EB63</f>
        <v>21777.1</v>
      </c>
      <c r="EC64" s="51">
        <f>+EC62-EC63</f>
        <v>22361.600000000006</v>
      </c>
      <c r="ED64" s="51">
        <f>+ED62-ED63</f>
        <v>25587.673000000003</v>
      </c>
      <c r="EE64" s="51">
        <f>EE62-EE63</f>
        <v>32462.038000000008</v>
      </c>
      <c r="EF64" s="51">
        <f t="shared" ref="EF64:EI64" si="76">EF62*0.79</f>
        <v>37229.510770000001</v>
      </c>
      <c r="EG64" s="51">
        <f t="shared" si="76"/>
        <v>45408.870277700007</v>
      </c>
      <c r="EH64" s="51">
        <f t="shared" si="76"/>
        <v>56129.52561282699</v>
      </c>
      <c r="EI64" s="51">
        <f t="shared" si="76"/>
        <v>63825.226217492767</v>
      </c>
      <c r="EJ64" s="51">
        <f>EJ62*0.79</f>
        <v>68709.140540248816</v>
      </c>
      <c r="EK64" s="51">
        <f>EK62*0.85</f>
        <v>69866.786557624015</v>
      </c>
    </row>
    <row r="65" spans="1:219" x14ac:dyDescent="0.2">
      <c r="A65" s="102"/>
      <c r="B65" t="s">
        <v>59</v>
      </c>
      <c r="C65" s="51"/>
      <c r="D65" s="51"/>
      <c r="E65" s="51"/>
      <c r="F65" s="51"/>
      <c r="G65" s="51"/>
      <c r="H65" s="51"/>
      <c r="I65" s="51"/>
      <c r="J65" s="51">
        <v>1098</v>
      </c>
      <c r="K65" s="51">
        <v>1090</v>
      </c>
      <c r="L65" s="51">
        <v>1146.0999999999999</v>
      </c>
      <c r="M65" s="51">
        <v>1070.9000000000001</v>
      </c>
      <c r="N65" s="51">
        <v>1190</v>
      </c>
      <c r="O65" s="51">
        <v>1143</v>
      </c>
      <c r="P65" s="51">
        <v>1238</v>
      </c>
      <c r="Q65" s="51">
        <v>1302.3</v>
      </c>
      <c r="R65" s="51">
        <v>1422.1</v>
      </c>
      <c r="S65" s="51">
        <v>1336.8</v>
      </c>
      <c r="T65" s="51">
        <v>1524.7</v>
      </c>
      <c r="U65" s="51">
        <v>1477.8</v>
      </c>
      <c r="V65" s="51">
        <v>1755.8</v>
      </c>
      <c r="W65" s="51">
        <v>1550.5</v>
      </c>
      <c r="X65" s="51">
        <v>1700.1</v>
      </c>
      <c r="Y65" s="51">
        <v>1649.2</v>
      </c>
      <c r="Z65" s="51">
        <v>1718.6</v>
      </c>
      <c r="AA65" s="51">
        <v>1529.2</v>
      </c>
      <c r="AB65" s="51">
        <v>1708.2</v>
      </c>
      <c r="AC65" s="51">
        <v>1701.8</v>
      </c>
      <c r="AD65" s="51">
        <v>1953.3</v>
      </c>
      <c r="AE65" s="51">
        <v>1614.4</v>
      </c>
      <c r="AF65" s="51">
        <v>1755.4</v>
      </c>
      <c r="AG65" s="51">
        <v>1694.9</v>
      </c>
      <c r="AH65" s="51">
        <v>1988.7</v>
      </c>
      <c r="AI65" s="51">
        <v>1785.7</v>
      </c>
      <c r="AJ65" s="51">
        <v>2043</v>
      </c>
      <c r="AK65" s="51">
        <v>1917.8</v>
      </c>
      <c r="AL65" s="51">
        <v>2133.4</v>
      </c>
      <c r="AM65" s="51">
        <v>1847.5</v>
      </c>
      <c r="AN65" s="51">
        <v>1931.1</v>
      </c>
      <c r="AO65" s="51">
        <v>1757.4</v>
      </c>
      <c r="AP65" s="51">
        <v>1977.5</v>
      </c>
      <c r="AQ65" s="51">
        <v>1652</v>
      </c>
      <c r="AR65" s="51">
        <v>1867.6</v>
      </c>
      <c r="AS65" s="51">
        <v>1652.4</v>
      </c>
      <c r="AT65" s="51">
        <v>1953.6</v>
      </c>
      <c r="AU65" s="51">
        <v>1484.9</v>
      </c>
      <c r="AV65" s="51">
        <v>1663.9</v>
      </c>
      <c r="AW65" s="51">
        <v>1672.1</v>
      </c>
      <c r="AX65" s="51">
        <v>1799.9</v>
      </c>
      <c r="AY65" s="51">
        <v>1523.5</v>
      </c>
      <c r="AZ65" s="51">
        <v>1635.4</v>
      </c>
      <c r="BA65" s="51">
        <v>1575.7</v>
      </c>
      <c r="BB65" s="51">
        <v>1798.4</v>
      </c>
      <c r="BC65" s="51">
        <v>1473.9</v>
      </c>
      <c r="BD65" s="51">
        <v>1622.6</v>
      </c>
      <c r="BE65" s="51">
        <v>1565.4</v>
      </c>
      <c r="BF65" s="51">
        <v>1790.1</v>
      </c>
      <c r="BG65" s="51">
        <v>1567.7</v>
      </c>
      <c r="BH65" s="51">
        <v>1730.4</v>
      </c>
      <c r="BI65" s="51">
        <v>1578.5</v>
      </c>
      <c r="BJ65" s="51">
        <v>1803.5</v>
      </c>
      <c r="BK65" s="51">
        <v>1500</v>
      </c>
      <c r="BL65" s="51">
        <v>1653.7</v>
      </c>
      <c r="BM65" s="51">
        <v>1616.6</v>
      </c>
      <c r="BN65" s="51">
        <v>1861.5</v>
      </c>
      <c r="BO65" s="51">
        <v>1517.1</v>
      </c>
      <c r="BP65" s="51">
        <v>1586.3</v>
      </c>
      <c r="BQ65" s="51">
        <v>1412.3</v>
      </c>
      <c r="BR65" s="51">
        <v>1698.1</v>
      </c>
      <c r="BS65" s="51">
        <v>1549.6</v>
      </c>
      <c r="BT65" s="51">
        <v>1448.6</v>
      </c>
      <c r="BU65" s="51">
        <v>1569.1</v>
      </c>
      <c r="BV65" s="51">
        <v>1553.9</v>
      </c>
      <c r="BW65" s="51">
        <v>1576</v>
      </c>
      <c r="BX65" s="51">
        <v>1685.7</v>
      </c>
      <c r="BY65" s="51">
        <v>1577.9</v>
      </c>
      <c r="BZ65" s="51">
        <v>1592</v>
      </c>
      <c r="CA65" s="51">
        <v>1557.9</v>
      </c>
      <c r="CB65" s="51">
        <v>1781.9</v>
      </c>
      <c r="CC65" s="51">
        <v>1614.2</v>
      </c>
      <c r="CD65" s="51">
        <v>1643.2</v>
      </c>
      <c r="CE65" s="51">
        <v>1749.2</v>
      </c>
      <c r="CF65" s="51">
        <v>1925.4</v>
      </c>
      <c r="CG65" s="51">
        <f t="shared" ref="CG65:CG66" si="77">+CC65</f>
        <v>1614.2</v>
      </c>
      <c r="CH65" s="51">
        <v>1924.6</v>
      </c>
      <c r="CI65" s="51">
        <v>1952.2</v>
      </c>
      <c r="CJ65" s="51">
        <v>2117.3000000000002</v>
      </c>
      <c r="CK65" s="51">
        <f t="shared" ref="CK65:CK66" si="78">+CG65*1.1</f>
        <v>1775.6200000000001</v>
      </c>
      <c r="CL65" s="51">
        <f t="shared" ref="CL65:CL66" si="79">+CH65*1.1</f>
        <v>2117.06</v>
      </c>
      <c r="CM65" s="51"/>
      <c r="CN65" s="51"/>
      <c r="CO65" s="51"/>
      <c r="CP65" s="51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>
        <v>2233.1</v>
      </c>
      <c r="DE65" s="49">
        <v>2658.3</v>
      </c>
      <c r="DF65" s="49">
        <v>2757.6</v>
      </c>
      <c r="DG65" s="49">
        <v>3228.3</v>
      </c>
      <c r="DH65" s="51">
        <v>3417</v>
      </c>
      <c r="DI65" s="51">
        <v>3424</v>
      </c>
      <c r="DJ65" s="51">
        <v>4055</v>
      </c>
      <c r="DK65" s="51">
        <v>4284</v>
      </c>
      <c r="DL65" s="51">
        <v>4497</v>
      </c>
      <c r="DM65" s="51">
        <v>4752</v>
      </c>
      <c r="DN65" s="51">
        <f>DM65*1.03</f>
        <v>4894.5600000000004</v>
      </c>
      <c r="DO65" s="51">
        <f>SUM(W65:Z65)</f>
        <v>6618.4</v>
      </c>
      <c r="DP65" s="51">
        <f>SUM(AA65:AD65)</f>
        <v>6892.5</v>
      </c>
      <c r="DQ65" s="51">
        <f>SUM(AE65:AH65)</f>
        <v>7053.4000000000005</v>
      </c>
      <c r="DR65" s="51">
        <f t="shared" ref="DR65:DR66" si="80">SUM(AI65:AL65)</f>
        <v>7879.9</v>
      </c>
      <c r="DS65" s="51">
        <f t="shared" ref="DS65" si="81">SUM(AM65:AP65)</f>
        <v>7513.5</v>
      </c>
      <c r="DT65" s="51">
        <f>DS65*0.95</f>
        <v>7137.8249999999998</v>
      </c>
      <c r="DU65" s="51">
        <f>DT65*0.8</f>
        <v>5710.26</v>
      </c>
      <c r="DV65" s="51"/>
      <c r="DW65" s="51"/>
      <c r="DX65" s="51">
        <v>5982.4</v>
      </c>
      <c r="DY65" s="51">
        <v>5975.1</v>
      </c>
      <c r="DZ65" s="49">
        <f t="shared" ref="DZ65:DZ66" si="82">SUM(BO65:BR65)</f>
        <v>6213.7999999999993</v>
      </c>
      <c r="EA65" s="49">
        <f t="shared" ref="EA65:EA66" si="83">SUM(BS65:BV65)</f>
        <v>6121.1999999999989</v>
      </c>
      <c r="EB65" s="49">
        <f>SUM(BW65:BZ65)</f>
        <v>6431.6</v>
      </c>
      <c r="EC65" s="49">
        <f>SUM(CA65:CD65)</f>
        <v>6597.2</v>
      </c>
      <c r="ED65" s="49">
        <f>SUM(CE65:CH65)</f>
        <v>7213.4</v>
      </c>
      <c r="EE65" s="49">
        <f>SUM(Model!CI65:CL65)</f>
        <v>7962.18</v>
      </c>
      <c r="EF65" s="49">
        <f t="shared" ref="EF65:EJ65" si="84">+EF62*0.25</f>
        <v>11781.490749999999</v>
      </c>
      <c r="EG65" s="49">
        <f t="shared" si="84"/>
        <v>14369.895657500001</v>
      </c>
      <c r="EH65" s="49">
        <f t="shared" si="84"/>
        <v>17762.508105324996</v>
      </c>
      <c r="EI65" s="49">
        <f t="shared" si="84"/>
        <v>20197.856397940748</v>
      </c>
      <c r="EJ65" s="49">
        <f t="shared" si="84"/>
        <v>21743.398905142029</v>
      </c>
      <c r="EK65" s="49">
        <f>+EK62*0.25</f>
        <v>20549.054869889416</v>
      </c>
    </row>
    <row r="66" spans="1:219" x14ac:dyDescent="0.2">
      <c r="A66" s="102"/>
      <c r="B66" t="s">
        <v>60</v>
      </c>
      <c r="C66" s="51"/>
      <c r="D66" s="51"/>
      <c r="E66" s="51"/>
      <c r="F66" s="51"/>
      <c r="G66" s="51"/>
      <c r="H66" s="51"/>
      <c r="I66" s="51"/>
      <c r="J66" s="51">
        <v>706</v>
      </c>
      <c r="K66" s="51">
        <v>702</v>
      </c>
      <c r="L66" s="51">
        <v>762.4</v>
      </c>
      <c r="M66" s="51">
        <v>751</v>
      </c>
      <c r="N66" s="51">
        <v>810</v>
      </c>
      <c r="O66" s="51">
        <v>741</v>
      </c>
      <c r="P66" s="51">
        <v>775</v>
      </c>
      <c r="Q66" s="51">
        <v>788.8</v>
      </c>
      <c r="R66" s="51">
        <v>890</v>
      </c>
      <c r="S66" s="51">
        <v>834.2</v>
      </c>
      <c r="T66" s="51">
        <v>854.4</v>
      </c>
      <c r="U66" s="51">
        <v>844.5</v>
      </c>
      <c r="V66" s="51">
        <v>953.6</v>
      </c>
      <c r="W66" s="51">
        <v>877.1</v>
      </c>
      <c r="X66" s="51">
        <v>951.5</v>
      </c>
      <c r="Y66" s="51">
        <v>953</v>
      </c>
      <c r="Z66" s="51">
        <v>1036.0999999999999</v>
      </c>
      <c r="AA66" s="51">
        <v>947.3</v>
      </c>
      <c r="AB66" s="51">
        <v>1040.4000000000001</v>
      </c>
      <c r="AC66" s="51">
        <v>1122.0999999999999</v>
      </c>
      <c r="AD66" s="51">
        <v>1216.7</v>
      </c>
      <c r="AE66" s="51">
        <v>1039.0999999999999</v>
      </c>
      <c r="AF66" s="51">
        <v>1187.2</v>
      </c>
      <c r="AG66" s="51">
        <v>1219.8</v>
      </c>
      <c r="AH66" s="51">
        <v>1438.1</v>
      </c>
      <c r="AI66" s="51">
        <v>1124</v>
      </c>
      <c r="AJ66" s="51">
        <v>1260.5999999999999</v>
      </c>
      <c r="AK66" s="51">
        <v>1280.9000000000001</v>
      </c>
      <c r="AL66" s="51">
        <v>1355.3</v>
      </c>
      <c r="AM66" s="51">
        <v>1151.5</v>
      </c>
      <c r="AN66" s="51">
        <v>1320.7</v>
      </c>
      <c r="AO66" s="51">
        <v>1342.8</v>
      </c>
      <c r="AP66" s="51">
        <v>1463.1</v>
      </c>
      <c r="AQ66" s="51">
        <v>1348.1</v>
      </c>
      <c r="AR66" s="51">
        <v>1330.4</v>
      </c>
      <c r="AS66" s="51">
        <v>1377.4</v>
      </c>
      <c r="AT66" s="51">
        <v>1475.4</v>
      </c>
      <c r="AU66" s="51">
        <v>1109.3</v>
      </c>
      <c r="AV66" s="51">
        <v>1195.4000000000001</v>
      </c>
      <c r="AW66" s="51">
        <v>1243.2</v>
      </c>
      <c r="AX66" s="51">
        <v>1185.7</v>
      </c>
      <c r="AY66" s="51">
        <v>1039.3</v>
      </c>
      <c r="AZ66" s="51">
        <v>1169.5</v>
      </c>
      <c r="BA66" s="51">
        <v>1143.4000000000001</v>
      </c>
      <c r="BB66" s="51">
        <v>1444.2</v>
      </c>
      <c r="BC66" s="51">
        <v>1221</v>
      </c>
      <c r="BD66" s="51">
        <v>1335.9</v>
      </c>
      <c r="BE66" s="51">
        <v>1236.4000000000001</v>
      </c>
      <c r="BF66" s="51">
        <v>1450.6</v>
      </c>
      <c r="BG66" s="51">
        <v>1258.3</v>
      </c>
      <c r="BH66" s="51">
        <v>1272.0999999999999</v>
      </c>
      <c r="BI66" s="51">
        <v>1340</v>
      </c>
      <c r="BJ66" s="51">
        <v>1486.9</v>
      </c>
      <c r="BK66" s="51">
        <v>1176.9000000000001</v>
      </c>
      <c r="BL66" s="51">
        <v>1333.1</v>
      </c>
      <c r="BM66" s="51">
        <v>1343.3</v>
      </c>
      <c r="BN66" s="51">
        <v>1453.8</v>
      </c>
      <c r="BO66" s="51">
        <v>1230.5</v>
      </c>
      <c r="BP66" s="51">
        <v>1402.2</v>
      </c>
      <c r="BQ66" s="51">
        <v>1380.9</v>
      </c>
      <c r="BR66" s="51">
        <v>1581.4</v>
      </c>
      <c r="BS66" s="51">
        <v>1392.1</v>
      </c>
      <c r="BT66" s="51">
        <v>1390.2</v>
      </c>
      <c r="BU66" s="51">
        <v>1465.4</v>
      </c>
      <c r="BV66" s="51">
        <v>1838</v>
      </c>
      <c r="BW66" s="51">
        <v>1672.1</v>
      </c>
      <c r="BX66" s="51">
        <v>1672.8</v>
      </c>
      <c r="BY66" s="51">
        <v>1708.9</v>
      </c>
      <c r="BZ66" s="51">
        <v>1959.4</v>
      </c>
      <c r="CA66" s="51">
        <v>1610.1</v>
      </c>
      <c r="CB66" s="51">
        <v>1625.1</v>
      </c>
      <c r="CC66" s="51">
        <v>1802.9</v>
      </c>
      <c r="CD66" s="51">
        <v>1995.9</v>
      </c>
      <c r="CE66" s="51">
        <v>1985.1</v>
      </c>
      <c r="CF66" s="51">
        <v>2356.5</v>
      </c>
      <c r="CG66" s="51">
        <f t="shared" si="77"/>
        <v>1802.9</v>
      </c>
      <c r="CH66" s="51">
        <v>2562.6999999999998</v>
      </c>
      <c r="CI66" s="51">
        <v>2522.8000000000002</v>
      </c>
      <c r="CJ66" s="51">
        <v>2711.2</v>
      </c>
      <c r="CK66" s="51">
        <f t="shared" si="78"/>
        <v>1983.1900000000003</v>
      </c>
      <c r="CL66" s="51">
        <f t="shared" si="79"/>
        <v>2818.9700000000003</v>
      </c>
      <c r="CM66" s="51"/>
      <c r="CN66" s="51"/>
      <c r="CO66" s="51"/>
      <c r="CP66" s="51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>
        <v>1370.2</v>
      </c>
      <c r="DE66" s="49">
        <v>1738.9</v>
      </c>
      <c r="DF66" s="49">
        <v>1783.6</v>
      </c>
      <c r="DG66" s="49">
        <v>2018.5</v>
      </c>
      <c r="DH66" s="51">
        <v>2235</v>
      </c>
      <c r="DI66" s="51">
        <v>2149</v>
      </c>
      <c r="DJ66" s="51">
        <v>2350</v>
      </c>
      <c r="DK66" s="51">
        <v>2691</v>
      </c>
      <c r="DL66" s="51">
        <v>3026</v>
      </c>
      <c r="DM66" s="51">
        <v>3130</v>
      </c>
      <c r="DN66" s="51">
        <f>DM66*1.02</f>
        <v>3192.6</v>
      </c>
      <c r="DO66" s="51">
        <f>SUM(W66:Z66)</f>
        <v>3817.7</v>
      </c>
      <c r="DP66" s="51">
        <f>SUM(AA66:AD66)</f>
        <v>4326.5</v>
      </c>
      <c r="DQ66" s="51">
        <f>SUM(AE66:AH66)</f>
        <v>4884.2000000000007</v>
      </c>
      <c r="DR66" s="51">
        <f t="shared" si="80"/>
        <v>5020.8</v>
      </c>
      <c r="DS66" s="51">
        <f>SUM(AM66:AP66)</f>
        <v>5278.1</v>
      </c>
      <c r="DT66" s="51"/>
      <c r="DU66" s="51"/>
      <c r="DV66" s="51"/>
      <c r="DW66" s="51"/>
      <c r="DX66" s="51">
        <v>5096.2</v>
      </c>
      <c r="DY66" s="51">
        <v>5051.2</v>
      </c>
      <c r="DZ66" s="49">
        <f t="shared" si="82"/>
        <v>5595</v>
      </c>
      <c r="EA66" s="49">
        <f t="shared" si="83"/>
        <v>6085.7000000000007</v>
      </c>
      <c r="EB66" s="49">
        <f>SUM(BW66:BZ66)</f>
        <v>7013.1999999999989</v>
      </c>
      <c r="EC66" s="49">
        <f>SUM(CA66:CD66)</f>
        <v>7034</v>
      </c>
      <c r="ED66" s="49">
        <f>SUM(CE66:CH66)</f>
        <v>8707.2000000000007</v>
      </c>
      <c r="EE66" s="49">
        <f>SUM(Model!CI66:CL66)</f>
        <v>10036.16</v>
      </c>
      <c r="EF66" s="49"/>
      <c r="EG66" s="49"/>
      <c r="EH66" s="49"/>
      <c r="EI66" s="49"/>
      <c r="EJ66" s="49"/>
      <c r="EK66" s="49"/>
    </row>
    <row r="67" spans="1:219" x14ac:dyDescent="0.2">
      <c r="A67" s="102"/>
      <c r="B67" s="38" t="s">
        <v>250</v>
      </c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>
        <f t="shared" ref="Z67:AE67" si="85">Z66+Z65</f>
        <v>2754.7</v>
      </c>
      <c r="AA67" s="51">
        <f t="shared" si="85"/>
        <v>2476.5</v>
      </c>
      <c r="AB67" s="51">
        <f t="shared" si="85"/>
        <v>2748.6000000000004</v>
      </c>
      <c r="AC67" s="51">
        <f t="shared" si="85"/>
        <v>2823.8999999999996</v>
      </c>
      <c r="AD67" s="51">
        <f t="shared" si="85"/>
        <v>3170</v>
      </c>
      <c r="AE67" s="51">
        <f t="shared" si="85"/>
        <v>2653.5</v>
      </c>
      <c r="AF67" s="51">
        <f t="shared" ref="AF67:AH67" si="86">AF66+AF65</f>
        <v>2942.6000000000004</v>
      </c>
      <c r="AG67" s="51">
        <f t="shared" si="86"/>
        <v>2914.7</v>
      </c>
      <c r="AH67" s="51">
        <f t="shared" si="86"/>
        <v>3426.8</v>
      </c>
      <c r="AI67" s="51">
        <f>AI66+AI65</f>
        <v>2909.7</v>
      </c>
      <c r="AJ67" s="51">
        <f>AJ66+AJ65</f>
        <v>3303.6</v>
      </c>
      <c r="AK67" s="51">
        <f>AK66+AK65</f>
        <v>3198.7</v>
      </c>
      <c r="AL67" s="51">
        <f>AL66+AL65</f>
        <v>3488.7</v>
      </c>
      <c r="AM67" s="51">
        <f>+AM66+AM65</f>
        <v>2999</v>
      </c>
      <c r="AN67" s="51">
        <f>+AN66+AN65</f>
        <v>3251.8</v>
      </c>
      <c r="AO67" s="51">
        <f>+AO66+AO65</f>
        <v>3100.2</v>
      </c>
      <c r="AP67" s="51">
        <f>+AP66+AP65</f>
        <v>3440.6</v>
      </c>
      <c r="AQ67" s="51">
        <f t="shared" ref="AQ67:AT67" si="87">+AQ66+AQ65</f>
        <v>3000.1</v>
      </c>
      <c r="AR67" s="51">
        <f t="shared" si="87"/>
        <v>3198</v>
      </c>
      <c r="AS67" s="51">
        <f t="shared" si="87"/>
        <v>3029.8</v>
      </c>
      <c r="AT67" s="51">
        <f t="shared" si="87"/>
        <v>3429</v>
      </c>
      <c r="AU67" s="51">
        <f t="shared" ref="AU67" si="88">SUM(AU65:AU66)</f>
        <v>2594.1999999999998</v>
      </c>
      <c r="AV67" s="51">
        <f t="shared" ref="AV67:AW67" si="89">SUM(AV65:AV66)</f>
        <v>2859.3</v>
      </c>
      <c r="AW67" s="51">
        <f t="shared" si="89"/>
        <v>2915.3</v>
      </c>
      <c r="AX67" s="51">
        <f t="shared" ref="AX67" si="90">SUM(AX65:AX66)</f>
        <v>2985.6000000000004</v>
      </c>
      <c r="AY67" s="51">
        <f t="shared" ref="AY67:AZ67" si="91">SUM(AY65:AY66)</f>
        <v>2562.8000000000002</v>
      </c>
      <c r="AZ67" s="51">
        <f t="shared" si="91"/>
        <v>2804.9</v>
      </c>
      <c r="BA67" s="51">
        <f t="shared" ref="BA67:BC67" si="92">SUM(BA65:BA66)</f>
        <v>2719.1000000000004</v>
      </c>
      <c r="BB67" s="51">
        <f t="shared" si="92"/>
        <v>3242.6000000000004</v>
      </c>
      <c r="BC67" s="51">
        <f t="shared" si="92"/>
        <v>2694.9</v>
      </c>
      <c r="BD67" s="51">
        <f t="shared" ref="BD67:BE67" si="93">SUM(BD65:BD66)</f>
        <v>2958.5</v>
      </c>
      <c r="BE67" s="51">
        <f t="shared" si="93"/>
        <v>2801.8</v>
      </c>
      <c r="BF67" s="51">
        <f t="shared" ref="BF67:BG67" si="94">SUM(BF65:BF66)</f>
        <v>3240.7</v>
      </c>
      <c r="BG67" s="51">
        <f t="shared" si="94"/>
        <v>2826</v>
      </c>
      <c r="BH67" s="51">
        <f t="shared" ref="BH67" si="95">SUM(BH65:BH66)</f>
        <v>3002.5</v>
      </c>
      <c r="BI67" s="51">
        <f t="shared" ref="BI67:BJ67" si="96">SUM(BI65:BI66)</f>
        <v>2918.5</v>
      </c>
      <c r="BJ67" s="51">
        <f t="shared" si="96"/>
        <v>3290.4</v>
      </c>
      <c r="BK67" s="51">
        <f t="shared" ref="BK67:BL67" si="97">SUM(BK65:BK66)</f>
        <v>2676.9</v>
      </c>
      <c r="BL67" s="51">
        <f t="shared" si="97"/>
        <v>2986.8</v>
      </c>
      <c r="BM67" s="51">
        <f t="shared" ref="BM67:BN67" si="98">SUM(BM65:BM66)</f>
        <v>2959.8999999999996</v>
      </c>
      <c r="BN67" s="51">
        <f t="shared" si="98"/>
        <v>3315.3</v>
      </c>
      <c r="BO67" s="51">
        <f t="shared" ref="BO67:CA67" si="99">SUM(BO65:BO66)</f>
        <v>2747.6</v>
      </c>
      <c r="BP67" s="51">
        <f t="shared" si="99"/>
        <v>2988.5</v>
      </c>
      <c r="BQ67" s="51">
        <f t="shared" si="99"/>
        <v>2793.2</v>
      </c>
      <c r="BR67" s="51">
        <f t="shared" si="99"/>
        <v>3279.5</v>
      </c>
      <c r="BS67" s="51">
        <f t="shared" si="99"/>
        <v>2941.7</v>
      </c>
      <c r="BT67" s="51">
        <f t="shared" si="99"/>
        <v>2838.8</v>
      </c>
      <c r="BU67" s="51">
        <f t="shared" si="99"/>
        <v>3034.5</v>
      </c>
      <c r="BV67" s="51">
        <f t="shared" si="99"/>
        <v>3391.9</v>
      </c>
      <c r="BW67" s="51">
        <f t="shared" si="99"/>
        <v>3248.1</v>
      </c>
      <c r="BX67" s="51">
        <f t="shared" si="99"/>
        <v>3358.5</v>
      </c>
      <c r="BY67" s="51">
        <f t="shared" si="99"/>
        <v>3286.8</v>
      </c>
      <c r="BZ67" s="51">
        <f t="shared" si="99"/>
        <v>3551.4</v>
      </c>
      <c r="CA67" s="51">
        <f t="shared" si="99"/>
        <v>3168</v>
      </c>
      <c r="CB67" s="51">
        <f t="shared" ref="CB67:CH67" si="100">SUM(CB65:CB66)</f>
        <v>3407</v>
      </c>
      <c r="CC67" s="51">
        <f t="shared" si="100"/>
        <v>3417.1000000000004</v>
      </c>
      <c r="CD67" s="51">
        <f t="shared" si="100"/>
        <v>3639.1000000000004</v>
      </c>
      <c r="CE67" s="51">
        <f t="shared" si="100"/>
        <v>3734.3</v>
      </c>
      <c r="CF67" s="51">
        <f t="shared" si="100"/>
        <v>4281.8999999999996</v>
      </c>
      <c r="CG67" s="51">
        <f t="shared" si="100"/>
        <v>3417.1000000000004</v>
      </c>
      <c r="CH67" s="51">
        <f t="shared" si="100"/>
        <v>4487.2999999999993</v>
      </c>
      <c r="CI67" s="51">
        <f t="shared" ref="CI67:CL67" si="101">SUM(CI65:CI66)</f>
        <v>4475</v>
      </c>
      <c r="CJ67" s="51">
        <f t="shared" si="101"/>
        <v>4828.5</v>
      </c>
      <c r="CK67" s="51">
        <f t="shared" si="101"/>
        <v>3758.8100000000004</v>
      </c>
      <c r="CL67" s="51">
        <f t="shared" si="101"/>
        <v>4936.0300000000007</v>
      </c>
      <c r="CM67" s="51"/>
      <c r="CN67" s="51"/>
      <c r="CO67" s="51"/>
      <c r="CP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>
        <f t="shared" ref="DD67" si="102">DD66+DD65</f>
        <v>3603.3</v>
      </c>
      <c r="DE67" s="51">
        <f t="shared" ref="DE67:DG67" si="103">DE66+DE65</f>
        <v>4397.2000000000007</v>
      </c>
      <c r="DF67" s="51">
        <f t="shared" si="103"/>
        <v>4541.2</v>
      </c>
      <c r="DG67" s="51">
        <f t="shared" si="103"/>
        <v>5246.8</v>
      </c>
      <c r="DH67" s="51">
        <f t="shared" ref="DH67:DN67" si="104">DH66+DH65</f>
        <v>5652</v>
      </c>
      <c r="DI67" s="51">
        <f t="shared" si="104"/>
        <v>5573</v>
      </c>
      <c r="DJ67" s="51">
        <f t="shared" si="104"/>
        <v>6405</v>
      </c>
      <c r="DK67" s="51">
        <f t="shared" si="104"/>
        <v>6975</v>
      </c>
      <c r="DL67" s="51">
        <f t="shared" si="104"/>
        <v>7523</v>
      </c>
      <c r="DM67" s="51">
        <f t="shared" si="104"/>
        <v>7882</v>
      </c>
      <c r="DN67" s="51">
        <f t="shared" si="104"/>
        <v>8087.16</v>
      </c>
      <c r="DO67" s="51">
        <f>DO66+DO65</f>
        <v>10436.099999999999</v>
      </c>
      <c r="DP67" s="51">
        <f t="shared" ref="DP67:DV67" si="105">DP66+DP65</f>
        <v>11219</v>
      </c>
      <c r="DQ67" s="51">
        <f>DQ66+DQ65</f>
        <v>11937.600000000002</v>
      </c>
      <c r="DR67" s="51">
        <f>DR66+DR65</f>
        <v>12900.7</v>
      </c>
      <c r="DS67" s="51">
        <f>DS66+DS65</f>
        <v>12791.6</v>
      </c>
      <c r="DT67" s="51">
        <f t="shared" si="105"/>
        <v>7137.8249999999998</v>
      </c>
      <c r="DU67" s="51">
        <f t="shared" si="105"/>
        <v>5710.26</v>
      </c>
      <c r="DV67" s="51">
        <f t="shared" si="105"/>
        <v>0</v>
      </c>
      <c r="DW67" s="51"/>
      <c r="DX67" s="51">
        <f>DX66+DX65</f>
        <v>11078.599999999999</v>
      </c>
      <c r="DY67" s="51">
        <f t="shared" ref="DY67:DZ67" si="106">DY66+DY65</f>
        <v>11026.3</v>
      </c>
      <c r="DZ67" s="51">
        <f t="shared" si="106"/>
        <v>11808.8</v>
      </c>
      <c r="EA67" s="51">
        <f>EA66+EA65</f>
        <v>12206.9</v>
      </c>
      <c r="EB67" s="51">
        <f>EB66+EB65</f>
        <v>13444.8</v>
      </c>
      <c r="EC67" s="51">
        <f>EC66+EC65</f>
        <v>13631.2</v>
      </c>
      <c r="ED67" s="51">
        <f>ED66+ED65</f>
        <v>15920.6</v>
      </c>
      <c r="EE67" s="51">
        <f>EE66+EE65</f>
        <v>17998.34</v>
      </c>
      <c r="EF67" s="51">
        <f t="shared" ref="EF67" si="107">EF66+EF65</f>
        <v>11781.490749999999</v>
      </c>
      <c r="EG67" s="51">
        <f t="shared" ref="EG67" si="108">EG66+EG65</f>
        <v>14369.895657500001</v>
      </c>
      <c r="EH67" s="51">
        <f t="shared" ref="EH67" si="109">EH66+EH65</f>
        <v>17762.508105324996</v>
      </c>
      <c r="EI67" s="51">
        <f t="shared" ref="EI67" si="110">EI66+EI65</f>
        <v>20197.856397940748</v>
      </c>
      <c r="EJ67" s="51">
        <f>EJ66+EJ65</f>
        <v>21743.398905142029</v>
      </c>
      <c r="EK67" s="51">
        <f>EK66+EK65</f>
        <v>20549.054869889416</v>
      </c>
    </row>
    <row r="68" spans="1:219" x14ac:dyDescent="0.2">
      <c r="A68" s="102"/>
      <c r="B68" s="38" t="s">
        <v>251</v>
      </c>
      <c r="C68" s="51"/>
      <c r="D68" s="51"/>
      <c r="E68" s="51"/>
      <c r="F68" s="51"/>
      <c r="G68" s="51"/>
      <c r="H68" s="51"/>
      <c r="I68" s="51"/>
      <c r="J68" s="51">
        <f t="shared" ref="J68:S68" si="111">J64-J65-J66</f>
        <v>651.10000000000036</v>
      </c>
      <c r="K68" s="51">
        <f t="shared" si="111"/>
        <v>558.43663366336614</v>
      </c>
      <c r="L68" s="51">
        <f t="shared" si="111"/>
        <v>385.8000000000003</v>
      </c>
      <c r="M68" s="51">
        <f t="shared" si="111"/>
        <v>496.5333333333333</v>
      </c>
      <c r="N68" s="51">
        <f t="shared" si="111"/>
        <v>557.10000000000036</v>
      </c>
      <c r="O68" s="51">
        <f t="shared" si="111"/>
        <v>537.20000000000027</v>
      </c>
      <c r="P68" s="51">
        <f t="shared" si="111"/>
        <v>549</v>
      </c>
      <c r="Q68" s="51">
        <f t="shared" si="111"/>
        <v>702.40000000000009</v>
      </c>
      <c r="R68" s="51">
        <f t="shared" si="111"/>
        <v>2301.8000000000006</v>
      </c>
      <c r="S68" s="51">
        <f t="shared" si="111"/>
        <v>1142.5</v>
      </c>
      <c r="T68" s="51">
        <f t="shared" ref="T68:Y68" si="112">T64-T65-T66</f>
        <v>815.80000000000007</v>
      </c>
      <c r="U68" s="51">
        <f t="shared" si="112"/>
        <v>2522.3999999999987</v>
      </c>
      <c r="V68" s="51">
        <f t="shared" si="112"/>
        <v>2683.5000000000005</v>
      </c>
      <c r="W68" s="51">
        <f t="shared" si="112"/>
        <v>2702.900000000001</v>
      </c>
      <c r="X68" s="51">
        <f t="shared" si="112"/>
        <v>2850.9999999999986</v>
      </c>
      <c r="Y68" s="51">
        <f t="shared" si="112"/>
        <v>3039.5000000000009</v>
      </c>
      <c r="Z68" s="51">
        <f t="shared" ref="Z68:AE68" si="113">Z64-Z67</f>
        <v>1556.1999999999998</v>
      </c>
      <c r="AA68" s="51">
        <f t="shared" si="113"/>
        <v>1598.9</v>
      </c>
      <c r="AB68" s="51">
        <f t="shared" si="113"/>
        <v>1417.5</v>
      </c>
      <c r="AC68" s="51">
        <f t="shared" si="113"/>
        <v>1686.2000000000007</v>
      </c>
      <c r="AD68" s="51">
        <f t="shared" si="113"/>
        <v>1332.6999999999998</v>
      </c>
      <c r="AE68" s="51">
        <f t="shared" si="113"/>
        <v>1709.5</v>
      </c>
      <c r="AF68" s="51">
        <f t="shared" ref="AF68:AH68" si="114">AF64-AF67</f>
        <v>1782.1999999999998</v>
      </c>
      <c r="AG68" s="51">
        <f t="shared" si="114"/>
        <v>1752.5</v>
      </c>
      <c r="AH68" s="51">
        <f t="shared" si="114"/>
        <v>1528.2000000000007</v>
      </c>
      <c r="AI68" s="51">
        <f>AI64-AI67</f>
        <v>1749.4000000000005</v>
      </c>
      <c r="AJ68" s="51">
        <f>AJ64-AJ67</f>
        <v>1721.1999999999985</v>
      </c>
      <c r="AK68" s="51">
        <f>AK64-AK67</f>
        <v>1611.3000000000002</v>
      </c>
      <c r="AL68" s="51">
        <f>AL64-AL67</f>
        <v>1236.9000000000005</v>
      </c>
      <c r="AM68" s="51">
        <f>+AM64-AM67</f>
        <v>1405.5</v>
      </c>
      <c r="AN68" s="51">
        <f>+AN64-AN67</f>
        <v>1201.9999999999991</v>
      </c>
      <c r="AO68" s="51">
        <f>+AO64-AO67</f>
        <v>1138.6999999999998</v>
      </c>
      <c r="AP68" s="51">
        <f>+AP64-AP67</f>
        <v>1268.4000000000001</v>
      </c>
      <c r="AQ68" s="51">
        <f t="shared" ref="AQ68:AT68" si="115">+AQ64-AQ67</f>
        <v>1443.6</v>
      </c>
      <c r="AR68" s="51">
        <f t="shared" si="115"/>
        <v>1566.5</v>
      </c>
      <c r="AS68" s="51">
        <f t="shared" si="115"/>
        <v>1544.6999999999998</v>
      </c>
      <c r="AT68" s="51">
        <f t="shared" si="115"/>
        <v>993.30000000000018</v>
      </c>
      <c r="AU68" s="51">
        <f t="shared" ref="AU68" si="116">AU64-AU67</f>
        <v>866.20000000000073</v>
      </c>
      <c r="AV68" s="51">
        <f t="shared" ref="AV68:AW68" si="117">AV64-AV67</f>
        <v>886.60000000000036</v>
      </c>
      <c r="AW68" s="51">
        <f t="shared" si="117"/>
        <v>693.30000000000018</v>
      </c>
      <c r="AX68" s="51">
        <f t="shared" ref="AX68" si="118">AX64-AX67</f>
        <v>882.59999999999991</v>
      </c>
      <c r="AY68" s="51">
        <f t="shared" ref="AY68:AZ68" si="119">AY64-AY67</f>
        <v>889.19999999999982</v>
      </c>
      <c r="AZ68" s="51">
        <f t="shared" si="119"/>
        <v>1139.8999999999996</v>
      </c>
      <c r="BA68" s="51">
        <f t="shared" ref="BA68:BC68" si="120">BA64-BA67</f>
        <v>1003.6999999999994</v>
      </c>
      <c r="BB68" s="51">
        <f t="shared" si="120"/>
        <v>743.80000000000018</v>
      </c>
      <c r="BC68" s="51">
        <f t="shared" si="120"/>
        <v>847.20000000000027</v>
      </c>
      <c r="BD68" s="51">
        <f t="shared" ref="BD68:BE68" si="121">BD64-BD67</f>
        <v>1147.8999999999996</v>
      </c>
      <c r="BE68" s="51">
        <f t="shared" si="121"/>
        <v>988.99999999999955</v>
      </c>
      <c r="BF68" s="51">
        <f t="shared" ref="BF68:BG68" si="122">BF64-BF67</f>
        <v>1053.8000000000002</v>
      </c>
      <c r="BG68" s="51">
        <f t="shared" si="122"/>
        <v>1054.4000000000001</v>
      </c>
      <c r="BH68" s="51">
        <f t="shared" ref="BH68" si="123">BH64-BH67</f>
        <v>1250.1000000000004</v>
      </c>
      <c r="BI68" s="51">
        <f t="shared" ref="BI68:BJ68" si="124">BI64-BI67</f>
        <v>1153.1999999999998</v>
      </c>
      <c r="BJ68" s="51">
        <f t="shared" si="124"/>
        <v>1225.3999999999992</v>
      </c>
      <c r="BK68" s="51">
        <f t="shared" ref="BK68:BL68" si="125">BK64-BK67</f>
        <v>715.59999999999991</v>
      </c>
      <c r="BL68" s="51">
        <f t="shared" si="125"/>
        <v>1665.6999999999998</v>
      </c>
      <c r="BM68" s="51">
        <f t="shared" ref="BM68:BN68" si="126">BM64-BM67</f>
        <v>1539.6999999999998</v>
      </c>
      <c r="BN68" s="51">
        <f t="shared" si="126"/>
        <v>1529.6000000000004</v>
      </c>
      <c r="BO68" s="51">
        <f t="shared" ref="BO68:CA68" si="127">BO64-BO67</f>
        <v>1333.9999999999977</v>
      </c>
      <c r="BP68" s="51">
        <f t="shared" si="127"/>
        <v>1575.0000000000009</v>
      </c>
      <c r="BQ68" s="51">
        <f t="shared" si="127"/>
        <v>1565.0000000000009</v>
      </c>
      <c r="BR68" s="51">
        <f t="shared" si="127"/>
        <v>1604.8999999999996</v>
      </c>
      <c r="BS68" s="51">
        <f t="shared" si="127"/>
        <v>1761.5999999999976</v>
      </c>
      <c r="BT68" s="51">
        <f t="shared" si="127"/>
        <v>1541.3999999999987</v>
      </c>
      <c r="BU68" s="51">
        <f t="shared" si="127"/>
        <v>1506.1999999999989</v>
      </c>
      <c r="BV68" s="51">
        <f t="shared" si="127"/>
        <v>2328.3999999999992</v>
      </c>
      <c r="BW68" s="51">
        <f t="shared" si="127"/>
        <v>1886.1000000000008</v>
      </c>
      <c r="BX68" s="51">
        <f t="shared" si="127"/>
        <v>1983.4999999999973</v>
      </c>
      <c r="BY68" s="51">
        <f t="shared" si="127"/>
        <v>2064.3999999999978</v>
      </c>
      <c r="BZ68" s="51">
        <f t="shared" si="127"/>
        <v>2398.2999999999997</v>
      </c>
      <c r="CA68" s="51">
        <f t="shared" si="127"/>
        <v>2774.5999999999995</v>
      </c>
      <c r="CB68" s="51">
        <f t="shared" ref="CB68:CH68" si="128">CB64-CB67</f>
        <v>1771.7000000000016</v>
      </c>
      <c r="CC68" s="51">
        <f t="shared" si="128"/>
        <v>1945.2999999999993</v>
      </c>
      <c r="CD68" s="51">
        <f t="shared" si="128"/>
        <v>2238.8000000000011</v>
      </c>
      <c r="CE68" s="51">
        <f t="shared" si="128"/>
        <v>1724.9999999999991</v>
      </c>
      <c r="CF68" s="51">
        <f t="shared" si="128"/>
        <v>1770.2999999999993</v>
      </c>
      <c r="CG68" s="51">
        <f t="shared" si="128"/>
        <v>2965.0729999999985</v>
      </c>
      <c r="CH68" s="51">
        <f t="shared" si="128"/>
        <v>3206.7000000000044</v>
      </c>
      <c r="CI68" s="51">
        <f t="shared" ref="CI68:CL68" si="129">CI64-CI67</f>
        <v>2758.5</v>
      </c>
      <c r="CJ68" s="51">
        <f t="shared" si="129"/>
        <v>4443.1999999999989</v>
      </c>
      <c r="CK68" s="51">
        <f t="shared" si="129"/>
        <v>4035.3339999999998</v>
      </c>
      <c r="CL68" s="51">
        <f t="shared" si="129"/>
        <v>3226.6639999999998</v>
      </c>
      <c r="CM68" s="51"/>
      <c r="CN68" s="51"/>
      <c r="CO68" s="51"/>
      <c r="CP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>
        <f t="shared" ref="DD68" si="130">DD64-DD65-DD66</f>
        <v>2438.3999999999996</v>
      </c>
      <c r="DE68" s="51">
        <f t="shared" ref="DE68:DG68" si="131">DE64-DE65-DE66</f>
        <v>2824.4999999999986</v>
      </c>
      <c r="DF68" s="51">
        <f t="shared" si="131"/>
        <v>3363.6999999999994</v>
      </c>
      <c r="DG68" s="51">
        <f t="shared" si="131"/>
        <v>3559.7</v>
      </c>
      <c r="DH68" s="51">
        <f t="shared" ref="DH68:DP68" si="132">DH64-DH65-DH66</f>
        <v>3817</v>
      </c>
      <c r="DI68" s="51">
        <f t="shared" si="132"/>
        <v>3406.2000000000007</v>
      </c>
      <c r="DJ68" s="51">
        <f t="shared" si="132"/>
        <v>3505</v>
      </c>
      <c r="DK68" s="51">
        <f t="shared" si="132"/>
        <v>3660</v>
      </c>
      <c r="DL68" s="51">
        <f t="shared" si="132"/>
        <v>3653</v>
      </c>
      <c r="DM68" s="51">
        <f t="shared" si="132"/>
        <v>4400.4999999999982</v>
      </c>
      <c r="DN68" s="51">
        <f t="shared" si="132"/>
        <v>6336.8340000000007</v>
      </c>
      <c r="DO68" s="51">
        <f>DO64-DO65-DO66</f>
        <v>10149.599999999999</v>
      </c>
      <c r="DP68" s="51">
        <f t="shared" si="132"/>
        <v>6035.2999999999993</v>
      </c>
      <c r="DQ68" s="51">
        <f>DQ64-DQ65-DQ66</f>
        <v>5589.9999999999964</v>
      </c>
      <c r="DR68" s="51">
        <f>DR64-DR65-DR66</f>
        <v>5908.7000000000016</v>
      </c>
      <c r="DS68" s="51">
        <f>DS64-DS65-DS66</f>
        <v>4413.3999999999996</v>
      </c>
      <c r="DT68" s="51">
        <f t="shared" ref="DT68:DV68" si="133">DT64-DT65-DT66</f>
        <v>-7137.8249999999998</v>
      </c>
      <c r="DU68" s="51">
        <f t="shared" si="133"/>
        <v>-5710.26</v>
      </c>
      <c r="DV68" s="51">
        <f t="shared" si="133"/>
        <v>0</v>
      </c>
      <c r="DW68" s="51"/>
      <c r="DX68" s="51">
        <f t="shared" ref="DX68:DZ68" si="134">+DX64-DX67</f>
        <v>4447.9000000000051</v>
      </c>
      <c r="DY68" s="51">
        <f t="shared" si="134"/>
        <v>5785.0999999999985</v>
      </c>
      <c r="DZ68" s="51">
        <f t="shared" si="134"/>
        <v>6078.8999999999978</v>
      </c>
      <c r="EA68" s="51">
        <f>+EA64-EA67</f>
        <v>7137.6</v>
      </c>
      <c r="EB68" s="51">
        <f>+EB64-EB67</f>
        <v>8332.2999999999993</v>
      </c>
      <c r="EC68" s="51">
        <f>+EC64-EC67</f>
        <v>8730.4000000000051</v>
      </c>
      <c r="ED68" s="51">
        <f>+ED64-ED67</f>
        <v>9667.0730000000021</v>
      </c>
      <c r="EE68" s="51">
        <f>+EE64-EE67</f>
        <v>14463.698000000008</v>
      </c>
      <c r="EF68" s="51">
        <f t="shared" ref="EF68" si="135">+EF64-EF67</f>
        <v>25448.020020000004</v>
      </c>
      <c r="EG68" s="51">
        <f t="shared" ref="EG68" si="136">+EG64-EG67</f>
        <v>31038.974620200006</v>
      </c>
      <c r="EH68" s="51">
        <f t="shared" ref="EH68" si="137">+EH64-EH67</f>
        <v>38367.017507501994</v>
      </c>
      <c r="EI68" s="51">
        <f t="shared" ref="EI68" si="138">+EI64-EI67</f>
        <v>43627.369819552019</v>
      </c>
      <c r="EJ68" s="51">
        <f>+EJ64-EJ67</f>
        <v>46965.741635106788</v>
      </c>
      <c r="EK68" s="51">
        <f>+EK64-EK67</f>
        <v>49317.731687734602</v>
      </c>
    </row>
    <row r="69" spans="1:219" x14ac:dyDescent="0.2">
      <c r="A69" s="102"/>
      <c r="B69" t="s">
        <v>78</v>
      </c>
      <c r="C69" s="51"/>
      <c r="D69" s="51"/>
      <c r="E69" s="51"/>
      <c r="F69" s="51"/>
      <c r="G69" s="51"/>
      <c r="H69" s="51"/>
      <c r="I69" s="51"/>
      <c r="J69" s="51">
        <v>69.099999999999994</v>
      </c>
      <c r="K69" s="51">
        <v>99</v>
      </c>
      <c r="L69" s="51">
        <v>45.4</v>
      </c>
      <c r="M69" s="51">
        <v>85</v>
      </c>
      <c r="N69" s="51">
        <v>85.2</v>
      </c>
      <c r="O69" s="51">
        <v>32</v>
      </c>
      <c r="P69" s="51">
        <v>47</v>
      </c>
      <c r="Q69" s="51">
        <v>-4.8</v>
      </c>
      <c r="R69" s="51">
        <v>38.9</v>
      </c>
      <c r="S69" s="51">
        <v>38.299999999999997</v>
      </c>
      <c r="T69" s="51">
        <v>1.8</v>
      </c>
      <c r="U69" s="51">
        <v>49.8</v>
      </c>
      <c r="V69" s="51">
        <v>32.1</v>
      </c>
      <c r="W69" s="51">
        <v>20.3</v>
      </c>
      <c r="X69" s="51">
        <v>32.299999999999997</v>
      </c>
      <c r="Y69" s="51">
        <v>2.5</v>
      </c>
      <c r="Z69" s="51">
        <v>-48.2</v>
      </c>
      <c r="AA69" s="51">
        <v>-70.7</v>
      </c>
      <c r="AB69" s="51">
        <v>-24.1</v>
      </c>
      <c r="AC69" s="51">
        <f>-44-22.9</f>
        <v>-66.900000000000006</v>
      </c>
      <c r="AD69" s="51">
        <v>-67.8</v>
      </c>
      <c r="AE69" s="51">
        <v>74.5</v>
      </c>
      <c r="AF69" s="51">
        <f>-36.5+18.1-18.4</f>
        <v>-36.799999999999997</v>
      </c>
      <c r="AG69" s="51">
        <f>-30.9+9.2-21.7</f>
        <v>-43.4</v>
      </c>
      <c r="AH69" s="51">
        <v>-39.4</v>
      </c>
      <c r="AI69" s="51">
        <v>-11.2</v>
      </c>
      <c r="AJ69" s="51">
        <v>-57.6</v>
      </c>
      <c r="AK69" s="51">
        <f>-22.8-60.6</f>
        <v>-83.4</v>
      </c>
      <c r="AL69" s="51">
        <v>-26.8</v>
      </c>
      <c r="AM69" s="51">
        <f>-19.2-26.8</f>
        <v>-46</v>
      </c>
      <c r="AN69" s="51">
        <f>-15.8-0.7</f>
        <v>-16.5</v>
      </c>
      <c r="AO69" s="51">
        <f>-21.3+22</f>
        <v>0.69999999999999929</v>
      </c>
      <c r="AP69" s="51">
        <v>-52</v>
      </c>
      <c r="AQ69" s="51">
        <f>-16.7+50.5</f>
        <v>33.799999999999997</v>
      </c>
      <c r="AR69" s="51">
        <v>11.9</v>
      </c>
      <c r="AS69" s="51">
        <v>-31.3</v>
      </c>
      <c r="AT69" s="51">
        <v>9.1</v>
      </c>
      <c r="AU69" s="51">
        <v>56</v>
      </c>
      <c r="AV69" s="51">
        <v>53.8</v>
      </c>
      <c r="AW69" s="51">
        <v>93.5</v>
      </c>
      <c r="AX69" s="51">
        <v>137.19999999999999</v>
      </c>
      <c r="AY69" s="51">
        <v>92.7</v>
      </c>
      <c r="AZ69" s="51">
        <v>-123.3</v>
      </c>
      <c r="BA69" s="51">
        <v>86.5</v>
      </c>
      <c r="BB69" s="51">
        <v>44.7</v>
      </c>
      <c r="BC69" s="51">
        <v>-149</v>
      </c>
      <c r="BD69" s="51">
        <v>21.2</v>
      </c>
      <c r="BE69" s="51">
        <v>27.2</v>
      </c>
      <c r="BF69" s="51">
        <v>15.8</v>
      </c>
      <c r="BG69" s="51">
        <v>78.3</v>
      </c>
      <c r="BH69" s="51">
        <v>60.4</v>
      </c>
      <c r="BI69" s="51">
        <f>-16.8+66.7</f>
        <v>49.900000000000006</v>
      </c>
      <c r="BJ69" s="51">
        <f>-10.2+122.1</f>
        <v>111.89999999999999</v>
      </c>
      <c r="BK69" s="51">
        <v>67.5</v>
      </c>
      <c r="BL69" s="51">
        <v>38</v>
      </c>
      <c r="BM69" s="51">
        <f>-37.3+21.9</f>
        <v>-15.399999999999999</v>
      </c>
      <c r="BN69" s="51">
        <f>-35.7+20.4</f>
        <v>-15.300000000000004</v>
      </c>
      <c r="BO69" s="51">
        <v>55.9</v>
      </c>
      <c r="BP69" s="51">
        <v>91.5</v>
      </c>
      <c r="BQ69" s="51">
        <v>90.1</v>
      </c>
      <c r="BR69" s="51">
        <v>82.7</v>
      </c>
      <c r="BS69" s="51">
        <v>78.2</v>
      </c>
      <c r="BT69" s="51">
        <v>81.2</v>
      </c>
      <c r="BU69" s="51">
        <v>83.8</v>
      </c>
      <c r="BV69" s="51">
        <v>83.4</v>
      </c>
      <c r="BW69" s="51">
        <v>-34.6</v>
      </c>
      <c r="BX69" s="51">
        <v>81.5</v>
      </c>
      <c r="BY69" s="51">
        <v>77.599999999999994</v>
      </c>
      <c r="BZ69" s="51">
        <v>77.3</v>
      </c>
      <c r="CA69" s="51">
        <v>-37.700000000000003</v>
      </c>
      <c r="CB69" s="51">
        <f>-71-48.2</f>
        <v>-119.2</v>
      </c>
      <c r="CC69" s="51">
        <v>111</v>
      </c>
      <c r="CD69" s="51">
        <f>260-216.5</f>
        <v>43.5</v>
      </c>
      <c r="CE69" s="51">
        <f>-68.6+104.3</f>
        <v>35.700000000000003</v>
      </c>
      <c r="CF69" s="51">
        <v>-36.799999999999997</v>
      </c>
      <c r="CG69" s="51">
        <v>0</v>
      </c>
      <c r="CH69" s="51">
        <f>121-117</f>
        <v>4</v>
      </c>
      <c r="CI69" s="51">
        <f>-133.8+160.9+27.1</f>
        <v>54.199999999999996</v>
      </c>
      <c r="CJ69" s="51">
        <v>197.6</v>
      </c>
      <c r="CK69" s="51"/>
      <c r="CL69" s="51"/>
      <c r="CM69" s="51"/>
      <c r="CN69" s="51"/>
      <c r="CO69" s="51"/>
      <c r="CP69" s="51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>
        <v>-232.7</v>
      </c>
      <c r="DE69" s="49">
        <v>-181.3</v>
      </c>
      <c r="DF69" s="49">
        <v>-183.8</v>
      </c>
      <c r="DG69" s="49">
        <v>-182.3</v>
      </c>
      <c r="DH69" s="51">
        <v>134</v>
      </c>
      <c r="DI69" s="51">
        <v>214</v>
      </c>
      <c r="DJ69" s="51">
        <v>85</v>
      </c>
      <c r="DK69" s="51">
        <v>279</v>
      </c>
      <c r="DL69" s="51">
        <v>313</v>
      </c>
      <c r="DM69" s="51">
        <v>201</v>
      </c>
      <c r="DN69" s="51">
        <v>100</v>
      </c>
      <c r="DO69" s="51">
        <f>SUM(W69:Z69)</f>
        <v>6.8999999999999915</v>
      </c>
      <c r="DP69" s="51">
        <f>SUM(AA69:AD69)</f>
        <v>-229.5</v>
      </c>
      <c r="DQ69" s="51">
        <f>SUM(AE69:AH69)</f>
        <v>-45.099999999999994</v>
      </c>
      <c r="DR69" s="51">
        <f t="shared" ref="DR69" si="139">SUM(AI69:AL69)</f>
        <v>-179</v>
      </c>
      <c r="DS69" s="51">
        <f>SUM(AM69:AP69)</f>
        <v>-113.8</v>
      </c>
      <c r="DT69" s="51"/>
      <c r="DU69" s="51"/>
      <c r="DV69" s="51"/>
      <c r="DW69" s="51"/>
      <c r="DX69" s="51"/>
      <c r="DY69" s="53"/>
      <c r="DZ69" s="49">
        <f t="shared" ref="DZ69" si="140">SUM(BO69:BR69)</f>
        <v>320.2</v>
      </c>
      <c r="EA69" s="49">
        <f t="shared" ref="EA69" si="141">SUM(BS69:BV69)</f>
        <v>326.60000000000002</v>
      </c>
      <c r="EB69" s="49">
        <f>SUM(BW69:BZ69)</f>
        <v>201.8</v>
      </c>
      <c r="EC69" s="49">
        <f>SUM(CA69:CD69)</f>
        <v>-2.4000000000000057</v>
      </c>
      <c r="ED69" s="49">
        <f>SUM(CE69:CH69)</f>
        <v>2.9000000000000057</v>
      </c>
      <c r="EE69" s="49">
        <v>-450</v>
      </c>
      <c r="EF69" s="49">
        <f t="shared" ref="EF69:EJ69" si="142">+EE90*$EM$88</f>
        <v>-503.5533803999997</v>
      </c>
      <c r="EG69" s="49">
        <f t="shared" si="142"/>
        <v>893.33675141760068</v>
      </c>
      <c r="EH69" s="49">
        <f t="shared" si="142"/>
        <v>2681.546188228187</v>
      </c>
      <c r="EI69" s="49">
        <f t="shared" si="142"/>
        <v>4980.265755189077</v>
      </c>
      <c r="EJ69" s="49">
        <f t="shared" si="142"/>
        <v>7702.2933473745788</v>
      </c>
      <c r="EK69" s="49">
        <f>+EJ90*$EM$88</f>
        <v>10763.703306393536</v>
      </c>
    </row>
    <row r="70" spans="1:219" x14ac:dyDescent="0.2">
      <c r="A70" s="102"/>
      <c r="B70" t="s">
        <v>81</v>
      </c>
      <c r="C70" s="51"/>
      <c r="D70" s="51"/>
      <c r="E70" s="51"/>
      <c r="F70" s="51"/>
      <c r="G70" s="51"/>
      <c r="H70" s="51"/>
      <c r="I70" s="51"/>
      <c r="J70" s="51">
        <f t="shared" ref="J70:S70" si="143">J68+J69</f>
        <v>720.20000000000039</v>
      </c>
      <c r="K70" s="51">
        <f t="shared" si="143"/>
        <v>657.43663366336614</v>
      </c>
      <c r="L70" s="51">
        <f t="shared" si="143"/>
        <v>431.20000000000027</v>
      </c>
      <c r="M70" s="51">
        <f t="shared" si="143"/>
        <v>581.5333333333333</v>
      </c>
      <c r="N70" s="51">
        <f t="shared" si="143"/>
        <v>642.30000000000041</v>
      </c>
      <c r="O70" s="51">
        <f t="shared" si="143"/>
        <v>569.20000000000027</v>
      </c>
      <c r="P70" s="51">
        <f t="shared" si="143"/>
        <v>596</v>
      </c>
      <c r="Q70" s="51">
        <f t="shared" si="143"/>
        <v>697.60000000000014</v>
      </c>
      <c r="R70" s="51">
        <f t="shared" si="143"/>
        <v>2340.7000000000007</v>
      </c>
      <c r="S70" s="51">
        <f t="shared" si="143"/>
        <v>1180.8</v>
      </c>
      <c r="T70" s="51">
        <f t="shared" ref="T70:AA70" si="144">T68+T69</f>
        <v>817.6</v>
      </c>
      <c r="U70" s="51">
        <f t="shared" si="144"/>
        <v>2572.1999999999989</v>
      </c>
      <c r="V70" s="51">
        <f t="shared" si="144"/>
        <v>2715.6000000000004</v>
      </c>
      <c r="W70" s="51">
        <f t="shared" si="144"/>
        <v>2723.2000000000012</v>
      </c>
      <c r="X70" s="51">
        <f t="shared" si="144"/>
        <v>2883.2999999999988</v>
      </c>
      <c r="Y70" s="51">
        <f t="shared" si="144"/>
        <v>3042.0000000000009</v>
      </c>
      <c r="Z70" s="51">
        <f t="shared" si="144"/>
        <v>1507.9999999999998</v>
      </c>
      <c r="AA70" s="51">
        <f t="shared" si="144"/>
        <v>1528.2</v>
      </c>
      <c r="AB70" s="51">
        <f t="shared" ref="AB70:AG70" si="145">AB68+AB69</f>
        <v>1393.4</v>
      </c>
      <c r="AC70" s="51">
        <f t="shared" si="145"/>
        <v>1619.3000000000006</v>
      </c>
      <c r="AD70" s="51">
        <f t="shared" si="145"/>
        <v>1264.8999999999999</v>
      </c>
      <c r="AE70" s="51">
        <f t="shared" si="145"/>
        <v>1784</v>
      </c>
      <c r="AF70" s="51">
        <f t="shared" si="145"/>
        <v>1745.3999999999999</v>
      </c>
      <c r="AG70" s="51">
        <f t="shared" si="145"/>
        <v>1709.1</v>
      </c>
      <c r="AH70" s="51">
        <f>AH68+AH69</f>
        <v>1488.8000000000006</v>
      </c>
      <c r="AI70" s="51">
        <f>AI68+AI69</f>
        <v>1738.2000000000005</v>
      </c>
      <c r="AJ70" s="51">
        <f>AJ68+AJ69</f>
        <v>1663.5999999999985</v>
      </c>
      <c r="AK70" s="51">
        <f>AK68+AK69</f>
        <v>1527.9</v>
      </c>
      <c r="AL70" s="51">
        <f>AL68+AL69</f>
        <v>1210.1000000000006</v>
      </c>
      <c r="AM70" s="51">
        <f>+AM68+AM69</f>
        <v>1359.5</v>
      </c>
      <c r="AN70" s="51">
        <f>+AN68+AN69</f>
        <v>1185.4999999999991</v>
      </c>
      <c r="AO70" s="51">
        <f>+AO68+AO69</f>
        <v>1139.3999999999999</v>
      </c>
      <c r="AP70" s="51">
        <f>+AP68+AP69</f>
        <v>1216.4000000000001</v>
      </c>
      <c r="AQ70" s="51">
        <f t="shared" ref="AQ70:AS70" si="146">+AQ68+AQ69</f>
        <v>1477.3999999999999</v>
      </c>
      <c r="AR70" s="51">
        <f t="shared" si="146"/>
        <v>1578.4</v>
      </c>
      <c r="AS70" s="51">
        <f t="shared" si="146"/>
        <v>1513.3999999999999</v>
      </c>
      <c r="AT70" s="51">
        <f>+AT68+AT69</f>
        <v>1002.4000000000002</v>
      </c>
      <c r="AU70" s="51">
        <f t="shared" ref="AU70" si="147">AU68-AU69</f>
        <v>810.20000000000073</v>
      </c>
      <c r="AV70" s="51">
        <f t="shared" ref="AV70:AW70" si="148">AV68-AV69</f>
        <v>832.80000000000041</v>
      </c>
      <c r="AW70" s="51">
        <f t="shared" si="148"/>
        <v>599.80000000000018</v>
      </c>
      <c r="AX70" s="51">
        <f t="shared" ref="AX70" si="149">AX68-AX69</f>
        <v>745.39999999999986</v>
      </c>
      <c r="AY70" s="51">
        <f t="shared" ref="AY70:AZ70" si="150">AY68-AY69</f>
        <v>796.49999999999977</v>
      </c>
      <c r="AZ70" s="51">
        <f t="shared" si="150"/>
        <v>1263.1999999999996</v>
      </c>
      <c r="BA70" s="51">
        <f t="shared" ref="BA70:BC70" si="151">BA68-BA69</f>
        <v>917.19999999999936</v>
      </c>
      <c r="BB70" s="51">
        <f t="shared" si="151"/>
        <v>699.10000000000014</v>
      </c>
      <c r="BC70" s="51">
        <f t="shared" si="151"/>
        <v>996.20000000000027</v>
      </c>
      <c r="BD70" s="51">
        <f t="shared" ref="BD70:BE70" si="152">BD68-BD69</f>
        <v>1126.6999999999996</v>
      </c>
      <c r="BE70" s="51">
        <f t="shared" si="152"/>
        <v>961.7999999999995</v>
      </c>
      <c r="BF70" s="51">
        <f t="shared" ref="BF70:BG70" si="153">BF68-BF69</f>
        <v>1038.0000000000002</v>
      </c>
      <c r="BG70" s="51">
        <f t="shared" si="153"/>
        <v>976.10000000000014</v>
      </c>
      <c r="BH70" s="51">
        <f t="shared" ref="BH70:BJ70" si="154">BH68-BH69</f>
        <v>1189.7000000000003</v>
      </c>
      <c r="BI70" s="51">
        <f t="shared" si="154"/>
        <v>1103.2999999999997</v>
      </c>
      <c r="BJ70" s="51">
        <f t="shared" si="154"/>
        <v>1113.4999999999991</v>
      </c>
      <c r="BK70" s="51">
        <f t="shared" ref="BK70:BL70" si="155">BK68-BK69</f>
        <v>648.09999999999991</v>
      </c>
      <c r="BL70" s="51">
        <f t="shared" si="155"/>
        <v>1627.6999999999998</v>
      </c>
      <c r="BM70" s="51">
        <f t="shared" ref="BM70:BN70" si="156">BM68-BM69</f>
        <v>1555.1</v>
      </c>
      <c r="BN70" s="51">
        <f t="shared" si="156"/>
        <v>1544.9000000000003</v>
      </c>
      <c r="BO70" s="51">
        <f t="shared" ref="BO70:CL70" si="157">BO68-BO69</f>
        <v>1278.0999999999976</v>
      </c>
      <c r="BP70" s="51">
        <f t="shared" si="157"/>
        <v>1483.5000000000009</v>
      </c>
      <c r="BQ70" s="51">
        <f t="shared" si="157"/>
        <v>1474.900000000001</v>
      </c>
      <c r="BR70" s="51">
        <f t="shared" si="157"/>
        <v>1522.1999999999996</v>
      </c>
      <c r="BS70" s="51">
        <f t="shared" si="157"/>
        <v>1683.3999999999976</v>
      </c>
      <c r="BT70" s="51">
        <f t="shared" si="157"/>
        <v>1460.1999999999987</v>
      </c>
      <c r="BU70" s="51">
        <f t="shared" si="157"/>
        <v>1422.399999999999</v>
      </c>
      <c r="BV70" s="51">
        <f t="shared" si="157"/>
        <v>2244.9999999999991</v>
      </c>
      <c r="BW70" s="51">
        <f t="shared" si="157"/>
        <v>1920.7000000000007</v>
      </c>
      <c r="BX70" s="51">
        <f t="shared" si="157"/>
        <v>1901.9999999999973</v>
      </c>
      <c r="BY70" s="51">
        <f t="shared" si="157"/>
        <v>1986.7999999999979</v>
      </c>
      <c r="BZ70" s="51">
        <f t="shared" si="157"/>
        <v>2320.9999999999995</v>
      </c>
      <c r="CA70" s="51">
        <f t="shared" si="157"/>
        <v>2812.2999999999993</v>
      </c>
      <c r="CB70" s="51">
        <f t="shared" si="157"/>
        <v>1890.9000000000017</v>
      </c>
      <c r="CC70" s="51">
        <f t="shared" si="157"/>
        <v>1834.2999999999993</v>
      </c>
      <c r="CD70" s="51">
        <f t="shared" si="157"/>
        <v>2195.3000000000011</v>
      </c>
      <c r="CE70" s="51">
        <f t="shared" si="157"/>
        <v>1689.299999999999</v>
      </c>
      <c r="CF70" s="51">
        <f t="shared" si="157"/>
        <v>1807.0999999999992</v>
      </c>
      <c r="CG70" s="51">
        <f t="shared" si="157"/>
        <v>2965.0729999999985</v>
      </c>
      <c r="CH70" s="51">
        <f t="shared" si="157"/>
        <v>3202.7000000000044</v>
      </c>
      <c r="CI70" s="51">
        <f t="shared" si="157"/>
        <v>2704.3</v>
      </c>
      <c r="CJ70" s="51">
        <f t="shared" si="157"/>
        <v>4245.5999999999985</v>
      </c>
      <c r="CK70" s="51">
        <f t="shared" si="157"/>
        <v>4035.3339999999998</v>
      </c>
      <c r="CL70" s="51">
        <f t="shared" si="157"/>
        <v>3226.6639999999998</v>
      </c>
      <c r="CM70" s="51"/>
      <c r="CN70" s="51"/>
      <c r="CO70" s="51"/>
      <c r="CP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>
        <f t="shared" ref="DD70:DG70" si="158">DD68+DD69</f>
        <v>2205.6999999999998</v>
      </c>
      <c r="DE70" s="51">
        <f t="shared" si="158"/>
        <v>2643.1999999999985</v>
      </c>
      <c r="DF70" s="51">
        <f t="shared" si="158"/>
        <v>3179.8999999999992</v>
      </c>
      <c r="DG70" s="51">
        <f t="shared" si="158"/>
        <v>3377.3999999999996</v>
      </c>
      <c r="DH70" s="51">
        <f t="shared" ref="DH70:DM70" si="159">DH68+DH69</f>
        <v>3951</v>
      </c>
      <c r="DI70" s="51">
        <f t="shared" si="159"/>
        <v>3620.2000000000007</v>
      </c>
      <c r="DJ70" s="51">
        <f t="shared" si="159"/>
        <v>3590</v>
      </c>
      <c r="DK70" s="51">
        <f t="shared" si="159"/>
        <v>3939</v>
      </c>
      <c r="DL70" s="51">
        <f t="shared" si="159"/>
        <v>3966</v>
      </c>
      <c r="DM70" s="51">
        <f t="shared" si="159"/>
        <v>4601.4999999999982</v>
      </c>
      <c r="DN70" s="51">
        <f t="shared" ref="DN70" si="160">DN68+DN69</f>
        <v>6436.8340000000007</v>
      </c>
      <c r="DO70" s="51">
        <f t="shared" ref="DO70:DX70" si="161">DO68+DO69</f>
        <v>10156.499999999998</v>
      </c>
      <c r="DP70" s="51">
        <f t="shared" si="161"/>
        <v>5805.7999999999993</v>
      </c>
      <c r="DQ70" s="51">
        <f t="shared" si="161"/>
        <v>5544.899999999996</v>
      </c>
      <c r="DR70" s="51">
        <f t="shared" si="161"/>
        <v>5729.7000000000016</v>
      </c>
      <c r="DS70" s="51">
        <f t="shared" si="161"/>
        <v>4299.5999999999995</v>
      </c>
      <c r="DT70" s="51">
        <f t="shared" si="161"/>
        <v>-7137.8249999999998</v>
      </c>
      <c r="DU70" s="51">
        <f t="shared" si="161"/>
        <v>-5710.26</v>
      </c>
      <c r="DV70" s="51">
        <f t="shared" si="161"/>
        <v>0</v>
      </c>
      <c r="DW70" s="51">
        <f t="shared" si="161"/>
        <v>0</v>
      </c>
      <c r="DX70" s="51">
        <f t="shared" si="161"/>
        <v>4447.9000000000051</v>
      </c>
      <c r="DY70" s="51">
        <f t="shared" ref="DY70:EJ70" si="162">DY68+DY69</f>
        <v>5785.0999999999985</v>
      </c>
      <c r="DZ70" s="51">
        <f t="shared" si="162"/>
        <v>6399.0999999999976</v>
      </c>
      <c r="EA70" s="51">
        <f t="shared" si="162"/>
        <v>7464.2000000000007</v>
      </c>
      <c r="EB70" s="51">
        <f>EB68+EB69</f>
        <v>8534.0999999999985</v>
      </c>
      <c r="EC70" s="51">
        <f t="shared" si="162"/>
        <v>8728.0000000000055</v>
      </c>
      <c r="ED70" s="51">
        <f>ED68+ED69</f>
        <v>9669.9730000000018</v>
      </c>
      <c r="EE70" s="51">
        <f>EE68+EE69</f>
        <v>14013.698000000008</v>
      </c>
      <c r="EF70" s="51">
        <f t="shared" si="162"/>
        <v>24944.466639600003</v>
      </c>
      <c r="EG70" s="51">
        <f t="shared" si="162"/>
        <v>31932.311371617609</v>
      </c>
      <c r="EH70" s="51">
        <f t="shared" si="162"/>
        <v>41048.563695730183</v>
      </c>
      <c r="EI70" s="51">
        <f t="shared" si="162"/>
        <v>48607.6355747411</v>
      </c>
      <c r="EJ70" s="51">
        <f t="shared" si="162"/>
        <v>54668.034982481367</v>
      </c>
      <c r="EK70" s="51">
        <f>EK68+EK69</f>
        <v>60081.43499412814</v>
      </c>
    </row>
    <row r="71" spans="1:219" x14ac:dyDescent="0.2">
      <c r="A71" s="102"/>
      <c r="B71" t="s">
        <v>82</v>
      </c>
      <c r="C71" s="51"/>
      <c r="D71" s="51"/>
      <c r="E71" s="51"/>
      <c r="F71" s="51"/>
      <c r="G71" s="51"/>
      <c r="H71" s="51"/>
      <c r="I71" s="51"/>
      <c r="J71" s="51">
        <v>230</v>
      </c>
      <c r="K71" s="51">
        <v>208</v>
      </c>
      <c r="L71" s="51">
        <v>205.3</v>
      </c>
      <c r="M71" s="51">
        <v>224.1</v>
      </c>
      <c r="N71" s="51">
        <v>195</v>
      </c>
      <c r="O71" s="51">
        <v>222</v>
      </c>
      <c r="P71" s="51">
        <v>219</v>
      </c>
      <c r="Q71" s="51">
        <v>220.6</v>
      </c>
      <c r="R71" s="51">
        <v>226.6</v>
      </c>
      <c r="S71" s="51">
        <v>257.60000000000002</v>
      </c>
      <c r="T71" s="51">
        <v>263.10000000000002</v>
      </c>
      <c r="U71" s="51">
        <v>263.3</v>
      </c>
      <c r="V71" s="51">
        <v>197.9</v>
      </c>
      <c r="W71" s="51">
        <v>-8</v>
      </c>
      <c r="X71" s="51">
        <v>247.5</v>
      </c>
      <c r="Y71" s="51">
        <v>320</v>
      </c>
      <c r="Z71" s="51">
        <v>295.89999999999998</v>
      </c>
      <c r="AA71" s="51">
        <v>370.3</v>
      </c>
      <c r="AB71" s="51">
        <v>346</v>
      </c>
      <c r="AC71" s="51">
        <v>127.7</v>
      </c>
      <c r="AD71" s="51">
        <v>265.7</v>
      </c>
      <c r="AE71" s="51">
        <v>486.4</v>
      </c>
      <c r="AF71" s="51">
        <v>387.6</v>
      </c>
      <c r="AG71" s="51">
        <v>368.4</v>
      </c>
      <c r="AH71" s="51">
        <v>240</v>
      </c>
      <c r="AI71" s="51">
        <v>363.3</v>
      </c>
      <c r="AJ71" s="51">
        <v>334</v>
      </c>
      <c r="AK71" s="51">
        <v>273.89999999999998</v>
      </c>
      <c r="AL71" s="51">
        <v>240.5</v>
      </c>
      <c r="AM71" s="51">
        <v>332.2</v>
      </c>
      <c r="AN71" s="51">
        <v>262.10000000000002</v>
      </c>
      <c r="AO71" s="51">
        <v>251.9</v>
      </c>
      <c r="AP71" s="51">
        <v>185.2</v>
      </c>
      <c r="AQ71" s="51">
        <v>403.1</v>
      </c>
      <c r="AR71" s="51">
        <v>308.7</v>
      </c>
      <c r="AS71" s="51">
        <v>310.3</v>
      </c>
      <c r="AT71" s="51">
        <v>182.4</v>
      </c>
      <c r="AU71" s="51">
        <v>162.9</v>
      </c>
      <c r="AV71" s="51">
        <v>206.9</v>
      </c>
      <c r="AW71" s="51">
        <v>154.9</v>
      </c>
      <c r="AX71" s="51">
        <v>85.1</v>
      </c>
      <c r="AY71" s="51">
        <v>88.4</v>
      </c>
      <c r="AZ71" s="51">
        <v>78.900000000000006</v>
      </c>
      <c r="BA71" s="51">
        <v>248.1</v>
      </c>
      <c r="BB71" s="51">
        <v>0</v>
      </c>
      <c r="BC71" s="51">
        <v>126.7</v>
      </c>
      <c r="BD71" s="51">
        <v>196.8</v>
      </c>
      <c r="BE71" s="51">
        <v>192.7</v>
      </c>
      <c r="BF71" s="51">
        <v>120.2</v>
      </c>
      <c r="BG71" s="51">
        <v>172</v>
      </c>
      <c r="BH71" s="51">
        <v>252.5</v>
      </c>
      <c r="BI71" s="51">
        <v>36</v>
      </c>
      <c r="BJ71" s="51">
        <v>0</v>
      </c>
      <c r="BK71" s="51">
        <v>223.6</v>
      </c>
      <c r="BL71" s="51">
        <v>264.7</v>
      </c>
      <c r="BM71" s="51">
        <v>261.5</v>
      </c>
      <c r="BN71" s="51">
        <v>0</v>
      </c>
      <c r="BO71" s="51">
        <v>183.4</v>
      </c>
      <c r="BP71" s="51">
        <v>154.5</v>
      </c>
      <c r="BQ71" s="51">
        <v>180.1</v>
      </c>
      <c r="BR71" s="51">
        <v>167.4</v>
      </c>
      <c r="BS71" s="51">
        <v>251.9</v>
      </c>
      <c r="BT71" s="51">
        <v>231.7</v>
      </c>
      <c r="BU71" s="51">
        <v>258.2</v>
      </c>
      <c r="BV71" s="51">
        <v>352.3</v>
      </c>
      <c r="BW71" s="51">
        <v>143.19999999999999</v>
      </c>
      <c r="BX71" s="51">
        <v>203.7</v>
      </c>
      <c r="BY71" s="51">
        <v>293.2</v>
      </c>
      <c r="BZ71" s="51">
        <v>113.8</v>
      </c>
      <c r="CA71" s="51">
        <v>273.8</v>
      </c>
      <c r="CB71" s="51">
        <v>187.2</v>
      </c>
      <c r="CC71" s="51">
        <v>113.8</v>
      </c>
      <c r="CD71" s="51">
        <f>158.7+9.7</f>
        <v>168.39999999999998</v>
      </c>
      <c r="CE71" s="51">
        <v>184.8</v>
      </c>
      <c r="CF71" s="51">
        <v>325.7</v>
      </c>
      <c r="CG71" s="51">
        <f t="shared" ref="CG71" si="163">+CG70*0.1</f>
        <v>296.50729999999987</v>
      </c>
      <c r="CH71" s="51">
        <f>19.9+319.2</f>
        <v>339.09999999999997</v>
      </c>
      <c r="CI71" s="51">
        <f>293.2+23.3</f>
        <v>316.5</v>
      </c>
      <c r="CJ71" s="51">
        <f>550.2+147.6</f>
        <v>697.80000000000007</v>
      </c>
      <c r="CK71" s="51">
        <f>+CK70*0.15</f>
        <v>605.30009999999993</v>
      </c>
      <c r="CL71" s="51">
        <f>+CL70*0.15</f>
        <v>483.99959999999993</v>
      </c>
      <c r="CM71" s="51"/>
      <c r="CN71" s="51"/>
      <c r="CO71" s="51"/>
      <c r="CP71" s="51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>
        <v>885.2</v>
      </c>
      <c r="DE71" s="49">
        <v>568.70000000000005</v>
      </c>
      <c r="DF71" s="49">
        <v>698.7</v>
      </c>
      <c r="DG71" s="49">
        <v>800.9</v>
      </c>
      <c r="DH71" s="51">
        <v>850</v>
      </c>
      <c r="DI71" s="51">
        <v>779</v>
      </c>
      <c r="DJ71" s="51">
        <v>788</v>
      </c>
      <c r="DK71" s="51">
        <v>866</v>
      </c>
      <c r="DL71" s="51">
        <v>832</v>
      </c>
      <c r="DM71" s="51">
        <v>912</v>
      </c>
      <c r="DN71" s="51">
        <f>DN70*0.22</f>
        <v>1416.1034800000002</v>
      </c>
      <c r="DO71" s="51">
        <f>SUM(W71:Z71)</f>
        <v>855.4</v>
      </c>
      <c r="DP71" s="51">
        <f>SUM(AA71:AD71)</f>
        <v>1109.7</v>
      </c>
      <c r="DQ71" s="51">
        <f>SUM(AE71:AH71)</f>
        <v>1482.4</v>
      </c>
      <c r="DR71" s="51">
        <f>SUM(AI71:AL71)</f>
        <v>1211.6999999999998</v>
      </c>
      <c r="DS71" s="51">
        <f>SUM(AM71:AP71)</f>
        <v>1031.3999999999999</v>
      </c>
      <c r="DT71" s="51">
        <f t="shared" ref="DT71:DV71" si="164">DT70*0.28</f>
        <v>-1998.5910000000001</v>
      </c>
      <c r="DU71" s="51">
        <f t="shared" si="164"/>
        <v>-1598.8728000000003</v>
      </c>
      <c r="DV71" s="51">
        <f t="shared" si="164"/>
        <v>0</v>
      </c>
      <c r="DW71" s="51"/>
      <c r="DX71" s="51"/>
      <c r="DY71" s="51"/>
      <c r="DZ71" s="49">
        <f t="shared" ref="DZ71" si="165">SUM(BO71:BR71)</f>
        <v>685.4</v>
      </c>
      <c r="EA71" s="49">
        <f t="shared" ref="EA71" si="166">SUM(BS71:BV71)</f>
        <v>1094.0999999999999</v>
      </c>
      <c r="EB71" s="49">
        <f>SUM(BW71:BZ71)</f>
        <v>753.89999999999986</v>
      </c>
      <c r="EC71" s="49">
        <f>SUM(CA71:CD71)</f>
        <v>743.19999999999993</v>
      </c>
      <c r="ED71" s="49">
        <f>SUM(CE71:CH71)</f>
        <v>1146.1072999999999</v>
      </c>
      <c r="EE71" s="51">
        <f>EE70*0.14</f>
        <v>1961.9177200000013</v>
      </c>
      <c r="EF71" s="51">
        <f t="shared" ref="EF71:EJ71" si="167">EF70*0.2</f>
        <v>4988.893327920001</v>
      </c>
      <c r="EG71" s="51">
        <f t="shared" si="167"/>
        <v>6386.4622743235223</v>
      </c>
      <c r="EH71" s="51">
        <f t="shared" si="167"/>
        <v>8209.7127391460363</v>
      </c>
      <c r="EI71" s="51">
        <f t="shared" si="167"/>
        <v>9721.5271149482196</v>
      </c>
      <c r="EJ71" s="51">
        <f t="shared" si="167"/>
        <v>10933.606996496273</v>
      </c>
      <c r="EK71" s="51">
        <f>EK70*0.2</f>
        <v>12016.286998825628</v>
      </c>
    </row>
    <row r="72" spans="1:219" x14ac:dyDescent="0.2">
      <c r="A72" s="102"/>
      <c r="B72" t="s">
        <v>83</v>
      </c>
      <c r="C72" s="51"/>
      <c r="D72" s="51"/>
      <c r="E72" s="51"/>
      <c r="F72" s="51"/>
      <c r="G72" s="51"/>
      <c r="H72" s="51"/>
      <c r="I72" s="51"/>
      <c r="J72" s="51">
        <f t="shared" ref="J72:T72" si="168">J70-J71</f>
        <v>490.20000000000039</v>
      </c>
      <c r="K72" s="51">
        <f t="shared" si="168"/>
        <v>449.43663366336614</v>
      </c>
      <c r="L72" s="51">
        <f t="shared" si="168"/>
        <v>225.90000000000026</v>
      </c>
      <c r="M72" s="51">
        <f t="shared" si="168"/>
        <v>357.43333333333328</v>
      </c>
      <c r="N72" s="51">
        <f t="shared" si="168"/>
        <v>447.30000000000041</v>
      </c>
      <c r="O72" s="51">
        <f t="shared" si="168"/>
        <v>347.20000000000027</v>
      </c>
      <c r="P72" s="51">
        <f t="shared" si="168"/>
        <v>377</v>
      </c>
      <c r="Q72" s="51">
        <f t="shared" si="168"/>
        <v>477.00000000000011</v>
      </c>
      <c r="R72" s="51">
        <f t="shared" si="168"/>
        <v>2114.1000000000008</v>
      </c>
      <c r="S72" s="51">
        <f t="shared" si="168"/>
        <v>923.19999999999993</v>
      </c>
      <c r="T72" s="51">
        <f t="shared" si="168"/>
        <v>554.5</v>
      </c>
      <c r="U72" s="51">
        <f t="shared" ref="U72:Z72" si="169">U70-U71</f>
        <v>2308.8999999999987</v>
      </c>
      <c r="V72" s="51">
        <f t="shared" si="169"/>
        <v>2517.7000000000003</v>
      </c>
      <c r="W72" s="51">
        <f t="shared" si="169"/>
        <v>2731.2000000000012</v>
      </c>
      <c r="X72" s="51">
        <f t="shared" si="169"/>
        <v>2635.7999999999988</v>
      </c>
      <c r="Y72" s="51">
        <f t="shared" si="169"/>
        <v>2722.0000000000009</v>
      </c>
      <c r="Z72" s="51">
        <f t="shared" si="169"/>
        <v>1212.0999999999999</v>
      </c>
      <c r="AA72" s="51">
        <f t="shared" ref="AA72:AF72" si="170">AA70-AA71</f>
        <v>1157.9000000000001</v>
      </c>
      <c r="AB72" s="51">
        <f t="shared" si="170"/>
        <v>1047.4000000000001</v>
      </c>
      <c r="AC72" s="51">
        <f t="shared" si="170"/>
        <v>1491.6000000000006</v>
      </c>
      <c r="AD72" s="51">
        <f t="shared" si="170"/>
        <v>999.19999999999982</v>
      </c>
      <c r="AE72" s="51">
        <f t="shared" si="170"/>
        <v>1297.5999999999999</v>
      </c>
      <c r="AF72" s="51">
        <f t="shared" si="170"/>
        <v>1357.7999999999997</v>
      </c>
      <c r="AG72" s="51">
        <f t="shared" ref="AG72:AM72" si="171">AG70-AG71</f>
        <v>1340.6999999999998</v>
      </c>
      <c r="AH72" s="51">
        <f t="shared" si="171"/>
        <v>1248.8000000000006</v>
      </c>
      <c r="AI72" s="51">
        <f>AI70-AI71</f>
        <v>1374.9000000000005</v>
      </c>
      <c r="AJ72" s="51">
        <f>AJ70-AJ71</f>
        <v>1329.5999999999985</v>
      </c>
      <c r="AK72" s="51">
        <f>AK70-AK71</f>
        <v>1254</v>
      </c>
      <c r="AL72" s="51">
        <f t="shared" si="171"/>
        <v>969.60000000000059</v>
      </c>
      <c r="AM72" s="51">
        <f t="shared" si="171"/>
        <v>1027.3</v>
      </c>
      <c r="AN72" s="51">
        <f t="shared" ref="AN72:AP72" si="172">AN70-AN71</f>
        <v>923.39999999999907</v>
      </c>
      <c r="AO72" s="51">
        <f t="shared" si="172"/>
        <v>887.49999999999989</v>
      </c>
      <c r="AP72" s="51">
        <f t="shared" si="172"/>
        <v>1031.2</v>
      </c>
      <c r="AQ72" s="51">
        <f t="shared" ref="AQ72:AU72" si="173">AQ70-AQ71</f>
        <v>1074.2999999999997</v>
      </c>
      <c r="AR72" s="51">
        <f t="shared" si="173"/>
        <v>1269.7</v>
      </c>
      <c r="AS72" s="51">
        <f t="shared" si="173"/>
        <v>1203.0999999999999</v>
      </c>
      <c r="AT72" s="51">
        <f>AT70-AT71</f>
        <v>820.00000000000023</v>
      </c>
      <c r="AU72" s="51">
        <f t="shared" si="173"/>
        <v>647.30000000000075</v>
      </c>
      <c r="AV72" s="51">
        <f t="shared" ref="AV72:AW72" si="174">AV70-AV71</f>
        <v>625.90000000000043</v>
      </c>
      <c r="AW72" s="51">
        <f t="shared" si="174"/>
        <v>444.9000000000002</v>
      </c>
      <c r="AX72" s="51">
        <f t="shared" ref="AX72" si="175">AX70-AX71</f>
        <v>660.29999999999984</v>
      </c>
      <c r="AY72" s="51">
        <f t="shared" ref="AY72:AZ72" si="176">AY70-AY71</f>
        <v>708.0999999999998</v>
      </c>
      <c r="AZ72" s="51">
        <f t="shared" si="176"/>
        <v>1184.2999999999995</v>
      </c>
      <c r="BA72" s="51">
        <f t="shared" ref="BA72:BB72" si="177">BA70-BA71</f>
        <v>669.09999999999934</v>
      </c>
      <c r="BB72" s="51">
        <f t="shared" si="177"/>
        <v>699.10000000000014</v>
      </c>
      <c r="BC72" s="51">
        <f t="shared" ref="BC72:BD72" si="178">BC70-BC71</f>
        <v>869.50000000000023</v>
      </c>
      <c r="BD72" s="51">
        <f t="shared" si="178"/>
        <v>929.89999999999964</v>
      </c>
      <c r="BE72" s="51">
        <f t="shared" ref="BE72:BF72" si="179">BE70-BE71</f>
        <v>769.09999999999945</v>
      </c>
      <c r="BF72" s="51">
        <f t="shared" si="179"/>
        <v>917.80000000000018</v>
      </c>
      <c r="BG72" s="51">
        <f t="shared" ref="BG72:BH72" si="180">BG70-BG71</f>
        <v>804.10000000000014</v>
      </c>
      <c r="BH72" s="51">
        <f t="shared" si="180"/>
        <v>937.20000000000027</v>
      </c>
      <c r="BI72" s="51">
        <f t="shared" ref="BI72:BJ72" si="181">BI70-BI71</f>
        <v>1067.2999999999997</v>
      </c>
      <c r="BJ72" s="51">
        <f t="shared" si="181"/>
        <v>1113.4999999999991</v>
      </c>
      <c r="BK72" s="51">
        <f t="shared" ref="BK72:BL72" si="182">BK70-BK71</f>
        <v>424.49999999999989</v>
      </c>
      <c r="BL72" s="51">
        <f t="shared" si="182"/>
        <v>1362.9999999999998</v>
      </c>
      <c r="BM72" s="51">
        <f t="shared" ref="BM72:BN72" si="183">BM70-BM71</f>
        <v>1293.5999999999999</v>
      </c>
      <c r="BN72" s="51">
        <f t="shared" si="183"/>
        <v>1544.9000000000003</v>
      </c>
      <c r="BO72" s="51">
        <f t="shared" ref="BO72:CA72" si="184">BO70-BO71</f>
        <v>1094.6999999999975</v>
      </c>
      <c r="BP72" s="51">
        <f t="shared" si="184"/>
        <v>1329.0000000000009</v>
      </c>
      <c r="BQ72" s="51">
        <f t="shared" si="184"/>
        <v>1294.8000000000011</v>
      </c>
      <c r="BR72" s="51">
        <f t="shared" si="184"/>
        <v>1354.7999999999995</v>
      </c>
      <c r="BS72" s="51">
        <f t="shared" si="184"/>
        <v>1431.4999999999975</v>
      </c>
      <c r="BT72" s="51">
        <f t="shared" si="184"/>
        <v>1228.4999999999986</v>
      </c>
      <c r="BU72" s="51">
        <f t="shared" si="184"/>
        <v>1164.1999999999989</v>
      </c>
      <c r="BV72" s="51">
        <f t="shared" si="184"/>
        <v>1892.6999999999991</v>
      </c>
      <c r="BW72" s="51">
        <f t="shared" si="184"/>
        <v>1777.5000000000007</v>
      </c>
      <c r="BX72" s="51">
        <f t="shared" si="184"/>
        <v>1698.2999999999972</v>
      </c>
      <c r="BY72" s="51">
        <f t="shared" si="184"/>
        <v>1693.5999999999979</v>
      </c>
      <c r="BZ72" s="51">
        <f t="shared" si="184"/>
        <v>2207.1999999999994</v>
      </c>
      <c r="CA72" s="51">
        <f t="shared" si="184"/>
        <v>2538.4999999999991</v>
      </c>
      <c r="CB72" s="51">
        <f>+CB70-CB71</f>
        <v>1703.7000000000016</v>
      </c>
      <c r="CC72" s="51">
        <f t="shared" ref="CC72:CL72" si="185">+CC70-CC71</f>
        <v>1720.4999999999993</v>
      </c>
      <c r="CD72" s="51">
        <f t="shared" si="185"/>
        <v>2026.900000000001</v>
      </c>
      <c r="CE72" s="51">
        <f t="shared" si="185"/>
        <v>1504.4999999999991</v>
      </c>
      <c r="CF72" s="51">
        <f t="shared" si="185"/>
        <v>1481.3999999999992</v>
      </c>
      <c r="CG72" s="51">
        <f t="shared" si="185"/>
        <v>2668.5656999999987</v>
      </c>
      <c r="CH72" s="51">
        <f t="shared" si="185"/>
        <v>2863.6000000000045</v>
      </c>
      <c r="CI72" s="51">
        <f t="shared" si="185"/>
        <v>2387.8000000000002</v>
      </c>
      <c r="CJ72" s="51">
        <f t="shared" si="185"/>
        <v>3547.7999999999984</v>
      </c>
      <c r="CK72" s="51">
        <f t="shared" si="185"/>
        <v>3430.0338999999999</v>
      </c>
      <c r="CL72" s="51">
        <f t="shared" si="185"/>
        <v>2742.6643999999997</v>
      </c>
      <c r="CM72" s="51"/>
      <c r="CN72" s="51"/>
      <c r="CO72" s="51"/>
      <c r="CP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>
        <f t="shared" ref="DD72:DG72" si="186">DD70-DD71</f>
        <v>1320.4999999999998</v>
      </c>
      <c r="DE72" s="51">
        <f t="shared" si="186"/>
        <v>2074.4999999999982</v>
      </c>
      <c r="DF72" s="51">
        <f t="shared" si="186"/>
        <v>2481.1999999999989</v>
      </c>
      <c r="DG72" s="51">
        <f t="shared" si="186"/>
        <v>2576.4999999999995</v>
      </c>
      <c r="DH72" s="51">
        <f t="shared" ref="DH72:DN72" si="187">DH70-DH71</f>
        <v>3101</v>
      </c>
      <c r="DI72" s="51">
        <f t="shared" si="187"/>
        <v>2841.2000000000007</v>
      </c>
      <c r="DJ72" s="51">
        <f t="shared" si="187"/>
        <v>2802</v>
      </c>
      <c r="DK72" s="51">
        <f t="shared" si="187"/>
        <v>3073</v>
      </c>
      <c r="DL72" s="51">
        <f t="shared" si="187"/>
        <v>3134</v>
      </c>
      <c r="DM72" s="51">
        <f t="shared" si="187"/>
        <v>3689.4999999999982</v>
      </c>
      <c r="DN72" s="51">
        <f t="shared" si="187"/>
        <v>5020.730520000001</v>
      </c>
      <c r="DO72" s="51">
        <f>DO70-DO71</f>
        <v>9301.0999999999985</v>
      </c>
      <c r="DP72" s="51">
        <f>DP70-DP71</f>
        <v>4696.0999999999995</v>
      </c>
      <c r="DQ72" s="51">
        <f>DQ70-DQ71</f>
        <v>4062.4999999999959</v>
      </c>
      <c r="DR72" s="51">
        <f>DR70-DR71</f>
        <v>4518.0000000000018</v>
      </c>
      <c r="DS72" s="51">
        <f t="shared" ref="DS72:DV72" si="188">DS70-DS71</f>
        <v>3268.2</v>
      </c>
      <c r="DT72" s="51">
        <f t="shared" si="188"/>
        <v>-5139.2339999999995</v>
      </c>
      <c r="DU72" s="51">
        <f t="shared" si="188"/>
        <v>-4111.3872000000001</v>
      </c>
      <c r="DV72" s="51">
        <f t="shared" si="188"/>
        <v>0</v>
      </c>
      <c r="DW72" s="51">
        <f>DW70-DW71</f>
        <v>0</v>
      </c>
      <c r="DX72" s="51">
        <f>DX70-DX71</f>
        <v>4447.9000000000051</v>
      </c>
      <c r="DY72" s="51">
        <f t="shared" ref="DY72:EB72" si="189">DY70-DY71</f>
        <v>5785.0999999999985</v>
      </c>
      <c r="DZ72" s="51">
        <f t="shared" si="189"/>
        <v>5713.699999999998</v>
      </c>
      <c r="EA72" s="51">
        <f t="shared" si="189"/>
        <v>6370.1</v>
      </c>
      <c r="EB72" s="51">
        <f t="shared" si="189"/>
        <v>7780.1999999999989</v>
      </c>
      <c r="EC72" s="51">
        <f>+EC70-EC71</f>
        <v>7984.8000000000056</v>
      </c>
      <c r="ED72" s="51">
        <f>+ED70-ED71</f>
        <v>8523.8657000000021</v>
      </c>
      <c r="EE72" s="51">
        <f>+EE70-EE71</f>
        <v>12051.780280000006</v>
      </c>
      <c r="EF72" s="51">
        <f t="shared" ref="EF72:EI72" si="190">+EF70-EF71</f>
        <v>19955.573311680004</v>
      </c>
      <c r="EG72" s="51">
        <f t="shared" si="190"/>
        <v>25545.849097294085</v>
      </c>
      <c r="EH72" s="51">
        <f t="shared" si="190"/>
        <v>32838.850956584145</v>
      </c>
      <c r="EI72" s="51">
        <f t="shared" si="190"/>
        <v>38886.108459792878</v>
      </c>
      <c r="EJ72" s="51">
        <f>+EJ70-EJ71</f>
        <v>43734.427985985094</v>
      </c>
      <c r="EK72" s="51">
        <f>+EK70-EK71</f>
        <v>48065.147995302512</v>
      </c>
      <c r="EL72" s="54">
        <f>+EK72*(1+$EM$89)</f>
        <v>49026.450955208566</v>
      </c>
      <c r="EM72" s="54">
        <f t="shared" ref="EM72:GX72" si="191">+EL72*(1+$EM$89)</f>
        <v>50006.979974312737</v>
      </c>
      <c r="EN72" s="54">
        <f t="shared" si="191"/>
        <v>51007.119573798991</v>
      </c>
      <c r="EO72" s="54">
        <f t="shared" si="191"/>
        <v>52027.261965274971</v>
      </c>
      <c r="EP72" s="54">
        <f t="shared" si="191"/>
        <v>53067.807204580473</v>
      </c>
      <c r="EQ72" s="54">
        <f t="shared" si="191"/>
        <v>54129.163348672082</v>
      </c>
      <c r="ER72" s="54">
        <f t="shared" si="191"/>
        <v>55211.746615645527</v>
      </c>
      <c r="ES72" s="54">
        <f t="shared" si="191"/>
        <v>56315.981547958436</v>
      </c>
      <c r="ET72" s="54">
        <f t="shared" si="191"/>
        <v>57442.301178917609</v>
      </c>
      <c r="EU72" s="54">
        <f t="shared" si="191"/>
        <v>58591.147202495966</v>
      </c>
      <c r="EV72" s="54">
        <f t="shared" si="191"/>
        <v>59762.970146545886</v>
      </c>
      <c r="EW72" s="54">
        <f t="shared" si="191"/>
        <v>60958.229549476804</v>
      </c>
      <c r="EX72" s="54">
        <f t="shared" si="191"/>
        <v>62177.394140466342</v>
      </c>
      <c r="EY72" s="54">
        <f t="shared" si="191"/>
        <v>63420.942023275667</v>
      </c>
      <c r="EZ72" s="54">
        <f t="shared" si="191"/>
        <v>64689.360863741182</v>
      </c>
      <c r="FA72" s="54">
        <f t="shared" si="191"/>
        <v>65983.148081015999</v>
      </c>
      <c r="FB72" s="54">
        <f t="shared" si="191"/>
        <v>67302.811042636327</v>
      </c>
      <c r="FC72" s="54">
        <f t="shared" si="191"/>
        <v>68648.867263489054</v>
      </c>
      <c r="FD72" s="54">
        <f t="shared" si="191"/>
        <v>70021.844608758838</v>
      </c>
      <c r="FE72" s="54">
        <f t="shared" si="191"/>
        <v>71422.281500934012</v>
      </c>
      <c r="FF72" s="54">
        <f t="shared" si="191"/>
        <v>72850.727130952699</v>
      </c>
      <c r="FG72" s="54">
        <f t="shared" si="191"/>
        <v>74307.741673571756</v>
      </c>
      <c r="FH72" s="54">
        <f t="shared" si="191"/>
        <v>75793.896507043188</v>
      </c>
      <c r="FI72" s="54">
        <f t="shared" si="191"/>
        <v>77309.774437184053</v>
      </c>
      <c r="FJ72" s="54">
        <f t="shared" si="191"/>
        <v>78855.96992592774</v>
      </c>
      <c r="FK72" s="54">
        <f t="shared" si="191"/>
        <v>80433.089324446293</v>
      </c>
      <c r="FL72" s="54">
        <f t="shared" si="191"/>
        <v>82041.75111093522</v>
      </c>
      <c r="FM72" s="54">
        <f t="shared" si="191"/>
        <v>83682.58613315392</v>
      </c>
      <c r="FN72" s="54">
        <f t="shared" si="191"/>
        <v>85356.237855817002</v>
      </c>
      <c r="FO72" s="54">
        <f t="shared" si="191"/>
        <v>87063.362612933342</v>
      </c>
      <c r="FP72" s="54">
        <f t="shared" si="191"/>
        <v>88804.629865192008</v>
      </c>
      <c r="FQ72" s="54">
        <f t="shared" si="191"/>
        <v>90580.722462495847</v>
      </c>
      <c r="FR72" s="54">
        <f t="shared" si="191"/>
        <v>92392.336911745762</v>
      </c>
      <c r="FS72" s="54">
        <f t="shared" si="191"/>
        <v>94240.183649980681</v>
      </c>
      <c r="FT72" s="54">
        <f t="shared" si="191"/>
        <v>96124.987322980291</v>
      </c>
      <c r="FU72" s="54">
        <f t="shared" si="191"/>
        <v>98047.4870694399</v>
      </c>
      <c r="FV72" s="54">
        <f t="shared" si="191"/>
        <v>100008.4368108287</v>
      </c>
      <c r="FW72" s="54">
        <f t="shared" si="191"/>
        <v>102008.60554704528</v>
      </c>
      <c r="FX72" s="54">
        <f t="shared" si="191"/>
        <v>104048.7776579862</v>
      </c>
      <c r="FY72" s="54">
        <f t="shared" si="191"/>
        <v>106129.75321114593</v>
      </c>
      <c r="FZ72" s="54">
        <f t="shared" si="191"/>
        <v>108252.34827536884</v>
      </c>
      <c r="GA72" s="54">
        <f t="shared" si="191"/>
        <v>110417.39524087623</v>
      </c>
      <c r="GB72" s="54">
        <f t="shared" si="191"/>
        <v>112625.74314569375</v>
      </c>
      <c r="GC72" s="54">
        <f t="shared" si="191"/>
        <v>114878.25800860762</v>
      </c>
      <c r="GD72" s="54">
        <f t="shared" si="191"/>
        <v>117175.82316877977</v>
      </c>
      <c r="GE72" s="54">
        <f t="shared" si="191"/>
        <v>119519.33963215536</v>
      </c>
      <c r="GF72" s="54">
        <f t="shared" si="191"/>
        <v>121909.72642479847</v>
      </c>
      <c r="GG72" s="54">
        <f t="shared" si="191"/>
        <v>124347.92095329444</v>
      </c>
      <c r="GH72" s="54">
        <f t="shared" si="191"/>
        <v>126834.87937236033</v>
      </c>
      <c r="GI72" s="54">
        <f t="shared" si="191"/>
        <v>129371.57695980754</v>
      </c>
      <c r="GJ72" s="54">
        <f t="shared" si="191"/>
        <v>131959.00849900368</v>
      </c>
      <c r="GK72" s="54">
        <f t="shared" si="191"/>
        <v>134598.18866898376</v>
      </c>
      <c r="GL72" s="54">
        <f t="shared" si="191"/>
        <v>137290.15244236344</v>
      </c>
      <c r="GM72" s="54">
        <f t="shared" si="191"/>
        <v>140035.95549121071</v>
      </c>
      <c r="GN72" s="54">
        <f t="shared" si="191"/>
        <v>142836.67460103493</v>
      </c>
      <c r="GO72" s="54">
        <f t="shared" si="191"/>
        <v>145693.40809305562</v>
      </c>
      <c r="GP72" s="54">
        <f t="shared" si="191"/>
        <v>148607.27625491674</v>
      </c>
      <c r="GQ72" s="54">
        <f t="shared" si="191"/>
        <v>151579.42178001508</v>
      </c>
      <c r="GR72" s="54">
        <f t="shared" si="191"/>
        <v>154611.01021561539</v>
      </c>
      <c r="GS72" s="54">
        <f t="shared" si="191"/>
        <v>157703.23041992768</v>
      </c>
      <c r="GT72" s="54">
        <f t="shared" si="191"/>
        <v>160857.29502832625</v>
      </c>
      <c r="GU72" s="54">
        <f t="shared" si="191"/>
        <v>164074.44092889279</v>
      </c>
      <c r="GV72" s="54">
        <f t="shared" si="191"/>
        <v>167355.92974747065</v>
      </c>
      <c r="GW72" s="54">
        <f t="shared" si="191"/>
        <v>170703.04834242008</v>
      </c>
      <c r="GX72" s="54">
        <f t="shared" si="191"/>
        <v>174117.10930926848</v>
      </c>
      <c r="GY72" s="54">
        <f t="shared" ref="GY72:HK72" si="192">+GX72*(1+$EM$89)</f>
        <v>177599.45149545386</v>
      </c>
      <c r="GZ72" s="54">
        <f t="shared" si="192"/>
        <v>181151.44052536294</v>
      </c>
      <c r="HA72" s="54">
        <f t="shared" si="192"/>
        <v>184774.46933587021</v>
      </c>
      <c r="HB72" s="54">
        <f t="shared" si="192"/>
        <v>188469.95872258762</v>
      </c>
      <c r="HC72" s="54">
        <f t="shared" si="192"/>
        <v>192239.35789703939</v>
      </c>
      <c r="HD72" s="54">
        <f t="shared" si="192"/>
        <v>196084.14505498018</v>
      </c>
      <c r="HE72" s="54">
        <f t="shared" si="192"/>
        <v>200005.8279560798</v>
      </c>
      <c r="HF72" s="54">
        <f t="shared" si="192"/>
        <v>204005.94451520141</v>
      </c>
      <c r="HG72" s="54">
        <f t="shared" si="192"/>
        <v>208086.06340550544</v>
      </c>
      <c r="HH72" s="54">
        <f t="shared" si="192"/>
        <v>212247.78467361556</v>
      </c>
      <c r="HI72" s="54">
        <f t="shared" si="192"/>
        <v>216492.74036708788</v>
      </c>
      <c r="HJ72" s="54">
        <f t="shared" si="192"/>
        <v>220822.59517442965</v>
      </c>
      <c r="HK72" s="54">
        <f t="shared" si="192"/>
        <v>225239.04707791825</v>
      </c>
    </row>
    <row r="73" spans="1:219" s="58" customFormat="1" x14ac:dyDescent="0.2">
      <c r="A73" s="108"/>
      <c r="B73" s="58" t="s">
        <v>56</v>
      </c>
      <c r="C73" s="59"/>
      <c r="D73" s="59"/>
      <c r="E73" s="59"/>
      <c r="F73" s="59"/>
      <c r="G73" s="59"/>
      <c r="H73" s="59"/>
      <c r="I73" s="59"/>
      <c r="J73" s="59">
        <f t="shared" ref="J73:S73" si="193">J72/J74</f>
        <v>0.4500550863018733</v>
      </c>
      <c r="K73" s="59">
        <f t="shared" si="193"/>
        <v>0.41270581603614886</v>
      </c>
      <c r="L73" s="59">
        <f t="shared" si="193"/>
        <v>0.20724770642201859</v>
      </c>
      <c r="M73" s="59">
        <f t="shared" si="193"/>
        <v>0.32761992056217532</v>
      </c>
      <c r="N73" s="59">
        <f t="shared" si="193"/>
        <v>0.40905349794238721</v>
      </c>
      <c r="O73" s="59">
        <f t="shared" si="193"/>
        <v>0.31941122355105822</v>
      </c>
      <c r="P73" s="59">
        <f t="shared" si="193"/>
        <v>0.34736939095181057</v>
      </c>
      <c r="Q73" s="59">
        <f t="shared" si="193"/>
        <v>0.43905995147329013</v>
      </c>
      <c r="R73" s="59">
        <f t="shared" si="193"/>
        <v>1.9411494109340131</v>
      </c>
      <c r="S73" s="59">
        <f t="shared" si="193"/>
        <v>0.84706650921799576</v>
      </c>
      <c r="T73" s="59">
        <f t="shared" ref="T73:Z73" si="194">T72/T74</f>
        <v>0.50877207469820052</v>
      </c>
      <c r="U73" s="59">
        <f t="shared" si="194"/>
        <v>2.117813888471034</v>
      </c>
      <c r="V73" s="59">
        <f t="shared" si="194"/>
        <v>2.3042440483381479</v>
      </c>
      <c r="W73" s="59">
        <f t="shared" si="194"/>
        <v>2.4963987218204564</v>
      </c>
      <c r="X73" s="59">
        <f t="shared" si="194"/>
        <v>2.4096936275406082</v>
      </c>
      <c r="Y73" s="59">
        <f t="shared" si="194"/>
        <v>2.4881693125175399</v>
      </c>
      <c r="Z73" s="59">
        <f t="shared" si="194"/>
        <v>1.1054354299305693</v>
      </c>
      <c r="AA73" s="59">
        <f t="shared" ref="AA73:AF73" si="195">AA72/AA74</f>
        <v>1.0552687795737732</v>
      </c>
      <c r="AB73" s="59">
        <f t="shared" si="195"/>
        <v>0.95460042854031091</v>
      </c>
      <c r="AC73" s="59">
        <f t="shared" si="195"/>
        <v>1.3588746375286636</v>
      </c>
      <c r="AD73" s="59">
        <f t="shared" si="195"/>
        <v>0.90717029507547786</v>
      </c>
      <c r="AE73" s="59">
        <f t="shared" si="195"/>
        <v>1.1759950553105565</v>
      </c>
      <c r="AF73" s="59">
        <f t="shared" si="195"/>
        <v>1.2301063501137424</v>
      </c>
      <c r="AG73" s="59">
        <f>AG72/AG74</f>
        <v>1.2130858000104956</v>
      </c>
      <c r="AH73" s="59">
        <f>AH72/AH74</f>
        <v>1.1256930791689996</v>
      </c>
      <c r="AI73" s="59">
        <f>+AI72/AI74</f>
        <v>1.236420863309353</v>
      </c>
      <c r="AJ73" s="59">
        <f t="shared" ref="AJ73:AP73" si="196">AJ72/AJ74</f>
        <v>1.1491789109766626</v>
      </c>
      <c r="AK73" s="59">
        <f t="shared" si="196"/>
        <v>1.125833938596263</v>
      </c>
      <c r="AL73" s="59">
        <f t="shared" si="196"/>
        <v>0.86959641255605435</v>
      </c>
      <c r="AM73" s="59">
        <f t="shared" si="196"/>
        <v>0.91970961062075252</v>
      </c>
      <c r="AN73" s="59">
        <f t="shared" si="196"/>
        <v>0.82593917710196696</v>
      </c>
      <c r="AO73" s="59">
        <f t="shared" si="196"/>
        <v>0.79266479166089832</v>
      </c>
      <c r="AP73" s="59">
        <f t="shared" si="196"/>
        <v>0.92577297374941636</v>
      </c>
      <c r="AQ73" s="59">
        <f t="shared" ref="AQ73:AU73" si="197">AQ72/AQ74</f>
        <v>0.98390293403280205</v>
      </c>
      <c r="AR73" s="59">
        <f t="shared" si="197"/>
        <v>1.1712699843271033</v>
      </c>
      <c r="AS73" s="59">
        <f t="shared" si="197"/>
        <v>1.1096077774918676</v>
      </c>
      <c r="AT73" s="59">
        <f t="shared" si="197"/>
        <v>0.75997983273029257</v>
      </c>
      <c r="AU73" s="59">
        <f t="shared" si="197"/>
        <v>0.60167163024847725</v>
      </c>
      <c r="AV73" s="59">
        <f t="shared" ref="AV73:AW73" si="198">AV72/AV74</f>
        <v>0.58146556449260467</v>
      </c>
      <c r="AW73" s="59">
        <f t="shared" si="198"/>
        <v>0.41409698190408312</v>
      </c>
      <c r="AX73" s="59">
        <f t="shared" ref="AX73" si="199">AX72/AX74</f>
        <v>0.61722567202630041</v>
      </c>
      <c r="AY73" s="59">
        <f t="shared" ref="AY73:AZ73" si="200">AY72/AY74</f>
        <v>0.66361397366161945</v>
      </c>
      <c r="AZ73" s="59">
        <f t="shared" si="200"/>
        <v>1.1114093304704269</v>
      </c>
      <c r="BA73" s="59">
        <f t="shared" ref="BA73:BB73" si="201">BA72/BA74</f>
        <v>0.62816912780157641</v>
      </c>
      <c r="BB73" s="59">
        <f t="shared" si="201"/>
        <v>0.65649788288588629</v>
      </c>
      <c r="BC73" s="59">
        <f t="shared" ref="BC73:BD73" si="202">BC72/BC74</f>
        <v>0.81791030736307424</v>
      </c>
      <c r="BD73" s="59">
        <f t="shared" si="202"/>
        <v>0.87719546488340971</v>
      </c>
      <c r="BE73" s="59">
        <f t="shared" ref="BE73:BF73" si="203">BE72/BE74</f>
        <v>0.72502842232080689</v>
      </c>
      <c r="BF73" s="59">
        <f t="shared" si="203"/>
        <v>0.86462715897721909</v>
      </c>
      <c r="BG73" s="59">
        <f t="shared" ref="BG73:BH73" si="204">BG72/BG74</f>
        <v>0.76123774739516781</v>
      </c>
      <c r="BH73" s="59">
        <f t="shared" si="204"/>
        <v>0.88656809603541764</v>
      </c>
      <c r="BI73" s="59">
        <f t="shared" ref="BI73:BJ73" si="205">BI72/BI74</f>
        <v>1.0106768305674578</v>
      </c>
      <c r="BJ73" s="59">
        <f t="shared" si="205"/>
        <v>1.0593754489382929</v>
      </c>
      <c r="BK73" s="59">
        <f t="shared" ref="BK73:BL73" si="206">BK72/BK74</f>
        <v>0.40434771426856869</v>
      </c>
      <c r="BL73" s="59">
        <f t="shared" si="206"/>
        <v>1.3230312266431112</v>
      </c>
      <c r="BM73" s="59">
        <f t="shared" ref="BM73:BN73" si="207">BM72/BM74</f>
        <v>1.2604526170761319</v>
      </c>
      <c r="BN73" s="59">
        <f t="shared" si="207"/>
        <v>1.5171587522157357</v>
      </c>
      <c r="BO73" s="59">
        <f t="shared" ref="BO73:CI73" si="208">BO72/BO74</f>
        <v>1.1124988694117157</v>
      </c>
      <c r="BP73" s="59">
        <f t="shared" si="208"/>
        <v>1.4373316894325308</v>
      </c>
      <c r="BQ73" s="59">
        <f t="shared" si="208"/>
        <v>1.4097603146156488</v>
      </c>
      <c r="BR73" s="59">
        <f t="shared" si="208"/>
        <v>1.4811769825009451</v>
      </c>
      <c r="BS73" s="59">
        <f t="shared" si="208"/>
        <v>1.5701212991368967</v>
      </c>
      <c r="BT73" s="59">
        <f t="shared" si="208"/>
        <v>1.3486809603794077</v>
      </c>
      <c r="BU73" s="59">
        <f t="shared" si="208"/>
        <v>1.2773432314084667</v>
      </c>
      <c r="BV73" s="59">
        <f t="shared" si="208"/>
        <v>2.0739849505419174</v>
      </c>
      <c r="BW73" s="59">
        <f t="shared" si="208"/>
        <v>1.9481587023235432</v>
      </c>
      <c r="BX73" s="59">
        <f t="shared" si="208"/>
        <v>1.8654765461607379</v>
      </c>
      <c r="BY73" s="59">
        <f t="shared" si="208"/>
        <v>1.8595642497235774</v>
      </c>
      <c r="BZ73" s="59">
        <f t="shared" si="208"/>
        <v>2.4266811792579883</v>
      </c>
      <c r="CA73" s="59">
        <f t="shared" si="208"/>
        <v>2.8006398940864949</v>
      </c>
      <c r="CB73" s="59">
        <f t="shared" si="208"/>
        <v>1.8868363346401771</v>
      </c>
      <c r="CC73" s="59">
        <f t="shared" si="208"/>
        <v>1.9036670347495295</v>
      </c>
      <c r="CD73" s="59">
        <f t="shared" si="208"/>
        <v>2.2403319436031897</v>
      </c>
      <c r="CE73" s="59">
        <f t="shared" si="208"/>
        <v>1.6655909609723631</v>
      </c>
      <c r="CF73" s="59">
        <f t="shared" si="208"/>
        <v>1.641078587657679</v>
      </c>
      <c r="CG73" s="59">
        <f t="shared" si="208"/>
        <v>2.9562076616901081</v>
      </c>
      <c r="CH73" s="59">
        <f t="shared" si="208"/>
        <v>3.1677691984335987</v>
      </c>
      <c r="CI73" s="59">
        <f t="shared" si="208"/>
        <v>2.6419503386803749</v>
      </c>
      <c r="CJ73" s="59">
        <f t="shared" ref="CJ73:CL73" si="209">CJ72/CJ74</f>
        <v>3.923481168882871</v>
      </c>
      <c r="CK73" s="59">
        <f t="shared" si="209"/>
        <v>3.7932446629685659</v>
      </c>
      <c r="CL73" s="59">
        <f t="shared" si="209"/>
        <v>3.0330887101768536</v>
      </c>
      <c r="CM73" s="59"/>
      <c r="CN73" s="59"/>
      <c r="CO73" s="59"/>
      <c r="CP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>
        <f t="shared" ref="DD73:DG73" si="210">DD72/DD74</f>
        <v>1.1679856073746282</v>
      </c>
      <c r="DE73" s="59">
        <f t="shared" si="210"/>
        <v>1.8497778839860668</v>
      </c>
      <c r="DF73" s="59">
        <f t="shared" si="210"/>
        <v>2.2432880824190469</v>
      </c>
      <c r="DG73" s="59">
        <f t="shared" si="210"/>
        <v>2.3471270126853261</v>
      </c>
      <c r="DH73" s="59">
        <f t="shared" ref="DH73:DM73" si="211">DH72/DH74</f>
        <v>2.842346471127406</v>
      </c>
      <c r="DI73" s="59">
        <f t="shared" si="211"/>
        <v>2.6186175115207382</v>
      </c>
      <c r="DJ73" s="59">
        <f t="shared" si="211"/>
        <v>2.5920444033302497</v>
      </c>
      <c r="DK73" s="59">
        <f t="shared" si="211"/>
        <v>2.8218549127640036</v>
      </c>
      <c r="DL73" s="59">
        <f t="shared" si="211"/>
        <v>2.8752293577981654</v>
      </c>
      <c r="DM73" s="59">
        <f t="shared" si="211"/>
        <v>3.3973296500920793</v>
      </c>
      <c r="DN73" s="59">
        <f>DN72/DN74</f>
        <v>4.6034064101817682</v>
      </c>
      <c r="DO73" s="59">
        <f>DO72/DO74</f>
        <v>8.4973446654406342</v>
      </c>
      <c r="DP73" s="59">
        <f>DP72/DP74</f>
        <v>4.275411286763509</v>
      </c>
      <c r="DQ73" s="59">
        <f>DQ72/DQ74</f>
        <v>3.6749972635404955</v>
      </c>
      <c r="DR73" s="59">
        <f>DR72/DR74</f>
        <v>4.0179277124291426</v>
      </c>
      <c r="DS73" s="59">
        <f t="shared" ref="DS73:DX73" si="212">DS72/DS74</f>
        <v>2.9255428662478531</v>
      </c>
      <c r="DT73" s="59">
        <f t="shared" si="212"/>
        <v>-4.6004067580559385</v>
      </c>
      <c r="DU73" s="59">
        <f t="shared" si="212"/>
        <v>-3.6803254064447515</v>
      </c>
      <c r="DV73" s="59">
        <f t="shared" si="212"/>
        <v>0</v>
      </c>
      <c r="DW73" s="59">
        <f t="shared" si="212"/>
        <v>0</v>
      </c>
      <c r="DX73" s="59">
        <f t="shared" si="212"/>
        <v>4.2279493889392201</v>
      </c>
      <c r="DY73" s="59">
        <f t="shared" ref="DY73:EK73" si="213">DY72/DY74</f>
        <v>5.5966766860120316</v>
      </c>
      <c r="DZ73" s="59">
        <f t="shared" si="213"/>
        <v>6.1080298244437161</v>
      </c>
      <c r="EA73" s="59">
        <f t="shared" si="213"/>
        <v>6.9874077809652082</v>
      </c>
      <c r="EB73" s="59">
        <f t="shared" si="213"/>
        <v>8.5424186610816637</v>
      </c>
      <c r="EC73" s="59">
        <f t="shared" si="213"/>
        <v>8.8282169485004154</v>
      </c>
      <c r="ED73" s="59">
        <f>ED72/ED74</f>
        <v>9.4377697769040623</v>
      </c>
      <c r="EE73" s="59">
        <f>EE72/EE74</f>
        <v>13.343937092353814</v>
      </c>
      <c r="EF73" s="59">
        <f t="shared" si="213"/>
        <v>22.095151813779378</v>
      </c>
      <c r="EG73" s="59">
        <f t="shared" si="213"/>
        <v>28.284800702079806</v>
      </c>
      <c r="EH73" s="59">
        <f t="shared" si="213"/>
        <v>36.359736998942488</v>
      </c>
      <c r="EI73" s="59">
        <f t="shared" si="213"/>
        <v>43.055363854834845</v>
      </c>
      <c r="EJ73" s="59">
        <f t="shared" si="213"/>
        <v>48.423506092583935</v>
      </c>
      <c r="EK73" s="59">
        <f t="shared" si="213"/>
        <v>53.218553299412825</v>
      </c>
    </row>
    <row r="74" spans="1:219" x14ac:dyDescent="0.2">
      <c r="A74" s="102"/>
      <c r="B74" t="s">
        <v>84</v>
      </c>
      <c r="C74" s="51"/>
      <c r="D74" s="51"/>
      <c r="E74" s="51"/>
      <c r="F74" s="51"/>
      <c r="G74" s="51"/>
      <c r="H74" s="51"/>
      <c r="I74" s="51"/>
      <c r="J74" s="51">
        <v>1089.2</v>
      </c>
      <c r="K74" s="51">
        <v>1089</v>
      </c>
      <c r="L74" s="51">
        <v>1090</v>
      </c>
      <c r="M74" s="51">
        <v>1091</v>
      </c>
      <c r="N74" s="51">
        <v>1093.5</v>
      </c>
      <c r="O74" s="51">
        <v>1087</v>
      </c>
      <c r="P74" s="51">
        <v>1085.3</v>
      </c>
      <c r="Q74" s="51">
        <v>1086.412</v>
      </c>
      <c r="R74" s="51">
        <v>1089.097</v>
      </c>
      <c r="S74" s="51">
        <v>1089.8789999999999</v>
      </c>
      <c r="T74" s="51">
        <f>S74</f>
        <v>1089.8789999999999</v>
      </c>
      <c r="U74" s="51">
        <v>1090.2280000000001</v>
      </c>
      <c r="V74" s="51">
        <v>1092.636</v>
      </c>
      <c r="W74" s="51">
        <v>1094.056</v>
      </c>
      <c r="X74" s="51">
        <v>1093.8320000000001</v>
      </c>
      <c r="Y74" s="51">
        <v>1093.9770000000001</v>
      </c>
      <c r="Z74" s="51">
        <v>1096.491</v>
      </c>
      <c r="AA74" s="51">
        <v>1097.2560000000001</v>
      </c>
      <c r="AB74" s="51">
        <v>1097.213</v>
      </c>
      <c r="AC74" s="51">
        <v>1097.673</v>
      </c>
      <c r="AD74" s="51">
        <v>1101.4469999999999</v>
      </c>
      <c r="AE74" s="51">
        <v>1103.4059999999999</v>
      </c>
      <c r="AF74" s="51">
        <v>1103.807</v>
      </c>
      <c r="AG74" s="51">
        <v>1105.1980000000001</v>
      </c>
      <c r="AH74" s="51">
        <v>1109.3610000000001</v>
      </c>
      <c r="AI74" s="51">
        <v>1112</v>
      </c>
      <c r="AJ74" s="51">
        <v>1157</v>
      </c>
      <c r="AK74" s="51">
        <v>1113.8409999999999</v>
      </c>
      <c r="AL74" s="51">
        <v>1115</v>
      </c>
      <c r="AM74" s="51">
        <v>1116.9829999999999</v>
      </c>
      <c r="AN74" s="51">
        <v>1118</v>
      </c>
      <c r="AO74" s="51">
        <v>1119.6410000000001</v>
      </c>
      <c r="AP74" s="51">
        <v>1113.8800000000001</v>
      </c>
      <c r="AQ74" s="51">
        <v>1091.876</v>
      </c>
      <c r="AR74" s="51">
        <v>1084.037</v>
      </c>
      <c r="AS74" s="51">
        <v>1084.2570000000001</v>
      </c>
      <c r="AT74" s="51">
        <v>1078.9760000000001</v>
      </c>
      <c r="AU74" s="51">
        <v>1075.836</v>
      </c>
      <c r="AV74" s="51">
        <v>1076.4179999999999</v>
      </c>
      <c r="AW74" s="51">
        <v>1074.386</v>
      </c>
      <c r="AX74" s="51">
        <v>1069.787</v>
      </c>
      <c r="AY74" s="51">
        <v>1067.0360000000001</v>
      </c>
      <c r="AZ74" s="51">
        <v>1065.5840000000001</v>
      </c>
      <c r="BA74" s="51">
        <v>1065.1590000000001</v>
      </c>
      <c r="BB74" s="51">
        <v>1064.893</v>
      </c>
      <c r="BC74" s="51">
        <v>1063.075</v>
      </c>
      <c r="BD74" s="51">
        <v>1060.0830000000001</v>
      </c>
      <c r="BE74" s="51">
        <v>1060.7860000000001</v>
      </c>
      <c r="BF74" s="51">
        <v>1061.498</v>
      </c>
      <c r="BG74" s="51">
        <v>1056.306</v>
      </c>
      <c r="BH74" s="51">
        <v>1057.1099999999999</v>
      </c>
      <c r="BI74" s="51">
        <v>1056.0250000000001</v>
      </c>
      <c r="BJ74" s="51">
        <v>1051.0909999999999</v>
      </c>
      <c r="BK74" s="51">
        <v>1049.8389999999999</v>
      </c>
      <c r="BL74" s="51">
        <v>1030.21</v>
      </c>
      <c r="BM74" s="51">
        <v>1026.298</v>
      </c>
      <c r="BN74" s="51">
        <v>1018.285</v>
      </c>
      <c r="BO74" s="51">
        <v>984.00099999999998</v>
      </c>
      <c r="BP74" s="51">
        <v>924.63</v>
      </c>
      <c r="BQ74" s="51">
        <v>918.45399999999995</v>
      </c>
      <c r="BR74" s="51">
        <v>914.678</v>
      </c>
      <c r="BS74" s="51">
        <v>911.71299999999997</v>
      </c>
      <c r="BT74" s="51">
        <v>910.89</v>
      </c>
      <c r="BU74" s="51">
        <v>911.423</v>
      </c>
      <c r="BV74" s="51">
        <v>912.59100000000001</v>
      </c>
      <c r="BW74" s="51">
        <v>912.4</v>
      </c>
      <c r="BX74" s="51">
        <v>910.38400000000001</v>
      </c>
      <c r="BY74" s="51">
        <v>910.75099999999998</v>
      </c>
      <c r="BZ74" s="51">
        <v>909.55499999999995</v>
      </c>
      <c r="CA74" s="51">
        <v>906.4</v>
      </c>
      <c r="CB74" s="51">
        <v>902.94</v>
      </c>
      <c r="CC74" s="51">
        <v>903.78200000000004</v>
      </c>
      <c r="CD74" s="51">
        <v>904.73199999999997</v>
      </c>
      <c r="CE74" s="51">
        <v>903.28300000000002</v>
      </c>
      <c r="CF74" s="51">
        <v>902.69899999999996</v>
      </c>
      <c r="CG74" s="51">
        <f t="shared" ref="CG74" si="214">+CF74</f>
        <v>902.69899999999996</v>
      </c>
      <c r="CH74" s="51">
        <v>903.98</v>
      </c>
      <c r="CI74" s="51">
        <v>903.80200000000002</v>
      </c>
      <c r="CJ74" s="51">
        <v>904.24800000000005</v>
      </c>
      <c r="CK74" s="51">
        <f t="shared" ref="CK74:CL74" si="215">+CJ74</f>
        <v>904.24800000000005</v>
      </c>
      <c r="CL74" s="51">
        <f t="shared" si="215"/>
        <v>904.24800000000005</v>
      </c>
      <c r="CM74" s="51"/>
      <c r="CN74" s="51"/>
      <c r="CO74" s="51"/>
      <c r="CP74" s="51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>
        <v>552.47151499999995</v>
      </c>
      <c r="DC74" s="49">
        <v>1117.1099999999999</v>
      </c>
      <c r="DD74" s="49">
        <v>1130.579</v>
      </c>
      <c r="DE74" s="49">
        <v>1121.4860000000001</v>
      </c>
      <c r="DF74" s="49">
        <v>1106.0550000000001</v>
      </c>
      <c r="DG74" s="49">
        <v>1097.7249999999999</v>
      </c>
      <c r="DH74" s="51">
        <v>1091</v>
      </c>
      <c r="DI74" s="51">
        <v>1085</v>
      </c>
      <c r="DJ74" s="51">
        <v>1081</v>
      </c>
      <c r="DK74" s="51">
        <v>1089</v>
      </c>
      <c r="DL74" s="51">
        <v>1090</v>
      </c>
      <c r="DM74" s="51">
        <v>1086</v>
      </c>
      <c r="DN74" s="51">
        <f>AVERAGE(S74:V74)</f>
        <v>1090.6554999999998</v>
      </c>
      <c r="DO74" s="51">
        <f>AVERAGE(W74:Z74)</f>
        <v>1094.5889999999999</v>
      </c>
      <c r="DP74" s="51">
        <f>AVERAGE(AA74:AD74)</f>
        <v>1098.39725</v>
      </c>
      <c r="DQ74" s="51">
        <f>AVERAGE(AE74:AH74)</f>
        <v>1105.443</v>
      </c>
      <c r="DR74" s="51">
        <f>AVERAGE(AI74:AL74)</f>
        <v>1124.4602500000001</v>
      </c>
      <c r="DS74" s="51">
        <f>AVERAGE(AM74:AP74)</f>
        <v>1117.1260000000002</v>
      </c>
      <c r="DT74" s="51">
        <f t="shared" ref="DT74:DW74" si="216">DS74</f>
        <v>1117.1260000000002</v>
      </c>
      <c r="DU74" s="51">
        <f t="shared" si="216"/>
        <v>1117.1260000000002</v>
      </c>
      <c r="DV74" s="51">
        <f t="shared" si="216"/>
        <v>1117.1260000000002</v>
      </c>
      <c r="DW74" s="51">
        <f t="shared" si="216"/>
        <v>1117.1260000000002</v>
      </c>
      <c r="DX74" s="51">
        <v>1052.0229999999999</v>
      </c>
      <c r="DY74" s="51">
        <v>1033.6669999999999</v>
      </c>
      <c r="DZ74" s="51">
        <f>AVERAGE(BO74:BR74)</f>
        <v>935.44074999999998</v>
      </c>
      <c r="EA74" s="51">
        <f>AVERAGE(BS74:BV74)</f>
        <v>911.65424999999993</v>
      </c>
      <c r="EB74" s="51">
        <f>AVERAGE(BW74:BZ74)</f>
        <v>910.77249999999992</v>
      </c>
      <c r="EC74" s="49">
        <f>AVERAGE(CA74:CD74)</f>
        <v>904.46350000000007</v>
      </c>
      <c r="ED74" s="49">
        <f>AVERAGE(CE74:CH74)</f>
        <v>903.16525000000001</v>
      </c>
      <c r="EE74" s="49">
        <f>+ED74</f>
        <v>903.16525000000001</v>
      </c>
      <c r="EF74" s="49">
        <f t="shared" ref="EF74:EK74" si="217">+EE74</f>
        <v>903.16525000000001</v>
      </c>
      <c r="EG74" s="49">
        <f t="shared" si="217"/>
        <v>903.16525000000001</v>
      </c>
      <c r="EH74" s="49">
        <f t="shared" si="217"/>
        <v>903.16525000000001</v>
      </c>
      <c r="EI74" s="49">
        <f t="shared" si="217"/>
        <v>903.16525000000001</v>
      </c>
      <c r="EJ74" s="49">
        <f t="shared" si="217"/>
        <v>903.16525000000001</v>
      </c>
      <c r="EK74" s="49">
        <f t="shared" si="217"/>
        <v>903.16525000000001</v>
      </c>
    </row>
    <row r="75" spans="1:219" x14ac:dyDescent="0.2">
      <c r="A75" s="102"/>
      <c r="Q75" s="51"/>
    </row>
    <row r="76" spans="1:219" s="55" customFormat="1" x14ac:dyDescent="0.2">
      <c r="A76" s="107"/>
      <c r="B76" s="55" t="s">
        <v>380</v>
      </c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1">
        <f t="shared" ref="X76:AP76" si="218">X62/T62-1</f>
        <v>0.59843101721588976</v>
      </c>
      <c r="Y76" s="61">
        <f t="shared" si="218"/>
        <v>0.15215364534775344</v>
      </c>
      <c r="Z76" s="61">
        <f t="shared" si="218"/>
        <v>-0.21831165519000262</v>
      </c>
      <c r="AA76" s="61">
        <f t="shared" si="218"/>
        <v>-0.21628376429876006</v>
      </c>
      <c r="AB76" s="61">
        <f t="shared" si="218"/>
        <v>-0.23718952785858127</v>
      </c>
      <c r="AC76" s="61">
        <f t="shared" si="218"/>
        <v>-0.18168576851211593</v>
      </c>
      <c r="AD76" s="61">
        <f t="shared" si="218"/>
        <v>0.13885423663755869</v>
      </c>
      <c r="AE76" s="61">
        <f t="shared" si="218"/>
        <v>0.12136636820802149</v>
      </c>
      <c r="AF76" s="61">
        <f t="shared" si="218"/>
        <v>0.12422020142759349</v>
      </c>
      <c r="AG76" s="61">
        <f t="shared" si="218"/>
        <v>1.6684645810859378E-2</v>
      </c>
      <c r="AH76" s="61">
        <f t="shared" si="218"/>
        <v>4.2669362992922233E-2</v>
      </c>
      <c r="AI76" s="61">
        <f t="shared" si="218"/>
        <v>6.4479081214109835E-2</v>
      </c>
      <c r="AJ76" s="61">
        <f t="shared" si="218"/>
        <v>8.768939064484127E-2</v>
      </c>
      <c r="AK76" s="61">
        <f t="shared" si="218"/>
        <v>8.7235622833698789E-2</v>
      </c>
      <c r="AL76" s="61">
        <f t="shared" si="218"/>
        <v>-2.2611197310576814E-2</v>
      </c>
      <c r="AM76" s="61">
        <f t="shared" si="218"/>
        <v>-4.0553500479517668E-2</v>
      </c>
      <c r="AN76" s="61">
        <f t="shared" si="218"/>
        <v>-0.10432126407369491</v>
      </c>
      <c r="AO76" s="61">
        <f t="shared" si="218"/>
        <v>-0.11476716383923491</v>
      </c>
      <c r="AP76" s="61">
        <f t="shared" si="218"/>
        <v>-1.4882674912770955E-2</v>
      </c>
      <c r="AQ76" s="61">
        <f t="shared" ref="AQ76:AT76" si="219">AQ62/AM62-1</f>
        <v>-7.1397972297715384E-5</v>
      </c>
      <c r="AR76" s="61">
        <f t="shared" si="219"/>
        <v>5.8780466029819012E-2</v>
      </c>
      <c r="AS76" s="61">
        <f t="shared" si="219"/>
        <v>6.0652273771244936E-2</v>
      </c>
      <c r="AT76" s="61">
        <f t="shared" si="219"/>
        <v>-2.492739999664273E-2</v>
      </c>
      <c r="AU76" s="61">
        <f t="shared" ref="AU76" si="220">AU62/AQ62-1</f>
        <v>-0.16403070332024272</v>
      </c>
      <c r="AV76" s="61">
        <f t="shared" ref="AV76" si="221">AV62/AR62-1</f>
        <v>-0.16764760443192728</v>
      </c>
      <c r="AW76" s="61">
        <f t="shared" ref="AW76" si="222">AW62/AS62-1</f>
        <v>-0.155389252676437</v>
      </c>
      <c r="AX76" s="61">
        <f t="shared" ref="AX76" si="223">AX62/AT62-1</f>
        <v>-0.11835490979203966</v>
      </c>
      <c r="AY76" s="61">
        <f t="shared" ref="AY76:BB76" si="224">AY62/AU62-1</f>
        <v>-8.1996967820462396E-3</v>
      </c>
      <c r="AZ76" s="61">
        <f t="shared" si="224"/>
        <v>8.73247426857926E-3</v>
      </c>
      <c r="BA76" s="61">
        <f t="shared" si="224"/>
        <v>1.7249159077856957E-2</v>
      </c>
      <c r="BB76" s="61">
        <f t="shared" si="224"/>
        <v>4.9655360943510418E-2</v>
      </c>
      <c r="BC76" s="61">
        <f t="shared" ref="BC76" si="225">BC62/AY62-1</f>
        <v>4.7451934462936274E-2</v>
      </c>
      <c r="BD76" s="61">
        <f t="shared" ref="BD76" si="226">BD62/AZ62-1</f>
        <v>8.5584590354911949E-2</v>
      </c>
      <c r="BE76" s="61">
        <f t="shared" ref="BE76" si="227">BE62/BA62-1</f>
        <v>4.6777022803798696E-2</v>
      </c>
      <c r="BF76" s="61">
        <f t="shared" ref="BF76" si="228">BF62/BB62-1</f>
        <v>7.1601309621251552E-2</v>
      </c>
      <c r="BG76" s="61">
        <f t="shared" ref="BG76" si="229">BG62/BC62-1</f>
        <v>7.4654169492918809E-2</v>
      </c>
      <c r="BH76" s="61">
        <f t="shared" ref="BH76:BO76" si="230">BH62/BD62-1</f>
        <v>7.761619301361744E-2</v>
      </c>
      <c r="BI76" s="61">
        <f t="shared" si="230"/>
        <v>8.9816437775680491E-2</v>
      </c>
      <c r="BJ76" s="61">
        <f t="shared" si="230"/>
        <v>6.9473136012498937E-2</v>
      </c>
      <c r="BK76" s="61">
        <f t="shared" si="230"/>
        <v>-5.0590057953828205E-2</v>
      </c>
      <c r="BL76" s="61">
        <f t="shared" si="230"/>
        <v>9.115258485998301E-2</v>
      </c>
      <c r="BM76" s="61">
        <f t="shared" si="230"/>
        <v>7.1385648639094912E-2</v>
      </c>
      <c r="BN76" s="61">
        <f t="shared" si="230"/>
        <v>4.5108510396545842E-2</v>
      </c>
      <c r="BO76" s="61">
        <f t="shared" si="230"/>
        <v>2.5847133244691012E-2</v>
      </c>
      <c r="BP76" s="61">
        <f>BP62/BL62-1</f>
        <v>-0.11304128902316191</v>
      </c>
      <c r="BQ76" s="61">
        <f>BQ62/BM62-1</f>
        <v>-9.6553885745393253E-2</v>
      </c>
      <c r="BR76" s="61">
        <f>BR62/BN62-1</f>
        <v>-5.0445749075886281E-2</v>
      </c>
      <c r="BS76" s="61">
        <f>BS62/BO62-1</f>
        <v>0.15076294652500932</v>
      </c>
      <c r="BT76" s="61">
        <f t="shared" ref="BT76:CA76" si="231">BT62/BP62-1</f>
        <v>-2.4375532216861062E-2</v>
      </c>
      <c r="BU76" s="61">
        <f t="shared" si="231"/>
        <v>4.8205090749734891E-2</v>
      </c>
      <c r="BV76" s="61">
        <f t="shared" si="231"/>
        <v>0.21693545748961363</v>
      </c>
      <c r="BW76" s="61">
        <f t="shared" si="231"/>
        <v>0.16140482610328055</v>
      </c>
      <c r="BX76" s="61">
        <f t="shared" si="231"/>
        <v>0.22558824599047145</v>
      </c>
      <c r="BY76" s="61">
        <f t="shared" si="231"/>
        <v>0.17984182838030871</v>
      </c>
      <c r="BZ76" s="61">
        <f t="shared" si="231"/>
        <v>7.5240924181126712E-2</v>
      </c>
      <c r="CA76" s="61">
        <f t="shared" si="231"/>
        <v>0.14759903608792735</v>
      </c>
      <c r="CB76" s="61">
        <f t="shared" ref="CB76" si="232">CB62/BX62-1</f>
        <v>-3.7403560830859939E-2</v>
      </c>
      <c r="CC76" s="61">
        <f t="shared" ref="CC76" si="233">CC62/BY62-1</f>
        <v>2.4878192824450363E-2</v>
      </c>
      <c r="CD76" s="61">
        <f t="shared" ref="CD76" si="234">CD62/BZ62-1</f>
        <v>-8.7251090638632789E-2</v>
      </c>
      <c r="CE76" s="61">
        <f t="shared" ref="CE76" si="235">CE62/CA62-1</f>
        <v>-0.10882062969744299</v>
      </c>
      <c r="CF76" s="61">
        <f t="shared" ref="CF76" si="236">CF62/CB62-1</f>
        <v>0.19194192265602084</v>
      </c>
      <c r="CG76" s="61">
        <f t="shared" ref="CG76" si="237">CG62/CC62-1</f>
        <v>0.16382626233522979</v>
      </c>
      <c r="CH76" s="61">
        <f t="shared" ref="CH76" si="238">CH62/CD62-1</f>
        <v>0.28089949191306407</v>
      </c>
      <c r="CI76" s="61">
        <f>CI62/CE62-1</f>
        <v>0.25971954828884236</v>
      </c>
      <c r="CJ76" s="61">
        <f>CJ62/CF62-1</f>
        <v>0.46159416541664533</v>
      </c>
      <c r="CK76" s="61">
        <f t="shared" ref="CK76" si="239">CK62/CG62-1</f>
        <v>0.19108272370554702</v>
      </c>
      <c r="CL76" s="61">
        <f t="shared" ref="CL76" si="240">CL62/CH62-1</f>
        <v>7.745108521330013E-2</v>
      </c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2">
        <f t="shared" ref="DA76:DF76" si="241">DA62/CZ62-1</f>
        <v>9.8701548523612681E-2</v>
      </c>
      <c r="DB76" s="62">
        <f t="shared" si="241"/>
        <v>0.13957560053225015</v>
      </c>
      <c r="DC76" s="62">
        <f t="shared" si="241"/>
        <v>7.5205875122910548E-2</v>
      </c>
      <c r="DD76" s="62">
        <f t="shared" si="241"/>
        <v>0.14137719160367501</v>
      </c>
      <c r="DE76" s="62">
        <f t="shared" si="241"/>
        <v>0.15637793106901854</v>
      </c>
      <c r="DF76" s="62">
        <f t="shared" si="241"/>
        <v>8.2939979213580539E-2</v>
      </c>
      <c r="DG76" s="62">
        <f t="shared" ref="DG76" si="242">DG62/DF62-1</f>
        <v>8.5905087524617896E-2</v>
      </c>
      <c r="DH76" s="62">
        <f t="shared" ref="DH76" si="243">DH62/DG62-1</f>
        <v>7.0593434110953535E-2</v>
      </c>
      <c r="DI76" s="62">
        <f t="shared" ref="DI76" si="244">DI62/DH62-1</f>
        <v>-4.0656978244045017E-2</v>
      </c>
      <c r="DJ76" s="62">
        <f t="shared" ref="DJ76" si="245">DJ62/DI62-1</f>
        <v>0.12807228267689719</v>
      </c>
      <c r="DK76" s="62">
        <f t="shared" ref="DK76" si="246">DK62/DJ62-1</f>
        <v>0.10123162495033777</v>
      </c>
      <c r="DL76" s="62">
        <f t="shared" ref="DL76:DX76" si="247">DL62/DK62-1</f>
        <v>5.7074825023450515E-2</v>
      </c>
      <c r="DM76" s="62">
        <f t="shared" si="247"/>
        <v>7.7372013651876959E-2</v>
      </c>
      <c r="DN76" s="62">
        <f t="shared" si="247"/>
        <v>0.17162226375645462</v>
      </c>
      <c r="DO76" s="62">
        <f t="shared" si="247"/>
        <v>6.0167880685474406E-2</v>
      </c>
      <c r="DP76" s="62">
        <f t="shared" si="247"/>
        <v>6.985394754409513E-2</v>
      </c>
      <c r="DQ76" s="62">
        <f t="shared" si="247"/>
        <v>4.383313819191037E-2</v>
      </c>
      <c r="DR76" s="62">
        <f t="shared" si="247"/>
        <v>9.0596424558550881E-2</v>
      </c>
      <c r="DS76" s="62">
        <f t="shared" si="247"/>
        <v>-7.8559971186021871E-2</v>
      </c>
      <c r="DT76" s="62">
        <f t="shared" si="247"/>
        <v>5.0523827920823772E-2</v>
      </c>
      <c r="DU76" s="62">
        <f t="shared" si="247"/>
        <v>-0.15131678571892138</v>
      </c>
      <c r="DV76" s="62">
        <f t="shared" si="247"/>
        <v>2.1136130752407389E-2</v>
      </c>
      <c r="DW76" s="62">
        <f t="shared" si="247"/>
        <v>7.9534505224584828E-2</v>
      </c>
      <c r="DX76" s="62">
        <f t="shared" si="247"/>
        <v>-7.6269226856090944E-2</v>
      </c>
      <c r="DY76" s="62">
        <f t="shared" ref="DY76:EF76" si="248">DY62/DX62-1</f>
        <v>7.6043095593315124E-2</v>
      </c>
      <c r="DZ76" s="62">
        <f t="shared" si="248"/>
        <v>3.8440243613066638E-2</v>
      </c>
      <c r="EA76" s="62">
        <f t="shared" si="248"/>
        <v>9.9492367592173503E-2</v>
      </c>
      <c r="EB76" s="62">
        <f t="shared" si="248"/>
        <v>0.15397780757052804</v>
      </c>
      <c r="EC76" s="62">
        <f t="shared" si="248"/>
        <v>7.871179617564783E-3</v>
      </c>
      <c r="ED76" s="62">
        <f t="shared" si="248"/>
        <v>0.1255614650998198</v>
      </c>
      <c r="EE76" s="62">
        <f t="shared" si="248"/>
        <v>0.23798836423855496</v>
      </c>
      <c r="EF76" s="62">
        <f t="shared" si="248"/>
        <v>0.18494771250047104</v>
      </c>
      <c r="EG76" s="62">
        <f t="shared" ref="EG76:EK76" si="249">EG62/EF62-1</f>
        <v>0.21970096674735351</v>
      </c>
      <c r="EH76" s="62">
        <f t="shared" si="249"/>
        <v>0.23609165499084939</v>
      </c>
      <c r="EI76" s="62">
        <f t="shared" si="249"/>
        <v>0.13710610450816141</v>
      </c>
      <c r="EJ76" s="62">
        <f t="shared" si="249"/>
        <v>7.6520125539601969E-2</v>
      </c>
      <c r="EK76" s="62">
        <f t="shared" si="249"/>
        <v>-5.4929040324517286E-2</v>
      </c>
    </row>
    <row r="77" spans="1:219" s="55" customFormat="1" x14ac:dyDescent="0.2">
      <c r="A77" s="107"/>
      <c r="B77" s="55" t="s">
        <v>762</v>
      </c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>
        <v>0.1</v>
      </c>
      <c r="DH77" s="60"/>
      <c r="DI77" s="60"/>
      <c r="DJ77" s="60"/>
      <c r="DK77" s="60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</row>
    <row r="78" spans="1:219" s="38" customFormat="1" x14ac:dyDescent="0.2">
      <c r="A78" s="106"/>
      <c r="B78" s="38" t="s">
        <v>378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>
        <f t="shared" ref="BB78:CL78" si="250">+BB5/AX5-1</f>
        <v>10.029411764705882</v>
      </c>
      <c r="BC78" s="66">
        <f t="shared" si="250"/>
        <v>6.8469945355191246</v>
      </c>
      <c r="BD78" s="66">
        <f t="shared" si="250"/>
        <v>3.544018058690745</v>
      </c>
      <c r="BE78" s="66">
        <f t="shared" si="250"/>
        <v>2.3052917232021706</v>
      </c>
      <c r="BF78" s="66">
        <f t="shared" si="250"/>
        <v>1.9955555555555557</v>
      </c>
      <c r="BG78" s="66">
        <f t="shared" si="250"/>
        <v>1.5967966573816157</v>
      </c>
      <c r="BH78" s="66">
        <f t="shared" si="250"/>
        <v>1.3854942871336311</v>
      </c>
      <c r="BI78" s="66">
        <f t="shared" si="250"/>
        <v>1.1662561576354684</v>
      </c>
      <c r="BJ78" s="66">
        <f t="shared" si="250"/>
        <v>0.9258160237388724</v>
      </c>
      <c r="BK78" s="66">
        <f t="shared" si="250"/>
        <v>0.81898632341110211</v>
      </c>
      <c r="BL78" s="66">
        <f t="shared" si="250"/>
        <v>0.62390670553935856</v>
      </c>
      <c r="BM78" s="66">
        <f t="shared" si="250"/>
        <v>0.54671214705324989</v>
      </c>
      <c r="BN78" s="66">
        <f t="shared" si="250"/>
        <v>0.42480739599383677</v>
      </c>
      <c r="BO78" s="66">
        <f t="shared" si="250"/>
        <v>0.29691876750700286</v>
      </c>
      <c r="BP78" s="66">
        <f t="shared" si="250"/>
        <v>0.31892793023852284</v>
      </c>
      <c r="BQ78" s="66">
        <f t="shared" si="250"/>
        <v>0.23927958833619201</v>
      </c>
      <c r="BR78" s="66">
        <f t="shared" si="250"/>
        <v>0.3064777765761868</v>
      </c>
      <c r="BS78" s="66">
        <f t="shared" si="250"/>
        <v>0.39752188245992959</v>
      </c>
      <c r="BT78" s="66">
        <f t="shared" si="250"/>
        <v>0.19572192513368969</v>
      </c>
      <c r="BU78" s="66">
        <f t="shared" si="250"/>
        <v>9.4018783984181731E-2</v>
      </c>
      <c r="BV78" s="66">
        <f t="shared" si="250"/>
        <v>0.24360566178296517</v>
      </c>
      <c r="BW78" s="66">
        <f t="shared" si="250"/>
        <v>0.18138929559134542</v>
      </c>
      <c r="BX78" s="66">
        <f t="shared" si="250"/>
        <v>0.24865831842576025</v>
      </c>
      <c r="BY78" s="66">
        <f t="shared" si="250"/>
        <v>0.44596060003614668</v>
      </c>
      <c r="BZ78" s="66">
        <f t="shared" si="250"/>
        <v>0.25379392971246006</v>
      </c>
      <c r="CA78" s="66">
        <f t="shared" si="250"/>
        <v>0.19891214541448621</v>
      </c>
      <c r="CB78" s="66">
        <f t="shared" si="250"/>
        <v>0.24505079447772871</v>
      </c>
      <c r="CC78" s="66">
        <f t="shared" si="250"/>
        <v>0.15642772326729593</v>
      </c>
      <c r="CD78" s="66">
        <f t="shared" si="250"/>
        <v>2.7870680044593144E-2</v>
      </c>
      <c r="CE78" s="66">
        <f t="shared" si="250"/>
        <v>0.13541606845460286</v>
      </c>
      <c r="CF78" s="66">
        <f t="shared" si="250"/>
        <v>-5.1990166849730679E-2</v>
      </c>
      <c r="CG78" s="66">
        <f t="shared" si="250"/>
        <v>-9.5546908776480866E-2</v>
      </c>
      <c r="CH78" s="66">
        <f t="shared" si="250"/>
        <v>-0.13784732982129955</v>
      </c>
      <c r="CI78" s="66">
        <f t="shared" si="250"/>
        <v>-0.26341611451115265</v>
      </c>
      <c r="CJ78" s="66">
        <f t="shared" si="250"/>
        <v>-0.3127724137931035</v>
      </c>
      <c r="CK78" s="66">
        <f t="shared" si="250"/>
        <v>-0.31548757170172081</v>
      </c>
      <c r="CL78" s="66">
        <f t="shared" si="250"/>
        <v>-0.37362966512909601</v>
      </c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48"/>
      <c r="DI78" s="48"/>
      <c r="DJ78" s="48"/>
      <c r="DK78" s="48"/>
      <c r="DL78" s="67"/>
      <c r="DM78" s="67"/>
      <c r="DN78" s="67"/>
      <c r="DO78" s="67"/>
      <c r="DP78" s="67"/>
      <c r="DQ78" s="67"/>
      <c r="DR78" s="96"/>
      <c r="DS78" s="96"/>
      <c r="DT78" s="96"/>
      <c r="DU78" s="96"/>
      <c r="DV78" s="96">
        <f t="shared" ref="DV78:ED78" si="251">+DV5/DU5-1</f>
        <v>23.3921568627451</v>
      </c>
      <c r="DW78" s="96">
        <f t="shared" si="251"/>
        <v>2.719855305466238</v>
      </c>
      <c r="DX78" s="96">
        <f t="shared" si="251"/>
        <v>1.1931928687196112</v>
      </c>
      <c r="DY78" s="96">
        <f t="shared" si="251"/>
        <v>0.57606660754754158</v>
      </c>
      <c r="DZ78" s="96">
        <f t="shared" si="251"/>
        <v>0.29030039698665222</v>
      </c>
      <c r="EA78" s="96">
        <f t="shared" si="251"/>
        <v>0.22782111536411676</v>
      </c>
      <c r="EB78" s="96">
        <f t="shared" si="251"/>
        <v>0.2769425042421374</v>
      </c>
      <c r="EC78" s="96">
        <f t="shared" si="251"/>
        <v>0.14957198924565041</v>
      </c>
      <c r="ED78" s="96">
        <f t="shared" si="251"/>
        <v>-4.1304873786929819E-2</v>
      </c>
    </row>
    <row r="79" spans="1:219" s="38" customFormat="1" x14ac:dyDescent="0.2">
      <c r="A79" s="106"/>
      <c r="B79" s="38" t="s">
        <v>711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>
        <f>CI6/CE6-1</f>
        <v>2.177660510114336</v>
      </c>
      <c r="CJ79" s="66">
        <f>CJ6/CF6-1</f>
        <v>2.1548433193834846</v>
      </c>
      <c r="CK79" s="66">
        <f>CK6/CG6-1</f>
        <v>1.4060171716454981</v>
      </c>
      <c r="CL79" s="66">
        <f>CL6/CH6-1</f>
        <v>0.67337685890460652</v>
      </c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48"/>
      <c r="DI79" s="48"/>
      <c r="DJ79" s="48"/>
      <c r="DK79" s="48"/>
      <c r="DL79" s="67"/>
      <c r="DM79" s="67"/>
      <c r="DN79" s="67"/>
      <c r="DO79" s="67"/>
      <c r="DP79" s="67"/>
      <c r="DQ79" s="67"/>
      <c r="DR79" s="67"/>
      <c r="DS79" s="67"/>
      <c r="DT79" s="67"/>
      <c r="DU79" s="67"/>
      <c r="DV79" s="67"/>
      <c r="DW79" s="67"/>
      <c r="DX79" s="67"/>
      <c r="DY79" s="67"/>
      <c r="DZ79" s="67"/>
      <c r="EA79" s="67"/>
      <c r="EB79" s="67"/>
    </row>
    <row r="80" spans="1:219" s="38" customFormat="1" x14ac:dyDescent="0.2">
      <c r="A80" s="106"/>
      <c r="B80" s="38" t="s">
        <v>490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>
        <f t="shared" ref="BH80:CL80" si="252">+BH9/BD9-1</f>
        <v>6.1865284974093253</v>
      </c>
      <c r="BI80" s="66">
        <f t="shared" si="252"/>
        <v>3.6553846153846159</v>
      </c>
      <c r="BJ80" s="66">
        <f t="shared" si="252"/>
        <v>1.8140293637846656</v>
      </c>
      <c r="BK80" s="66">
        <f t="shared" si="252"/>
        <v>0.51656314699792971</v>
      </c>
      <c r="BL80" s="66">
        <f t="shared" si="252"/>
        <v>0.58687815428983425</v>
      </c>
      <c r="BM80" s="66">
        <f t="shared" si="252"/>
        <v>0.74421678783873069</v>
      </c>
      <c r="BN80" s="66">
        <f t="shared" si="252"/>
        <v>0.77971014492753632</v>
      </c>
      <c r="BO80" s="66">
        <f t="shared" si="252"/>
        <v>0.72354948805460761</v>
      </c>
      <c r="BP80" s="66">
        <f t="shared" si="252"/>
        <v>0.607451158564289</v>
      </c>
      <c r="BQ80" s="66">
        <f t="shared" si="252"/>
        <v>0.28836680560818495</v>
      </c>
      <c r="BR80" s="66">
        <f t="shared" si="252"/>
        <v>0.36840390879478835</v>
      </c>
      <c r="BS80" s="66">
        <f t="shared" si="252"/>
        <v>0.75643564356435644</v>
      </c>
      <c r="BT80" s="66">
        <f t="shared" si="252"/>
        <v>0.11701526286037311</v>
      </c>
      <c r="BU80" s="66">
        <f t="shared" si="252"/>
        <v>0.33676470588235285</v>
      </c>
      <c r="BV80" s="66">
        <f t="shared" si="252"/>
        <v>0.17900499880980725</v>
      </c>
      <c r="BW80" s="66">
        <f t="shared" si="252"/>
        <v>-9.0868094701240132E-2</v>
      </c>
      <c r="BX80" s="66">
        <f t="shared" si="252"/>
        <v>0.44003036437246967</v>
      </c>
      <c r="BY80" s="66">
        <f t="shared" si="252"/>
        <v>0.304950495049505</v>
      </c>
      <c r="BZ80" s="66">
        <f t="shared" si="252"/>
        <v>0.30708661417322825</v>
      </c>
      <c r="CA80" s="66">
        <f t="shared" si="252"/>
        <v>0.21056547619047628</v>
      </c>
      <c r="CB80" s="66">
        <f t="shared" si="252"/>
        <v>6.519065190651907E-2</v>
      </c>
      <c r="CC80" s="66">
        <f t="shared" si="252"/>
        <v>0.14634968807958182</v>
      </c>
      <c r="CD80" s="66">
        <f t="shared" si="252"/>
        <v>9.3296261970960748E-2</v>
      </c>
      <c r="CE80" s="66">
        <f t="shared" si="252"/>
        <v>7.9696783446015163E-2</v>
      </c>
      <c r="CF80" s="66">
        <f t="shared" si="252"/>
        <v>0.16116793137578345</v>
      </c>
      <c r="CG80" s="66">
        <f t="shared" si="252"/>
        <v>9.4572731284012557E-2</v>
      </c>
      <c r="CH80" s="66">
        <f t="shared" si="252"/>
        <v>0.10850522746538571</v>
      </c>
      <c r="CI80" s="66">
        <f t="shared" si="252"/>
        <v>0.1461100569259961</v>
      </c>
      <c r="CJ80" s="66">
        <f t="shared" si="252"/>
        <v>0.17161528626225331</v>
      </c>
      <c r="CK80" s="66">
        <f t="shared" si="252"/>
        <v>0.13504434291857037</v>
      </c>
      <c r="CL80" s="66">
        <f t="shared" si="252"/>
        <v>0.10209023706347176</v>
      </c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48"/>
      <c r="DI80" s="48"/>
      <c r="DJ80" s="48"/>
      <c r="DK80" s="48"/>
      <c r="DL80" s="67"/>
      <c r="DM80" s="67"/>
      <c r="DN80" s="67"/>
      <c r="DO80" s="67"/>
      <c r="DP80" s="67"/>
      <c r="DQ80" s="67"/>
      <c r="DR80" s="67"/>
      <c r="DS80" s="67"/>
      <c r="DT80" s="67"/>
      <c r="DU80" s="67"/>
      <c r="DV80" s="67"/>
      <c r="DW80" s="96"/>
      <c r="DX80" s="96"/>
      <c r="DY80" s="96">
        <f t="shared" ref="DY80:ED81" si="253">+DY9/DX9-1</f>
        <v>0.67680200321945971</v>
      </c>
      <c r="DZ80" s="96">
        <f t="shared" si="253"/>
        <v>0.45749333333333353</v>
      </c>
      <c r="EA80" s="96">
        <f t="shared" si="253"/>
        <v>0.3089139344262295</v>
      </c>
      <c r="EB80" s="96">
        <f t="shared" si="253"/>
        <v>0.23723790886217522</v>
      </c>
      <c r="EC80" s="96">
        <f t="shared" si="253"/>
        <v>0.12165582067968184</v>
      </c>
      <c r="ED80" s="96">
        <f t="shared" si="253"/>
        <v>0.11188557614826755</v>
      </c>
    </row>
    <row r="81" spans="1:143" s="38" customFormat="1" x14ac:dyDescent="0.2">
      <c r="A81" s="106"/>
      <c r="B81" s="38" t="s">
        <v>491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>
        <f t="shared" ref="BN81:BW82" si="254">+BN10/BJ10-1</f>
        <v>2.9571428571428569</v>
      </c>
      <c r="BO81" s="66">
        <f t="shared" si="254"/>
        <v>2.6835016835016838</v>
      </c>
      <c r="BP81" s="66">
        <f t="shared" si="254"/>
        <v>1.3206239168110918</v>
      </c>
      <c r="BQ81" s="66">
        <f t="shared" si="254"/>
        <v>0.86035502958579868</v>
      </c>
      <c r="BR81" s="66">
        <f t="shared" si="254"/>
        <v>1.1552346570397112</v>
      </c>
      <c r="BS81" s="66">
        <f t="shared" si="254"/>
        <v>0.71846435100548445</v>
      </c>
      <c r="BT81" s="66">
        <f t="shared" si="254"/>
        <v>0.55787901418969366</v>
      </c>
      <c r="BU81" s="66">
        <f t="shared" si="254"/>
        <v>0.49109414758269732</v>
      </c>
      <c r="BV81" s="66">
        <f t="shared" si="254"/>
        <v>0.57230597431602481</v>
      </c>
      <c r="BW81" s="66">
        <f t="shared" si="254"/>
        <v>0.43085106382978733</v>
      </c>
      <c r="BX81" s="66">
        <f t="shared" ref="BX81:CG82" si="255">+BX10/BT10-1</f>
        <v>0.63614573346116976</v>
      </c>
      <c r="BY81" s="66">
        <f t="shared" si="255"/>
        <v>0.43131399317406149</v>
      </c>
      <c r="BZ81" s="66">
        <f t="shared" si="255"/>
        <v>0.43501420454545459</v>
      </c>
      <c r="CA81" s="66">
        <f t="shared" si="255"/>
        <v>0.7449814126394052</v>
      </c>
      <c r="CB81" s="66">
        <f t="shared" si="255"/>
        <v>0.72428948139466742</v>
      </c>
      <c r="CC81" s="66">
        <f t="shared" si="255"/>
        <v>0.84113263785394943</v>
      </c>
      <c r="CD81" s="66">
        <f t="shared" si="255"/>
        <v>0.99950507300173208</v>
      </c>
      <c r="CE81" s="66">
        <f t="shared" si="255"/>
        <v>0.59970174691095024</v>
      </c>
      <c r="CF81" s="66">
        <f t="shared" si="255"/>
        <v>0.57485131690739166</v>
      </c>
      <c r="CG81" s="66">
        <f t="shared" si="255"/>
        <v>0.68398899141978298</v>
      </c>
      <c r="CH81" s="66">
        <f t="shared" ref="CH81:CQ82" si="256">+CH10/CD10-1</f>
        <v>0.41757425742574261</v>
      </c>
      <c r="CI81" s="66">
        <f t="shared" si="256"/>
        <v>0.39872153415900913</v>
      </c>
      <c r="CJ81" s="66">
        <f t="shared" si="256"/>
        <v>0.43709538195943054</v>
      </c>
      <c r="CK81" s="66">
        <f t="shared" si="256"/>
        <v>0.29965391270909447</v>
      </c>
      <c r="CL81" s="66">
        <f t="shared" si="256"/>
        <v>0.19774751178627548</v>
      </c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48"/>
      <c r="DI81" s="48"/>
      <c r="DJ81" s="48"/>
      <c r="DK81" s="48"/>
      <c r="DL81" s="67"/>
      <c r="DM81" s="67"/>
      <c r="DN81" s="67"/>
      <c r="DO81" s="67"/>
      <c r="DP81" s="67"/>
      <c r="DQ81" s="67"/>
      <c r="DR81" s="67"/>
      <c r="DS81" s="67"/>
      <c r="DT81" s="67"/>
      <c r="DU81" s="67"/>
      <c r="DV81" s="67"/>
      <c r="DW81" s="67"/>
      <c r="DX81" s="67"/>
      <c r="DY81" s="96">
        <f t="shared" si="253"/>
        <v>11.142857142857142</v>
      </c>
      <c r="DZ81" s="96">
        <f t="shared" si="253"/>
        <v>1.2729411764705882</v>
      </c>
      <c r="EA81" s="96">
        <f t="shared" si="253"/>
        <v>0.57453416149068315</v>
      </c>
      <c r="EB81" s="96">
        <f t="shared" si="253"/>
        <v>0.47918036379574858</v>
      </c>
      <c r="EC81" s="96">
        <f t="shared" si="253"/>
        <v>0.83983998814727023</v>
      </c>
      <c r="ED81" s="96">
        <f t="shared" si="253"/>
        <v>0.55552423900789139</v>
      </c>
    </row>
    <row r="82" spans="1:143" s="38" customFormat="1" x14ac:dyDescent="0.2">
      <c r="A82" s="106"/>
      <c r="B82" s="38" t="s">
        <v>492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>
        <f t="shared" ref="BC82:BM82" si="257">+BC11/AY11-1</f>
        <v>0.97927461139896388</v>
      </c>
      <c r="BD82" s="66">
        <f t="shared" si="257"/>
        <v>2.612612612612613</v>
      </c>
      <c r="BE82" s="66">
        <f t="shared" si="257"/>
        <v>2.0844155844155843</v>
      </c>
      <c r="BF82" s="66">
        <f t="shared" si="257"/>
        <v>4.212328767123287</v>
      </c>
      <c r="BG82" s="66">
        <f t="shared" si="257"/>
        <v>0.93717277486910988</v>
      </c>
      <c r="BH82" s="66">
        <f t="shared" si="257"/>
        <v>1.57356608478803</v>
      </c>
      <c r="BI82" s="66">
        <f t="shared" si="257"/>
        <v>1.6778947368421053</v>
      </c>
      <c r="BJ82" s="66">
        <f t="shared" si="257"/>
        <v>0.88173455978975035</v>
      </c>
      <c r="BK82" s="66">
        <f t="shared" si="257"/>
        <v>1.0405405405405403</v>
      </c>
      <c r="BL82" s="66">
        <f t="shared" si="257"/>
        <v>0.42635658914728669</v>
      </c>
      <c r="BM82" s="66">
        <f t="shared" si="257"/>
        <v>0.31210691823899372</v>
      </c>
      <c r="BN82" s="66">
        <f t="shared" si="254"/>
        <v>0.34916201117318435</v>
      </c>
      <c r="BO82" s="66">
        <f t="shared" si="254"/>
        <v>0.34834437086092707</v>
      </c>
      <c r="BP82" s="66">
        <f t="shared" si="254"/>
        <v>0.57540760869565233</v>
      </c>
      <c r="BQ82" s="66">
        <f t="shared" si="254"/>
        <v>0.44218094667465535</v>
      </c>
      <c r="BR82" s="66">
        <f t="shared" si="254"/>
        <v>0.38716356107660466</v>
      </c>
      <c r="BS82" s="66">
        <f t="shared" si="254"/>
        <v>0.31385068762278978</v>
      </c>
      <c r="BT82" s="66">
        <f t="shared" si="254"/>
        <v>0.1297973264338077</v>
      </c>
      <c r="BU82" s="66">
        <f t="shared" si="254"/>
        <v>0.29123390112172842</v>
      </c>
      <c r="BV82" s="66">
        <f t="shared" si="254"/>
        <v>0.17014925373134338</v>
      </c>
      <c r="BW82" s="66">
        <f t="shared" si="254"/>
        <v>0.16635514018691588</v>
      </c>
      <c r="BX82" s="66">
        <f t="shared" si="255"/>
        <v>0.36068702290076327</v>
      </c>
      <c r="BY82" s="66">
        <f t="shared" si="255"/>
        <v>0.25611325611325597</v>
      </c>
      <c r="BZ82" s="66">
        <f t="shared" si="255"/>
        <v>0.37723214285714279</v>
      </c>
      <c r="CA82" s="66">
        <f t="shared" si="255"/>
        <v>0.34423076923076912</v>
      </c>
      <c r="CB82" s="66">
        <f t="shared" si="255"/>
        <v>0.29312762973352036</v>
      </c>
      <c r="CC82" s="66">
        <f t="shared" si="255"/>
        <v>0.46849385245901631</v>
      </c>
      <c r="CD82" s="66">
        <f t="shared" si="255"/>
        <v>0.41768927992590865</v>
      </c>
      <c r="CE82" s="66">
        <f t="shared" si="255"/>
        <v>0.37696709585121613</v>
      </c>
      <c r="CF82" s="66">
        <f t="shared" si="255"/>
        <v>0.44967462039045536</v>
      </c>
      <c r="CG82" s="66">
        <f t="shared" si="255"/>
        <v>0.22239665096807948</v>
      </c>
      <c r="CH82" s="66">
        <f t="shared" si="256"/>
        <v>0.30344602319124636</v>
      </c>
      <c r="CI82" s="66">
        <f t="shared" si="256"/>
        <v>0.18874458874458866</v>
      </c>
      <c r="CJ82" s="66">
        <f t="shared" si="256"/>
        <v>0.15157863235074087</v>
      </c>
      <c r="CK82" s="66">
        <f t="shared" si="256"/>
        <v>0.12671232876712346</v>
      </c>
      <c r="CL82" s="66">
        <f t="shared" si="256"/>
        <v>1.4409221902017322E-2</v>
      </c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48"/>
      <c r="DI82" s="48"/>
      <c r="DJ82" s="48"/>
      <c r="DK82" s="48"/>
      <c r="DL82" s="67"/>
      <c r="DM82" s="67"/>
      <c r="DN82" s="67"/>
      <c r="DO82" s="67"/>
      <c r="DP82" s="67"/>
      <c r="DQ82" s="67"/>
      <c r="DR82" s="67"/>
      <c r="DS82" s="67"/>
      <c r="DT82" s="67"/>
      <c r="DU82" s="67"/>
      <c r="DV82" s="67"/>
      <c r="DW82" s="67"/>
      <c r="DX82" s="67"/>
      <c r="DY82" s="67"/>
      <c r="DZ82" s="67"/>
      <c r="EA82" s="67"/>
      <c r="EB82" s="67"/>
    </row>
    <row r="83" spans="1:143" s="38" customFormat="1" x14ac:dyDescent="0.2">
      <c r="A83" s="106"/>
      <c r="B83" s="38" t="s">
        <v>56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66">
        <f t="shared" ref="O83:AS83" si="258">O73/K73-1</f>
        <v>-0.22605591891372567</v>
      </c>
      <c r="P83" s="66">
        <f t="shared" si="258"/>
        <v>0.67610728701847322</v>
      </c>
      <c r="Q83" s="66">
        <f t="shared" si="258"/>
        <v>0.34015035080861589</v>
      </c>
      <c r="R83" s="66">
        <f t="shared" si="258"/>
        <v>3.7454658637521607</v>
      </c>
      <c r="S83" s="66">
        <f t="shared" si="258"/>
        <v>1.6519622566819141</v>
      </c>
      <c r="T83" s="66">
        <f t="shared" si="258"/>
        <v>0.46464279222800253</v>
      </c>
      <c r="U83" s="66">
        <f t="shared" si="258"/>
        <v>3.8235187048251413</v>
      </c>
      <c r="V83" s="66">
        <f t="shared" si="258"/>
        <v>0.1870513600647703</v>
      </c>
      <c r="W83" s="66">
        <f t="shared" si="258"/>
        <v>1.9471106396652482</v>
      </c>
      <c r="X83" s="66">
        <f t="shared" si="258"/>
        <v>3.7362930227057349</v>
      </c>
      <c r="Y83" s="66">
        <f t="shared" si="258"/>
        <v>0.17487628448498183</v>
      </c>
      <c r="Z83" s="66">
        <f t="shared" si="258"/>
        <v>-0.52026113261404561</v>
      </c>
      <c r="AA83" s="66">
        <f t="shared" si="258"/>
        <v>-0.57728356037442752</v>
      </c>
      <c r="AB83" s="66">
        <f t="shared" si="258"/>
        <v>-0.60384987633693532</v>
      </c>
      <c r="AC83" s="66">
        <f t="shared" si="258"/>
        <v>-0.45386568723743781</v>
      </c>
      <c r="AD83" s="66">
        <f t="shared" si="258"/>
        <v>-0.17935478589422826</v>
      </c>
      <c r="AE83" s="66">
        <f t="shared" si="258"/>
        <v>0.1144033426114861</v>
      </c>
      <c r="AF83" s="66">
        <f t="shared" si="258"/>
        <v>0.28860862968049394</v>
      </c>
      <c r="AG83" s="66">
        <f t="shared" si="258"/>
        <v>-0.10728645122357194</v>
      </c>
      <c r="AH83" s="66">
        <f t="shared" si="258"/>
        <v>0.24088397214917667</v>
      </c>
      <c r="AI83" s="66">
        <f t="shared" si="258"/>
        <v>5.1382705842108578E-2</v>
      </c>
      <c r="AJ83" s="66">
        <f t="shared" si="258"/>
        <v>-6.5788977619371525E-2</v>
      </c>
      <c r="AK83" s="66">
        <f t="shared" si="258"/>
        <v>-7.1925548393590666E-2</v>
      </c>
      <c r="AL83" s="66">
        <f t="shared" si="258"/>
        <v>-0.22750132460794636</v>
      </c>
      <c r="AM83" s="66">
        <f t="shared" si="258"/>
        <v>-0.25615165684029639</v>
      </c>
      <c r="AN83" s="66">
        <f t="shared" si="258"/>
        <v>-0.28127885987742418</v>
      </c>
      <c r="AO83" s="66">
        <f t="shared" si="258"/>
        <v>-0.29593098547977148</v>
      </c>
      <c r="AP83" s="66">
        <f t="shared" si="258"/>
        <v>6.4600727857465623E-2</v>
      </c>
      <c r="AQ83" s="66">
        <f t="shared" si="258"/>
        <v>6.9797382424570564E-2</v>
      </c>
      <c r="AR83" s="66">
        <f t="shared" si="258"/>
        <v>0.41810682529532461</v>
      </c>
      <c r="AS83" s="66">
        <f t="shared" si="258"/>
        <v>0.39984491447748982</v>
      </c>
      <c r="AT83" s="66">
        <f t="shared" ref="AT83" si="259">+AT73/AP73-1</f>
        <v>-0.17908617525056403</v>
      </c>
      <c r="AU83" s="66">
        <f t="shared" ref="AU83" si="260">+AU73/AQ73-1</f>
        <v>-0.38848476873388582</v>
      </c>
      <c r="AV83" s="66">
        <f t="shared" ref="AV83" si="261">+AV73/AR73-1</f>
        <v>-0.50355974944012782</v>
      </c>
      <c r="AW83" s="66">
        <f t="shared" ref="AW83" si="262">+AW73/AS73-1</f>
        <v>-0.6268077871262776</v>
      </c>
      <c r="AX83" s="66">
        <f t="shared" ref="AX83:BB83" si="263">+AX73/AT73-1</f>
        <v>-0.18783940646311048</v>
      </c>
      <c r="AY83" s="66">
        <f t="shared" si="263"/>
        <v>0.10295041397840432</v>
      </c>
      <c r="AZ83" s="66">
        <f t="shared" si="263"/>
        <v>0.91139320767904608</v>
      </c>
      <c r="BA83" s="66">
        <f t="shared" si="263"/>
        <v>0.5169613768087753</v>
      </c>
      <c r="BB83" s="66">
        <f t="shared" si="263"/>
        <v>6.3626988700353992E-2</v>
      </c>
      <c r="BC83" s="66">
        <f t="shared" ref="BC83" si="264">+BC73/AY73-1</f>
        <v>0.23250916922393094</v>
      </c>
      <c r="BD83" s="66">
        <f t="shared" ref="BD83" si="265">+BD73/AZ73-1</f>
        <v>-0.21073591805089609</v>
      </c>
      <c r="BE83" s="66">
        <f t="shared" ref="BE83" si="266">+BE73/BA73-1</f>
        <v>0.15419301941534758</v>
      </c>
      <c r="BF83" s="66">
        <f t="shared" ref="BF83" si="267">+BF73/BB73-1</f>
        <v>0.3170296226644651</v>
      </c>
      <c r="BG83" s="66">
        <f t="shared" ref="BG83" si="268">+BG73/BC73-1</f>
        <v>-6.9289455650238252E-2</v>
      </c>
      <c r="BH83" s="66">
        <f t="shared" ref="BH83:BK83" si="269">+BH73/BD73-1</f>
        <v>1.0684769275743689E-2</v>
      </c>
      <c r="BI83" s="66">
        <f t="shared" si="269"/>
        <v>0.39398235910848012</v>
      </c>
      <c r="BJ83" s="66">
        <f t="shared" si="269"/>
        <v>0.22523961679788629</v>
      </c>
      <c r="BK83" s="66">
        <f t="shared" si="269"/>
        <v>-0.46882860755108235</v>
      </c>
      <c r="BL83" s="66">
        <f t="shared" ref="BL83" si="270">+BL73/BH73-1</f>
        <v>0.49230638070497101</v>
      </c>
      <c r="BM83" s="66">
        <f t="shared" ref="BM83" si="271">+BM73/BI73-1</f>
        <v>0.24713714508369033</v>
      </c>
      <c r="BN83" s="66">
        <f t="shared" ref="BN83" si="272">+BN73/BJ73-1</f>
        <v>0.43212564887758509</v>
      </c>
      <c r="BO83" s="66">
        <f t="shared" ref="BO83" si="273">+BO73/BK73-1</f>
        <v>1.7513420507993556</v>
      </c>
      <c r="BP83" s="66">
        <f t="shared" ref="BP83:BZ83" si="274">+BP73/BL73-1</f>
        <v>8.6392868503512688E-2</v>
      </c>
      <c r="BQ83" s="66">
        <f t="shared" si="274"/>
        <v>0.11845562103386764</v>
      </c>
      <c r="BR83" s="66">
        <f t="shared" si="274"/>
        <v>-2.3716548886028588E-2</v>
      </c>
      <c r="BS83" s="66">
        <f t="shared" si="274"/>
        <v>0.41134642228191165</v>
      </c>
      <c r="BT83" s="66">
        <f t="shared" si="274"/>
        <v>-6.1677293908494524E-2</v>
      </c>
      <c r="BU83" s="66">
        <f t="shared" si="274"/>
        <v>-9.3928791890615648E-2</v>
      </c>
      <c r="BV83" s="66">
        <f t="shared" si="274"/>
        <v>0.40022763994078892</v>
      </c>
      <c r="BW83" s="66">
        <f t="shared" si="274"/>
        <v>0.24076955289661717</v>
      </c>
      <c r="BX83" s="66">
        <f t="shared" si="274"/>
        <v>0.38318594312768117</v>
      </c>
      <c r="BY83" s="66">
        <f t="shared" si="274"/>
        <v>0.45580624220564636</v>
      </c>
      <c r="BZ83" s="66">
        <f t="shared" si="274"/>
        <v>0.17005727482444555</v>
      </c>
      <c r="CA83" s="66">
        <f>+CA73/BW73-1</f>
        <v>0.43758303199128945</v>
      </c>
      <c r="CB83" s="66">
        <f t="shared" ref="CB83:CH83" si="275">+CB73/BX73-1</f>
        <v>1.1450043970479884E-2</v>
      </c>
      <c r="CC83" s="66">
        <f t="shared" si="275"/>
        <v>2.3716730966681032E-2</v>
      </c>
      <c r="CD83" s="66">
        <f t="shared" si="275"/>
        <v>-7.6791808189561661E-2</v>
      </c>
      <c r="CE83" s="66">
        <f t="shared" si="275"/>
        <v>-0.40528199841427992</v>
      </c>
      <c r="CF83" s="66">
        <f t="shared" si="275"/>
        <v>-0.130248576662779</v>
      </c>
      <c r="CG83" s="66">
        <f t="shared" si="275"/>
        <v>0.55290164074258086</v>
      </c>
      <c r="CH83" s="66">
        <f t="shared" si="275"/>
        <v>0.41397314245262473</v>
      </c>
      <c r="CI83" s="66">
        <f>+CI73/CE73-1</f>
        <v>0.58619396993966544</v>
      </c>
      <c r="CJ83" s="66">
        <f>+CJ73/CF73-1</f>
        <v>1.3907941998578375</v>
      </c>
      <c r="CK83" s="66">
        <f t="shared" ref="CK83" si="276">+CK73/CG73-1</f>
        <v>0.28314553545264509</v>
      </c>
      <c r="CL83" s="66">
        <f t="shared" ref="CL83" si="277">+CL73/CH73-1</f>
        <v>-4.2515877837104421E-2</v>
      </c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48"/>
      <c r="DI83" s="67">
        <f t="shared" ref="DI83:DZ83" si="278">DI73/DH73-1</f>
        <v>-7.8712768439495151E-2</v>
      </c>
      <c r="DJ83" s="67">
        <f t="shared" si="278"/>
        <v>-1.0147762349246858E-2</v>
      </c>
      <c r="DK83" s="67">
        <f t="shared" si="278"/>
        <v>8.8659943146997877E-2</v>
      </c>
      <c r="DL83" s="67">
        <f t="shared" si="278"/>
        <v>1.8914666658705448E-2</v>
      </c>
      <c r="DM83" s="67">
        <f t="shared" si="278"/>
        <v>0.18158561537982321</v>
      </c>
      <c r="DN83" s="67">
        <f t="shared" si="278"/>
        <v>0.355007280514271</v>
      </c>
      <c r="DO83" s="67">
        <f t="shared" si="278"/>
        <v>0.84588192053742906</v>
      </c>
      <c r="DP83" s="67">
        <f t="shared" si="278"/>
        <v>-0.49685325768272748</v>
      </c>
      <c r="DQ83" s="67">
        <f t="shared" si="278"/>
        <v>-0.14043421391571609</v>
      </c>
      <c r="DR83" s="67">
        <f t="shared" si="278"/>
        <v>9.3314477344200064E-2</v>
      </c>
      <c r="DS83" s="67">
        <f t="shared" si="278"/>
        <v>-0.27187767535042584</v>
      </c>
      <c r="DT83" s="67">
        <f t="shared" si="278"/>
        <v>-2.5724967872223239</v>
      </c>
      <c r="DU83" s="67">
        <f t="shared" si="278"/>
        <v>-0.19999999999999984</v>
      </c>
      <c r="DV83" s="67">
        <f t="shared" si="278"/>
        <v>-1</v>
      </c>
      <c r="DW83" s="67" t="e">
        <f t="shared" si="278"/>
        <v>#DIV/0!</v>
      </c>
      <c r="DX83" s="67" t="e">
        <f t="shared" si="278"/>
        <v>#DIV/0!</v>
      </c>
      <c r="DY83" s="67">
        <f t="shared" si="278"/>
        <v>0.32373313187086694</v>
      </c>
      <c r="DZ83" s="67">
        <f t="shared" si="278"/>
        <v>9.1367282249790627E-2</v>
      </c>
      <c r="EA83" s="67"/>
      <c r="EB83" s="67"/>
    </row>
    <row r="84" spans="1:143" x14ac:dyDescent="0.2">
      <c r="A84" s="102"/>
      <c r="DY84" s="47"/>
      <c r="DZ84" s="47"/>
      <c r="EA84" s="47"/>
      <c r="EB84" s="47"/>
    </row>
    <row r="85" spans="1:143" x14ac:dyDescent="0.2">
      <c r="A85" s="102"/>
      <c r="B85" t="s">
        <v>123</v>
      </c>
      <c r="J85" s="64">
        <f t="shared" ref="J85:V85" si="279">J64/J62</f>
        <v>0.73930980486629738</v>
      </c>
      <c r="K85" s="64">
        <f t="shared" si="279"/>
        <v>0.73235178068634854</v>
      </c>
      <c r="L85" s="64">
        <f t="shared" si="279"/>
        <v>0.72475991913065463</v>
      </c>
      <c r="M85" s="64">
        <f t="shared" si="279"/>
        <v>0.73272302052168059</v>
      </c>
      <c r="N85" s="64">
        <f t="shared" si="279"/>
        <v>0.74005151506381495</v>
      </c>
      <c r="O85" s="64">
        <f t="shared" si="279"/>
        <v>0.75013167270812031</v>
      </c>
      <c r="P85" s="64">
        <f t="shared" si="279"/>
        <v>0.74846625766871167</v>
      </c>
      <c r="Q85" s="64">
        <f t="shared" si="279"/>
        <v>0.75506122118009567</v>
      </c>
      <c r="R85" s="64">
        <f t="shared" si="279"/>
        <v>0.81222054008379396</v>
      </c>
      <c r="S85" s="64">
        <f t="shared" si="279"/>
        <v>0.78222379603399439</v>
      </c>
      <c r="T85" s="64">
        <f t="shared" si="279"/>
        <v>0.76181506032714963</v>
      </c>
      <c r="U85" s="64">
        <f t="shared" si="279"/>
        <v>0.82123302764734796</v>
      </c>
      <c r="V85" s="64">
        <f t="shared" si="279"/>
        <v>0.80905231258532484</v>
      </c>
      <c r="W85" s="64">
        <v>0.75800000000000001</v>
      </c>
      <c r="X85" s="64">
        <v>0.75800000000000001</v>
      </c>
      <c r="Y85" s="64">
        <v>0.75800000000000001</v>
      </c>
      <c r="Z85" s="64">
        <v>0.75800000000000001</v>
      </c>
      <c r="AA85" s="64">
        <f t="shared" ref="AA85:AT85" si="280">AA64/AA62</f>
        <v>0.83310846723087617</v>
      </c>
      <c r="AB85" s="64">
        <f t="shared" si="280"/>
        <v>0.81472572601936055</v>
      </c>
      <c r="AC85" s="64">
        <f t="shared" si="280"/>
        <v>0.81087738223660555</v>
      </c>
      <c r="AD85" s="64">
        <f t="shared" si="280"/>
        <v>0.75879676440849342</v>
      </c>
      <c r="AE85" s="64">
        <f t="shared" si="280"/>
        <v>0.79536961079208823</v>
      </c>
      <c r="AF85" s="64">
        <f t="shared" si="280"/>
        <v>0.82189016647241986</v>
      </c>
      <c r="AG85" s="64">
        <f t="shared" si="280"/>
        <v>0.82535191341868852</v>
      </c>
      <c r="AH85" s="64">
        <f t="shared" si="280"/>
        <v>0.80084690974915962</v>
      </c>
      <c r="AI85" s="64">
        <f t="shared" si="280"/>
        <v>0.79790039731470075</v>
      </c>
      <c r="AJ85" s="64">
        <f t="shared" si="280"/>
        <v>0.80360798362333674</v>
      </c>
      <c r="AK85" s="64">
        <f t="shared" si="280"/>
        <v>0.78235552447097467</v>
      </c>
      <c r="AL85" s="64">
        <f t="shared" si="280"/>
        <v>0.78143965075322874</v>
      </c>
      <c r="AM85" s="64">
        <f t="shared" si="280"/>
        <v>0.78618092246180205</v>
      </c>
      <c r="AN85" s="64">
        <f t="shared" si="280"/>
        <v>0.79525042406927948</v>
      </c>
      <c r="AO85" s="64">
        <f t="shared" si="280"/>
        <v>0.77885163068442809</v>
      </c>
      <c r="AP85" s="64">
        <f t="shared" si="280"/>
        <v>0.79045876487670585</v>
      </c>
      <c r="AQ85" s="64">
        <f t="shared" si="280"/>
        <v>0.79323455908604068</v>
      </c>
      <c r="AR85" s="64">
        <f t="shared" si="280"/>
        <v>0.80349764743578933</v>
      </c>
      <c r="AS85" s="64">
        <f t="shared" si="280"/>
        <v>0.79245054221667877</v>
      </c>
      <c r="AT85" s="64">
        <f t="shared" si="280"/>
        <v>0.76131042556121742</v>
      </c>
      <c r="AU85" s="64">
        <f t="shared" ref="AU85:AV85" si="281">AU64/AU62</f>
        <v>0.73891225897375679</v>
      </c>
      <c r="AV85" s="64">
        <f t="shared" si="281"/>
        <v>0.75895534484155935</v>
      </c>
      <c r="AW85" s="64">
        <f t="shared" ref="AW85:AX85" si="282">AW64/AW62</f>
        <v>0.74013454754286656</v>
      </c>
      <c r="AX85" s="64">
        <f t="shared" si="282"/>
        <v>0.75531603303848638</v>
      </c>
      <c r="AY85" s="64">
        <f t="shared" ref="AY85" si="283">AY64/AY62</f>
        <v>0.74321269403836632</v>
      </c>
      <c r="AZ85" s="64">
        <f t="shared" ref="AZ85" si="284">AZ64/AZ62</f>
        <v>0.79233534858497201</v>
      </c>
      <c r="BA85" s="64">
        <f t="shared" ref="BA85" si="285">BA64/BA62</f>
        <v>0.75060991592233395</v>
      </c>
      <c r="BB85" s="64">
        <f t="shared" ref="BB85" si="286">BB64/BB62</f>
        <v>0.7415730337078652</v>
      </c>
      <c r="BC85" s="64">
        <f t="shared" ref="BC85:BD85" si="287">BC64/BC62</f>
        <v>0.72806314361472535</v>
      </c>
      <c r="BD85" s="64">
        <f t="shared" si="287"/>
        <v>0.75976909413854343</v>
      </c>
      <c r="BE85" s="64">
        <f t="shared" ref="BE85:BF85" si="288">BE64/BE62</f>
        <v>0.73016545640156405</v>
      </c>
      <c r="BF85" s="64">
        <f t="shared" si="288"/>
        <v>0.74550820241298499</v>
      </c>
      <c r="BG85" s="64">
        <f t="shared" ref="BG85:BH85" si="289">BG64/BG62</f>
        <v>0.74219153453321351</v>
      </c>
      <c r="BH85" s="64">
        <f t="shared" si="289"/>
        <v>0.73014782892364749</v>
      </c>
      <c r="BI85" s="64">
        <f t="shared" ref="BI85:BK85" si="290">BI64/BI62</f>
        <v>0.71963591375044178</v>
      </c>
      <c r="BJ85" s="64">
        <f t="shared" si="290"/>
        <v>0.73300112000259698</v>
      </c>
      <c r="BK85" s="64">
        <f t="shared" si="290"/>
        <v>0.68344816471251857</v>
      </c>
      <c r="BL85" s="64">
        <f t="shared" ref="BL85" si="291">BL64/BL62</f>
        <v>0.7320776686807654</v>
      </c>
      <c r="BM85" s="64">
        <f t="shared" ref="BM85" si="292">BM64/BM62</f>
        <v>0.74227552417558851</v>
      </c>
      <c r="BN85" s="64">
        <f t="shared" ref="BN85:BO85" si="293">BN64/BN62</f>
        <v>0.75247724660640514</v>
      </c>
      <c r="BO85" s="64">
        <f t="shared" si="293"/>
        <v>0.80155535044480652</v>
      </c>
      <c r="BP85" s="64">
        <f t="shared" ref="BP85:BQ85" si="294">BP64/BP62</f>
        <v>0.80959054782855522</v>
      </c>
      <c r="BQ85" s="64">
        <f t="shared" si="294"/>
        <v>0.79578570646021263</v>
      </c>
      <c r="BR85" s="64">
        <f t="shared" ref="BR85:BS85" si="295">BR64/BR62</f>
        <v>0.79891393241519193</v>
      </c>
      <c r="BS85" s="64">
        <f t="shared" si="295"/>
        <v>0.80263831530086338</v>
      </c>
      <c r="BT85" s="64">
        <f t="shared" ref="BT85:BZ85" si="296">BT64/BT62</f>
        <v>0.79648688947885227</v>
      </c>
      <c r="BU85" s="64">
        <f t="shared" si="296"/>
        <v>0.79098003692993768</v>
      </c>
      <c r="BV85" s="64">
        <f t="shared" si="296"/>
        <v>0.76884719291407366</v>
      </c>
      <c r="BW85" s="64">
        <f t="shared" si="296"/>
        <v>0.75440813447748922</v>
      </c>
      <c r="BX85" s="64">
        <f t="shared" si="296"/>
        <v>0.7925816023738872</v>
      </c>
      <c r="BY85" s="64">
        <f t="shared" si="296"/>
        <v>0.79007825188247449</v>
      </c>
      <c r="BZ85" s="64">
        <f t="shared" si="296"/>
        <v>0.74372179652245651</v>
      </c>
      <c r="CA85" s="64">
        <f>CA64/CA62</f>
        <v>0.76088654434642322</v>
      </c>
      <c r="CB85" s="64">
        <f t="shared" ref="CB85:CH85" si="297">CB64/CB62</f>
        <v>0.79820897362783039</v>
      </c>
      <c r="CC85" s="64">
        <f t="shared" si="297"/>
        <v>0.77251314557372319</v>
      </c>
      <c r="CD85" s="64">
        <f t="shared" si="297"/>
        <v>0.80498226488996016</v>
      </c>
      <c r="CE85" s="64">
        <f t="shared" si="297"/>
        <v>0.78435964483779197</v>
      </c>
      <c r="CF85" s="64">
        <f t="shared" si="297"/>
        <v>0.78262556250969839</v>
      </c>
      <c r="CG85" s="64">
        <f t="shared" si="297"/>
        <v>0.79</v>
      </c>
      <c r="CH85" s="64">
        <f t="shared" si="297"/>
        <v>0.82262375708328883</v>
      </c>
      <c r="CI85" s="64">
        <f t="shared" ref="CI85:CL85" si="298">CI64/CI62</f>
        <v>0.82499800408307578</v>
      </c>
      <c r="CJ85" s="64">
        <f t="shared" si="298"/>
        <v>0.82030116431326749</v>
      </c>
      <c r="CK85" s="64">
        <f t="shared" si="298"/>
        <v>0.81</v>
      </c>
      <c r="CL85" s="64">
        <f t="shared" si="298"/>
        <v>0.81</v>
      </c>
      <c r="CM85" s="64"/>
      <c r="CN85" s="64"/>
      <c r="CO85" s="64"/>
      <c r="CP85" s="64"/>
      <c r="DL85" s="64">
        <f>DL64/DL62</f>
        <v>0.76286689419795217</v>
      </c>
      <c r="DM85" s="64">
        <f>DM64/DM62</f>
        <v>0.77818608040041815</v>
      </c>
      <c r="DN85" s="64">
        <v>0.78</v>
      </c>
      <c r="DO85" s="64">
        <f>DO64/DO62</f>
        <v>1.0500260329761233</v>
      </c>
      <c r="DP85" s="64">
        <f>DP64/DP62</f>
        <v>0.82263518056731488</v>
      </c>
      <c r="DQ85" s="64">
        <f>DQ64/DQ62</f>
        <v>0.80057367839296967</v>
      </c>
      <c r="DR85" s="64">
        <f>DR64/DR62</f>
        <v>0.78775238406352488</v>
      </c>
      <c r="DS85" s="64">
        <f>DS64/DS62</f>
        <v>0.78199213689975688</v>
      </c>
      <c r="DT85" s="64"/>
      <c r="DU85" s="64"/>
      <c r="DV85" s="64"/>
      <c r="DW85" s="64"/>
      <c r="DX85" s="64"/>
      <c r="DY85" s="64"/>
      <c r="DZ85" s="64">
        <f t="shared" ref="DZ85" si="299">DZ64/DZ62</f>
        <v>0.80144538583199287</v>
      </c>
      <c r="EA85" s="64">
        <f t="shared" ref="EA85:EK85" si="300">EA64/EA62</f>
        <v>0.78828764583392763</v>
      </c>
      <c r="EB85" s="64">
        <f t="shared" si="300"/>
        <v>0.7690061267369388</v>
      </c>
      <c r="EC85" s="64">
        <f t="shared" si="300"/>
        <v>0.78347943688816957</v>
      </c>
      <c r="ED85" s="64">
        <f t="shared" si="300"/>
        <v>0.79650096030829476</v>
      </c>
      <c r="EE85" s="64">
        <f>EE64/EE62</f>
        <v>0.81623409310921413</v>
      </c>
      <c r="EF85" s="64">
        <f t="shared" si="300"/>
        <v>0.79</v>
      </c>
      <c r="EG85" s="64">
        <f t="shared" si="300"/>
        <v>0.79</v>
      </c>
      <c r="EH85" s="64">
        <f t="shared" si="300"/>
        <v>0.79</v>
      </c>
      <c r="EI85" s="64">
        <f t="shared" si="300"/>
        <v>0.79</v>
      </c>
      <c r="EJ85" s="64">
        <f t="shared" si="300"/>
        <v>0.79</v>
      </c>
      <c r="EK85" s="64">
        <f t="shared" si="300"/>
        <v>0.85</v>
      </c>
    </row>
    <row r="86" spans="1:143" x14ac:dyDescent="0.2">
      <c r="A86" s="102"/>
      <c r="B86" t="s">
        <v>59</v>
      </c>
      <c r="J86" s="64">
        <f t="shared" ref="J86:AT86" si="301">J65/J62</f>
        <v>0.33064321850156586</v>
      </c>
      <c r="K86" s="64">
        <f t="shared" si="301"/>
        <v>0.33962346804642624</v>
      </c>
      <c r="L86" s="64">
        <f t="shared" si="301"/>
        <v>0.36204826889057362</v>
      </c>
      <c r="M86" s="64">
        <f t="shared" si="301"/>
        <v>0.33844970713412842</v>
      </c>
      <c r="N86" s="64">
        <f t="shared" si="301"/>
        <v>0.3443984603362949</v>
      </c>
      <c r="O86" s="64">
        <f t="shared" si="301"/>
        <v>0.35412213030950829</v>
      </c>
      <c r="P86" s="64">
        <f t="shared" si="301"/>
        <v>0.36167104878761319</v>
      </c>
      <c r="Q86" s="64">
        <f t="shared" si="301"/>
        <v>0.35200151363624077</v>
      </c>
      <c r="R86" s="64">
        <f t="shared" si="301"/>
        <v>0.25034327359785935</v>
      </c>
      <c r="S86" s="64">
        <f t="shared" si="301"/>
        <v>0.31558073654390933</v>
      </c>
      <c r="T86" s="64">
        <f t="shared" si="301"/>
        <v>0.36356049406266394</v>
      </c>
      <c r="U86" s="64">
        <f t="shared" si="301"/>
        <v>0.25050429711999733</v>
      </c>
      <c r="V86" s="64">
        <f t="shared" si="301"/>
        <v>0.26340819418815725</v>
      </c>
      <c r="W86" s="64">
        <f t="shared" si="301"/>
        <v>0.24840590855202022</v>
      </c>
      <c r="X86" s="64">
        <f t="shared" si="301"/>
        <v>0.25361378384426048</v>
      </c>
      <c r="Y86" s="64">
        <f t="shared" si="301"/>
        <v>0.24264002707116478</v>
      </c>
      <c r="Z86" s="64">
        <f t="shared" si="301"/>
        <v>0.32983398906055078</v>
      </c>
      <c r="AA86" s="64">
        <f t="shared" si="301"/>
        <v>0.31260476716137209</v>
      </c>
      <c r="AB86" s="64">
        <f t="shared" si="301"/>
        <v>0.33405690818421824</v>
      </c>
      <c r="AC86" s="64">
        <f t="shared" si="301"/>
        <v>0.30596907587198846</v>
      </c>
      <c r="AD86" s="64">
        <f t="shared" si="301"/>
        <v>0.32917087967644082</v>
      </c>
      <c r="AE86" s="64">
        <f t="shared" si="301"/>
        <v>0.29430316288396685</v>
      </c>
      <c r="AF86" s="64">
        <f t="shared" si="301"/>
        <v>0.3053559935289718</v>
      </c>
      <c r="AG86" s="64">
        <f t="shared" si="301"/>
        <v>0.2997276649925727</v>
      </c>
      <c r="AH86" s="64">
        <f t="shared" si="301"/>
        <v>0.32142164468580292</v>
      </c>
      <c r="AI86" s="64">
        <f t="shared" si="301"/>
        <v>0.30581244006028224</v>
      </c>
      <c r="AJ86" s="64">
        <f t="shared" si="301"/>
        <v>0.32673362333674522</v>
      </c>
      <c r="AK86" s="64">
        <f t="shared" si="301"/>
        <v>0.31193376815601565</v>
      </c>
      <c r="AL86" s="64">
        <f t="shared" si="301"/>
        <v>0.35278554065450696</v>
      </c>
      <c r="AM86" s="64">
        <f t="shared" si="301"/>
        <v>0.32976938454947874</v>
      </c>
      <c r="AN86" s="64">
        <f t="shared" si="301"/>
        <v>0.34480849924113921</v>
      </c>
      <c r="AO86" s="64">
        <f t="shared" si="301"/>
        <v>0.32290307762976572</v>
      </c>
      <c r="AP86" s="64">
        <f t="shared" si="301"/>
        <v>0.33194568008997366</v>
      </c>
      <c r="AQ86" s="64">
        <f t="shared" si="301"/>
        <v>0.29489468047126027</v>
      </c>
      <c r="AR86" s="64">
        <f t="shared" si="301"/>
        <v>0.3149569118167867</v>
      </c>
      <c r="AS86" s="64">
        <f t="shared" si="301"/>
        <v>0.28624883068288121</v>
      </c>
      <c r="AT86" s="64">
        <f t="shared" si="301"/>
        <v>0.3363173116650599</v>
      </c>
      <c r="AU86" s="64">
        <f t="shared" ref="AU86:AV86" si="302">AU65/AU62</f>
        <v>0.31707629561615169</v>
      </c>
      <c r="AV86" s="64">
        <f t="shared" si="302"/>
        <v>0.33712213307399302</v>
      </c>
      <c r="AW86" s="64">
        <f t="shared" ref="AW86:AX86" si="303">AW65/AW62</f>
        <v>0.34295266223644266</v>
      </c>
      <c r="AX86" s="64">
        <f t="shared" si="303"/>
        <v>0.35145373245074496</v>
      </c>
      <c r="AY86" s="64">
        <f t="shared" ref="AY86" si="304">AY65/AY62</f>
        <v>0.32800826748767414</v>
      </c>
      <c r="AZ86" s="64">
        <f t="shared" ref="AZ86" si="305">AZ65/AZ62</f>
        <v>0.32847932191134233</v>
      </c>
      <c r="BA86" s="64">
        <f t="shared" ref="BA86" si="306">BA65/BA62</f>
        <v>0.31770066737907537</v>
      </c>
      <c r="BB86" s="64">
        <f t="shared" ref="BB86" si="307">BB65/BB62</f>
        <v>0.33454870154029315</v>
      </c>
      <c r="BC86" s="64">
        <f t="shared" ref="BC86:BD86" si="308">BC65/BC62</f>
        <v>0.30295369057162236</v>
      </c>
      <c r="BD86" s="64">
        <f t="shared" si="308"/>
        <v>0.30021462403789223</v>
      </c>
      <c r="BE86" s="64">
        <f t="shared" ref="BE86:BF86" si="309">BE65/BE62</f>
        <v>0.30151973342065225</v>
      </c>
      <c r="BF86" s="64">
        <f t="shared" si="309"/>
        <v>0.31075427480253448</v>
      </c>
      <c r="BG86" s="64">
        <f t="shared" ref="BG86:BH86" si="310">BG65/BG62</f>
        <v>0.29984889925979763</v>
      </c>
      <c r="BH86" s="64">
        <f t="shared" si="310"/>
        <v>0.29710008069639271</v>
      </c>
      <c r="BI86" s="64">
        <f t="shared" ref="BI86:BK86" si="311">BI65/BI62</f>
        <v>0.27898550724637683</v>
      </c>
      <c r="BJ86" s="64">
        <f t="shared" si="311"/>
        <v>0.29274270780917755</v>
      </c>
      <c r="BK86" s="64">
        <f t="shared" si="311"/>
        <v>0.30218783996131993</v>
      </c>
      <c r="BL86" s="64">
        <f t="shared" ref="BL86" si="312">BL65/BL62</f>
        <v>0.26021210976837866</v>
      </c>
      <c r="BM86" s="64">
        <f t="shared" ref="BM86" si="313">BM65/BM62</f>
        <v>0.26668206337946848</v>
      </c>
      <c r="BN86" s="64">
        <f t="shared" ref="BN86:BO86" si="314">BN65/BN62</f>
        <v>0.28911564625850339</v>
      </c>
      <c r="BO86" s="64">
        <f t="shared" si="314"/>
        <v>0.29793209088588218</v>
      </c>
      <c r="BP86" s="64">
        <f t="shared" ref="BP86:BQ86" si="315">BP65/BP62</f>
        <v>0.28141853533919947</v>
      </c>
      <c r="BQ86" s="64">
        <f t="shared" si="315"/>
        <v>0.25787897600701165</v>
      </c>
      <c r="BR86" s="64">
        <f t="shared" ref="BR86:BS86" si="316">BR65/BR62</f>
        <v>0.27774869966305737</v>
      </c>
      <c r="BS86" s="64">
        <f t="shared" si="316"/>
        <v>0.26444588552510334</v>
      </c>
      <c r="BT86" s="64">
        <f t="shared" ref="BT86:BZ86" si="317">BT65/BT62</f>
        <v>0.26341055387860496</v>
      </c>
      <c r="BU86" s="64">
        <f t="shared" si="317"/>
        <v>0.27333379786085082</v>
      </c>
      <c r="BV86" s="64">
        <f t="shared" si="317"/>
        <v>0.20885471969462779</v>
      </c>
      <c r="BW86" s="64">
        <f t="shared" si="317"/>
        <v>0.23157399788409544</v>
      </c>
      <c r="BX86" s="64">
        <f t="shared" si="317"/>
        <v>0.25010385756676567</v>
      </c>
      <c r="BY86" s="64">
        <f t="shared" si="317"/>
        <v>0.23296914218219408</v>
      </c>
      <c r="BZ86" s="64">
        <f t="shared" si="317"/>
        <v>0.19900248753109415</v>
      </c>
      <c r="CA86" s="64">
        <f>CA65/CA62</f>
        <v>0.1994724779452248</v>
      </c>
      <c r="CB86" s="64">
        <f t="shared" ref="CB86:CH86" si="318">CB65/CB62</f>
        <v>0.27464973257910874</v>
      </c>
      <c r="CC86" s="64">
        <f t="shared" si="318"/>
        <v>0.232543398400922</v>
      </c>
      <c r="CD86" s="64">
        <f t="shared" si="318"/>
        <v>0.22503731905394483</v>
      </c>
      <c r="CE86" s="64">
        <f t="shared" si="318"/>
        <v>0.25131461739605188</v>
      </c>
      <c r="CF86" s="64">
        <f t="shared" si="318"/>
        <v>0.24897843066259767</v>
      </c>
      <c r="CG86" s="64">
        <f t="shared" si="318"/>
        <v>0.19980937527077383</v>
      </c>
      <c r="CH86" s="64">
        <f t="shared" si="318"/>
        <v>0.20577354859403391</v>
      </c>
      <c r="CI86" s="64">
        <f t="shared" ref="CI86:CL86" si="319">CI65/CI62</f>
        <v>0.22265308682808885</v>
      </c>
      <c r="CJ86" s="64">
        <f t="shared" si="319"/>
        <v>0.18732526453622114</v>
      </c>
      <c r="CK86" s="64">
        <f t="shared" si="319"/>
        <v>0.18452984702361158</v>
      </c>
      <c r="CL86" s="64">
        <f t="shared" si="319"/>
        <v>0.2100799809474666</v>
      </c>
      <c r="CM86" s="64"/>
      <c r="CN86" s="64"/>
      <c r="CO86" s="64"/>
      <c r="CP86" s="64"/>
      <c r="DH86" s="64">
        <f t="shared" ref="DH86:EA86" si="320">DH65/DH62</f>
        <v>0.29383437956832059</v>
      </c>
      <c r="DI86" s="64">
        <f t="shared" si="320"/>
        <v>0.30691454079346014</v>
      </c>
      <c r="DJ86" s="64">
        <f t="shared" si="320"/>
        <v>0.32220897894318634</v>
      </c>
      <c r="DK86" s="64">
        <f t="shared" si="320"/>
        <v>0.30911321163143085</v>
      </c>
      <c r="DL86" s="64">
        <f t="shared" si="320"/>
        <v>0.30696245733788396</v>
      </c>
      <c r="DM86" s="64">
        <f t="shared" si="320"/>
        <v>0.30107390629454817</v>
      </c>
      <c r="DN86" s="64">
        <f t="shared" si="320"/>
        <v>0.26468097532486495</v>
      </c>
      <c r="DO86" s="64">
        <f t="shared" si="320"/>
        <v>0.33758834028714957</v>
      </c>
      <c r="DP86" s="64">
        <f t="shared" si="320"/>
        <v>0.32861448926124026</v>
      </c>
      <c r="DQ86" s="64">
        <f t="shared" si="320"/>
        <v>0.32216426568252204</v>
      </c>
      <c r="DR86" s="64">
        <f t="shared" si="320"/>
        <v>0.33001637538582668</v>
      </c>
      <c r="DS86" s="64">
        <f t="shared" si="320"/>
        <v>0.34149944321978049</v>
      </c>
      <c r="DT86" s="64">
        <f t="shared" si="320"/>
        <v>0.30882162063937763</v>
      </c>
      <c r="DU86" s="64">
        <f t="shared" si="320"/>
        <v>0.2911066135799385</v>
      </c>
      <c r="DV86" s="64">
        <f t="shared" si="320"/>
        <v>0</v>
      </c>
      <c r="DW86" s="64">
        <f t="shared" si="320"/>
        <v>0</v>
      </c>
      <c r="DX86" s="64">
        <f t="shared" si="320"/>
        <v>0.29950636320853891</v>
      </c>
      <c r="DY86" s="64">
        <f t="shared" si="320"/>
        <v>0.27800084678338632</v>
      </c>
      <c r="DZ86" s="64">
        <f t="shared" ref="DZ86" si="321">DZ65/DZ62</f>
        <v>0.27840478868064855</v>
      </c>
      <c r="EA86" s="64">
        <f t="shared" si="320"/>
        <v>0.24943866926923092</v>
      </c>
      <c r="EB86" s="64">
        <f>EB65/EB62</f>
        <v>0.22711654925225563</v>
      </c>
      <c r="EC86" s="64">
        <f t="shared" ref="EC86:EK86" si="322">EC65/EC62</f>
        <v>0.23114493332492445</v>
      </c>
      <c r="ED86" s="64">
        <f t="shared" si="322"/>
        <v>0.22454093528113528</v>
      </c>
      <c r="EE86" s="64">
        <f t="shared" si="322"/>
        <v>0.20020316566299137</v>
      </c>
      <c r="EF86" s="64">
        <f t="shared" si="322"/>
        <v>0.25</v>
      </c>
      <c r="EG86" s="64">
        <f t="shared" si="322"/>
        <v>0.25</v>
      </c>
      <c r="EH86" s="64">
        <f t="shared" si="322"/>
        <v>0.25</v>
      </c>
      <c r="EI86" s="64">
        <f t="shared" si="322"/>
        <v>0.25</v>
      </c>
      <c r="EJ86" s="64">
        <f t="shared" si="322"/>
        <v>0.25</v>
      </c>
      <c r="EK86" s="64">
        <f t="shared" si="322"/>
        <v>0.25</v>
      </c>
    </row>
    <row r="87" spans="1:143" x14ac:dyDescent="0.2">
      <c r="A87" s="102"/>
      <c r="B87" t="s">
        <v>60</v>
      </c>
      <c r="J87" s="64">
        <f t="shared" ref="J87:AT87" si="323">J66/J62</f>
        <v>0.21259937364490483</v>
      </c>
      <c r="K87" s="64">
        <f t="shared" si="323"/>
        <v>0.2187299766684323</v>
      </c>
      <c r="L87" s="64">
        <f t="shared" si="323"/>
        <v>0.24083901945918626</v>
      </c>
      <c r="M87" s="64">
        <f t="shared" si="323"/>
        <v>0.23734777295520629</v>
      </c>
      <c r="N87" s="64">
        <f t="shared" si="323"/>
        <v>0.23442248140537719</v>
      </c>
      <c r="O87" s="64">
        <f t="shared" si="323"/>
        <v>0.22957523933451063</v>
      </c>
      <c r="P87" s="64">
        <f t="shared" si="323"/>
        <v>0.22640958223780311</v>
      </c>
      <c r="Q87" s="64">
        <f t="shared" si="323"/>
        <v>0.21320647620077304</v>
      </c>
      <c r="R87" s="64">
        <f t="shared" si="323"/>
        <v>0.15667359081787136</v>
      </c>
      <c r="S87" s="64">
        <f t="shared" si="323"/>
        <v>0.19693106704438151</v>
      </c>
      <c r="T87" s="64">
        <f t="shared" si="323"/>
        <v>0.20372931470265629</v>
      </c>
      <c r="U87" s="64">
        <f t="shared" si="323"/>
        <v>0.14315257742444021</v>
      </c>
      <c r="V87" s="64">
        <f t="shared" si="323"/>
        <v>0.14306074380785214</v>
      </c>
      <c r="W87" s="64">
        <f t="shared" si="323"/>
        <v>0.14052036271588322</v>
      </c>
      <c r="X87" s="64">
        <f t="shared" si="323"/>
        <v>0.14194077720593723</v>
      </c>
      <c r="Y87" s="64">
        <f t="shared" si="323"/>
        <v>0.14021097853433181</v>
      </c>
      <c r="Z87" s="64">
        <f t="shared" si="323"/>
        <v>0.19884847903272238</v>
      </c>
      <c r="AA87" s="64">
        <f t="shared" si="323"/>
        <v>0.19365059896152745</v>
      </c>
      <c r="AB87" s="64">
        <f t="shared" si="323"/>
        <v>0.20346142563801703</v>
      </c>
      <c r="AC87" s="64">
        <f t="shared" si="323"/>
        <v>0.20174397698669541</v>
      </c>
      <c r="AD87" s="64">
        <f t="shared" si="323"/>
        <v>0.2050387596899225</v>
      </c>
      <c r="AE87" s="64">
        <f t="shared" si="323"/>
        <v>0.1894266703126424</v>
      </c>
      <c r="AF87" s="64">
        <f t="shared" si="323"/>
        <v>0.20651625584914851</v>
      </c>
      <c r="AG87" s="64">
        <f t="shared" si="323"/>
        <v>0.2157105467921058</v>
      </c>
      <c r="AH87" s="64">
        <f t="shared" si="323"/>
        <v>0.23243147142487713</v>
      </c>
      <c r="AI87" s="64">
        <f t="shared" si="323"/>
        <v>0.19249212220852172</v>
      </c>
      <c r="AJ87" s="64">
        <f t="shared" si="323"/>
        <v>0.20160568065506657</v>
      </c>
      <c r="AK87" s="64">
        <f t="shared" si="323"/>
        <v>0.20834078821099203</v>
      </c>
      <c r="AL87" s="64">
        <f t="shared" si="323"/>
        <v>0.22411654788087243</v>
      </c>
      <c r="AM87" s="64">
        <f t="shared" si="323"/>
        <v>0.20553691275167782</v>
      </c>
      <c r="AN87" s="64">
        <f t="shared" si="323"/>
        <v>0.23581823051513262</v>
      </c>
      <c r="AO87" s="64">
        <f t="shared" si="323"/>
        <v>0.24672485071198896</v>
      </c>
      <c r="AP87" s="64">
        <f t="shared" si="323"/>
        <v>0.2455978379467208</v>
      </c>
      <c r="AQ87" s="64">
        <f t="shared" si="323"/>
        <v>0.24064619778650481</v>
      </c>
      <c r="AR87" s="64">
        <f t="shared" si="323"/>
        <v>0.22436210938158763</v>
      </c>
      <c r="AS87" s="64">
        <f t="shared" si="323"/>
        <v>0.23860998510203374</v>
      </c>
      <c r="AT87" s="64">
        <f t="shared" si="323"/>
        <v>0.25399394022861865</v>
      </c>
      <c r="AU87" s="64">
        <f t="shared" ref="AU87:AV87" si="324">AU66/AU62</f>
        <v>0.23687301146676343</v>
      </c>
      <c r="AV87" s="64">
        <f t="shared" si="324"/>
        <v>0.24219952994570063</v>
      </c>
      <c r="AW87" s="64">
        <f t="shared" ref="AW87:AX87" si="325">AW66/AW62</f>
        <v>0.25498400196898841</v>
      </c>
      <c r="AX87" s="64">
        <f t="shared" si="325"/>
        <v>0.2315232460508074</v>
      </c>
      <c r="AY87" s="64">
        <f t="shared" ref="AY87" si="326">AY66/AY62</f>
        <v>0.22376041509677697</v>
      </c>
      <c r="AZ87" s="64">
        <f t="shared" ref="AZ87" si="327">AZ66/AZ62</f>
        <v>0.23490067688352381</v>
      </c>
      <c r="BA87" s="64">
        <f t="shared" ref="BA87" si="328">BA66/BA62</f>
        <v>0.230538137387342</v>
      </c>
      <c r="BB87" s="64">
        <f t="shared" ref="BB87" si="329">BB66/BB62</f>
        <v>0.26865838232011308</v>
      </c>
      <c r="BC87" s="64">
        <f t="shared" ref="BC87:BD87" si="330">BC66/BC62</f>
        <v>0.25097120305851883</v>
      </c>
      <c r="BD87" s="64">
        <f t="shared" si="330"/>
        <v>0.24716918294849025</v>
      </c>
      <c r="BE87" s="64">
        <f t="shared" ref="BE87:BF87" si="331">BE66/BE62</f>
        <v>0.23814935377621976</v>
      </c>
      <c r="BF87" s="64">
        <f t="shared" si="331"/>
        <v>0.25181841854005726</v>
      </c>
      <c r="BG87" s="64">
        <f t="shared" ref="BG87:BH87" si="332">BG66/BG62</f>
        <v>0.24067096379320235</v>
      </c>
      <c r="BH87" s="64">
        <f t="shared" si="332"/>
        <v>0.21841251309170198</v>
      </c>
      <c r="BI87" s="64">
        <f t="shared" ref="BI87:BK87" si="333">BI66/BI62</f>
        <v>0.23683280311063981</v>
      </c>
      <c r="BJ87" s="64">
        <f t="shared" si="333"/>
        <v>0.24135244371581155</v>
      </c>
      <c r="BK87" s="64">
        <f t="shared" si="333"/>
        <v>0.23709657923365166</v>
      </c>
      <c r="BL87" s="64">
        <f t="shared" ref="BL87" si="334">BL66/BL62</f>
        <v>0.20976523162134944</v>
      </c>
      <c r="BM87" s="64">
        <f t="shared" ref="BM87" si="335">BM66/BM62</f>
        <v>0.22159718900014846</v>
      </c>
      <c r="BN87" s="64">
        <f t="shared" ref="BN87:BO87" si="336">BN66/BN62</f>
        <v>0.22579442735998506</v>
      </c>
      <c r="BO87" s="64">
        <f t="shared" si="336"/>
        <v>0.2416488285776007</v>
      </c>
      <c r="BP87" s="64">
        <f t="shared" ref="BP87:BQ87" si="337">BP66/BP62</f>
        <v>0.24875816065852963</v>
      </c>
      <c r="BQ87" s="64">
        <f t="shared" si="337"/>
        <v>0.25214549172844464</v>
      </c>
      <c r="BR87" s="64">
        <f t="shared" ref="BR87:BS87" si="338">BR66/BR62</f>
        <v>0.25866073473126372</v>
      </c>
      <c r="BS87" s="64">
        <f t="shared" si="338"/>
        <v>0.23756783507969564</v>
      </c>
      <c r="BT87" s="64">
        <f t="shared" ref="BT87:BZ87" si="339">BT66/BT62</f>
        <v>0.25279121358693685</v>
      </c>
      <c r="BU87" s="64">
        <f t="shared" si="339"/>
        <v>0.25526948402606009</v>
      </c>
      <c r="BV87" s="64">
        <f t="shared" si="339"/>
        <v>0.24703969032674294</v>
      </c>
      <c r="BW87" s="64">
        <f t="shared" si="339"/>
        <v>0.24569472199365225</v>
      </c>
      <c r="BX87" s="64">
        <f t="shared" si="339"/>
        <v>0.24818991097922857</v>
      </c>
      <c r="BY87" s="64">
        <f t="shared" si="339"/>
        <v>0.25231064520891783</v>
      </c>
      <c r="BZ87" s="64">
        <f t="shared" si="339"/>
        <v>0.24492806160077002</v>
      </c>
      <c r="CA87" s="64">
        <f>CA66/CA62</f>
        <v>0.20615613116349343</v>
      </c>
      <c r="CB87" s="64">
        <f t="shared" ref="CB87:CH87" si="340">CB66/CB62</f>
        <v>0.25048166587031234</v>
      </c>
      <c r="CC87" s="64">
        <f t="shared" si="340"/>
        <v>0.25972772455521143</v>
      </c>
      <c r="CD87" s="64">
        <f t="shared" si="340"/>
        <v>0.27333981566441606</v>
      </c>
      <c r="CE87" s="64">
        <f t="shared" si="340"/>
        <v>0.28520732162868884</v>
      </c>
      <c r="CF87" s="64">
        <f t="shared" si="340"/>
        <v>0.3047250814669219</v>
      </c>
      <c r="CG87" s="64">
        <f t="shared" si="340"/>
        <v>0.22316709371557311</v>
      </c>
      <c r="CH87" s="64">
        <f t="shared" si="340"/>
        <v>0.27399764781353564</v>
      </c>
      <c r="CI87" s="64">
        <f t="shared" ref="CI87:CL87" si="341">CI66/CI62</f>
        <v>0.28773138379771668</v>
      </c>
      <c r="CJ87" s="64">
        <f t="shared" si="341"/>
        <v>0.2398697667834519</v>
      </c>
      <c r="CK87" s="64">
        <f t="shared" si="341"/>
        <v>0.20610138842700371</v>
      </c>
      <c r="CL87" s="64">
        <f t="shared" si="341"/>
        <v>0.27973187528529186</v>
      </c>
      <c r="CM87" s="64"/>
      <c r="CN87" s="64"/>
      <c r="CO87" s="64"/>
      <c r="CP87" s="64"/>
      <c r="DY87" s="53"/>
      <c r="DZ87" s="64">
        <f t="shared" ref="DZ87" si="342">+DZ66/DZ62</f>
        <v>0.25067990483572516</v>
      </c>
      <c r="EA87" s="64">
        <f t="shared" ref="EA87" si="343">+EA66/EA62</f>
        <v>0.24799204560735785</v>
      </c>
      <c r="EB87" s="64">
        <f t="shared" ref="EB87" si="344">+EB66/EB62</f>
        <v>0.2476543602238819</v>
      </c>
      <c r="EC87" s="64">
        <f>+EC66/EC62</f>
        <v>0.24644901791783161</v>
      </c>
      <c r="ED87" s="64">
        <f>+ED66/ED62</f>
        <v>0.27104040143065705</v>
      </c>
    </row>
    <row r="88" spans="1:143" x14ac:dyDescent="0.2">
      <c r="A88" s="102"/>
      <c r="B88" t="s">
        <v>206</v>
      </c>
      <c r="J88" s="64">
        <f t="shared" ref="J88:V88" si="345">J71/J70</f>
        <v>0.31935573451818922</v>
      </c>
      <c r="K88" s="64">
        <f t="shared" si="345"/>
        <v>0.31638030092874975</v>
      </c>
      <c r="L88" s="64">
        <f t="shared" si="345"/>
        <v>0.47611317254174368</v>
      </c>
      <c r="M88" s="64">
        <f t="shared" si="345"/>
        <v>0.38536054109824602</v>
      </c>
      <c r="N88" s="64">
        <f t="shared" si="345"/>
        <v>0.30359645025688908</v>
      </c>
      <c r="O88" s="64">
        <f t="shared" si="345"/>
        <v>0.3900210822206604</v>
      </c>
      <c r="P88" s="64">
        <f t="shared" si="345"/>
        <v>0.3674496644295302</v>
      </c>
      <c r="Q88" s="64">
        <f t="shared" si="345"/>
        <v>0.31622706422018343</v>
      </c>
      <c r="R88" s="64">
        <f t="shared" si="345"/>
        <v>9.6808646985944338E-2</v>
      </c>
      <c r="S88" s="64">
        <f t="shared" si="345"/>
        <v>0.21815718157181574</v>
      </c>
      <c r="T88" s="64">
        <f t="shared" si="345"/>
        <v>0.32179549902152643</v>
      </c>
      <c r="U88" s="64">
        <f t="shared" si="345"/>
        <v>0.10236373532384734</v>
      </c>
      <c r="V88" s="64">
        <f t="shared" si="345"/>
        <v>7.2875239357784644E-2</v>
      </c>
      <c r="W88" s="64">
        <v>0.22</v>
      </c>
      <c r="X88" s="64">
        <v>0.22</v>
      </c>
      <c r="Y88" s="64">
        <v>0.22</v>
      </c>
      <c r="Z88" s="64">
        <v>0.22</v>
      </c>
      <c r="AA88" s="64">
        <f t="shared" ref="AA88:AT88" si="346">AA71/AA70</f>
        <v>0.24231121580944903</v>
      </c>
      <c r="AB88" s="64">
        <f t="shared" si="346"/>
        <v>0.24831347782402755</v>
      </c>
      <c r="AC88" s="64">
        <f t="shared" si="346"/>
        <v>7.8861236336688664E-2</v>
      </c>
      <c r="AD88" s="64">
        <f t="shared" si="346"/>
        <v>0.21005613091944028</v>
      </c>
      <c r="AE88" s="64">
        <f t="shared" si="346"/>
        <v>0.27264573991031388</v>
      </c>
      <c r="AF88" s="64">
        <f t="shared" si="346"/>
        <v>0.22206943966998971</v>
      </c>
      <c r="AG88" s="64">
        <f t="shared" si="346"/>
        <v>0.21555204493593119</v>
      </c>
      <c r="AH88" s="64">
        <f t="shared" si="346"/>
        <v>0.16120365394948946</v>
      </c>
      <c r="AI88" s="64">
        <f t="shared" si="346"/>
        <v>0.20900931998619257</v>
      </c>
      <c r="AJ88" s="64">
        <f t="shared" si="346"/>
        <v>0.20076941572493406</v>
      </c>
      <c r="AK88" s="64">
        <f t="shared" si="346"/>
        <v>0.17926565874730019</v>
      </c>
      <c r="AL88" s="64">
        <f t="shared" si="346"/>
        <v>0.19874390546235837</v>
      </c>
      <c r="AM88" s="64">
        <f t="shared" si="346"/>
        <v>0.24435454211107024</v>
      </c>
      <c r="AN88" s="64">
        <f t="shared" si="346"/>
        <v>0.22108814846056535</v>
      </c>
      <c r="AO88" s="64">
        <f t="shared" si="346"/>
        <v>0.22108127084430404</v>
      </c>
      <c r="AP88" s="64">
        <f t="shared" si="346"/>
        <v>0.15225254850378164</v>
      </c>
      <c r="AQ88" s="64">
        <f t="shared" si="346"/>
        <v>0.27284418573169084</v>
      </c>
      <c r="AR88" s="64">
        <f t="shared" si="346"/>
        <v>0.1955778003041054</v>
      </c>
      <c r="AS88" s="64">
        <f t="shared" si="346"/>
        <v>0.20503502048367916</v>
      </c>
      <c r="AT88" s="64">
        <f t="shared" si="346"/>
        <v>0.18196328810853948</v>
      </c>
      <c r="AU88" s="64">
        <f t="shared" ref="AU88:AV88" si="347">AU71/AU70</f>
        <v>0.20106146630461597</v>
      </c>
      <c r="AV88" s="64">
        <f t="shared" si="347"/>
        <v>0.24843900096061469</v>
      </c>
      <c r="AW88" s="64">
        <f t="shared" ref="AW88:AX88" si="348">AW71/AW70</f>
        <v>0.25825275091697225</v>
      </c>
      <c r="AX88" s="64">
        <f t="shared" si="348"/>
        <v>0.11416689026026296</v>
      </c>
      <c r="AY88" s="64">
        <f t="shared" ref="AY88" si="349">AY71/AY70</f>
        <v>0.1109855618330195</v>
      </c>
      <c r="AZ88" s="64">
        <f t="shared" ref="AZ88" si="350">AZ71/AZ70</f>
        <v>6.2460417986067156E-2</v>
      </c>
      <c r="BA88" s="64">
        <f t="shared" ref="BA88" si="351">BA71/BA70</f>
        <v>0.27049716528565215</v>
      </c>
      <c r="BB88" s="64">
        <f t="shared" ref="BB88" si="352">BB71/BB70</f>
        <v>0</v>
      </c>
      <c r="BC88" s="64">
        <f t="shared" ref="BC88:BD88" si="353">BC71/BC70</f>
        <v>0.12718329652680183</v>
      </c>
      <c r="BD88" s="64">
        <f t="shared" si="353"/>
        <v>0.17466938847963084</v>
      </c>
      <c r="BE88" s="64">
        <f t="shared" ref="BE88:BF88" si="354">BE71/BE70</f>
        <v>0.20035350384695372</v>
      </c>
      <c r="BF88" s="64">
        <f t="shared" si="354"/>
        <v>0.11579961464354525</v>
      </c>
      <c r="BG88" s="64">
        <f t="shared" ref="BG88:BH88" si="355">BG71/BG70</f>
        <v>0.17621145374449337</v>
      </c>
      <c r="BH88" s="64">
        <f t="shared" si="355"/>
        <v>0.212238379423384</v>
      </c>
      <c r="BI88" s="64">
        <f t="shared" ref="BI88:BK88" si="356">BI71/BI70</f>
        <v>3.2629384573552078E-2</v>
      </c>
      <c r="BJ88" s="64">
        <f t="shared" si="356"/>
        <v>0</v>
      </c>
      <c r="BK88" s="64">
        <f t="shared" si="356"/>
        <v>0.34500848634469994</v>
      </c>
      <c r="BL88" s="64">
        <f t="shared" ref="BL88" si="357">BL71/BL70</f>
        <v>0.16262210481046876</v>
      </c>
      <c r="BM88" s="64">
        <f t="shared" ref="BM88" si="358">BM71/BM70</f>
        <v>0.16815638865667804</v>
      </c>
      <c r="BN88" s="64">
        <f t="shared" ref="BN88:BO88" si="359">BN71/BN70</f>
        <v>0</v>
      </c>
      <c r="BO88" s="64">
        <f t="shared" si="359"/>
        <v>0.14349424927626972</v>
      </c>
      <c r="BP88" s="64">
        <f t="shared" ref="BP88:BQ88" si="360">BP71/BP70</f>
        <v>0.10414560161779569</v>
      </c>
      <c r="BQ88" s="64">
        <f t="shared" si="360"/>
        <v>0.12210997355752924</v>
      </c>
      <c r="BR88" s="64">
        <f t="shared" ref="BR88:BS88" si="361">BR71/BR70</f>
        <v>0.10997240835632641</v>
      </c>
      <c r="BS88" s="64">
        <f t="shared" si="361"/>
        <v>0.14963763811334227</v>
      </c>
      <c r="BT88" s="64">
        <f t="shared" ref="BT88:BZ88" si="362">BT71/BT70</f>
        <v>0.15867689357622258</v>
      </c>
      <c r="BU88" s="64">
        <f t="shared" si="362"/>
        <v>0.18152418447694052</v>
      </c>
      <c r="BV88" s="64">
        <f t="shared" si="362"/>
        <v>0.15692650334075731</v>
      </c>
      <c r="BW88" s="64">
        <f t="shared" si="362"/>
        <v>7.4556151403134235E-2</v>
      </c>
      <c r="BX88" s="64">
        <f t="shared" si="362"/>
        <v>0.1070977917981074</v>
      </c>
      <c r="BY88" s="64">
        <f t="shared" si="362"/>
        <v>0.1475739883229315</v>
      </c>
      <c r="BZ88" s="64">
        <f t="shared" si="362"/>
        <v>4.903059026281776E-2</v>
      </c>
      <c r="CA88" s="64">
        <f>CA71/CA70</f>
        <v>9.7358034349109293E-2</v>
      </c>
      <c r="CB88" s="64">
        <f t="shared" ref="CB88:CH88" si="363">CB71/CB70</f>
        <v>9.9000475963826662E-2</v>
      </c>
      <c r="CC88" s="64">
        <f t="shared" si="363"/>
        <v>6.2040015264678644E-2</v>
      </c>
      <c r="CD88" s="64">
        <f t="shared" si="363"/>
        <v>7.6709333576276545E-2</v>
      </c>
      <c r="CE88" s="64">
        <f t="shared" si="363"/>
        <v>0.10939442372580366</v>
      </c>
      <c r="CF88" s="64">
        <f t="shared" si="363"/>
        <v>0.18023352332466389</v>
      </c>
      <c r="CG88" s="64">
        <f t="shared" si="363"/>
        <v>0.1</v>
      </c>
      <c r="CH88" s="64">
        <f t="shared" si="363"/>
        <v>0.10587941424423128</v>
      </c>
      <c r="CI88" s="64">
        <f t="shared" ref="CI88:CL88" si="364">CI71/CI70</f>
        <v>0.11703583182339236</v>
      </c>
      <c r="CJ88" s="64">
        <f t="shared" si="364"/>
        <v>0.16435839457320528</v>
      </c>
      <c r="CK88" s="64">
        <f t="shared" si="364"/>
        <v>0.15</v>
      </c>
      <c r="CL88" s="64">
        <f t="shared" si="364"/>
        <v>0.15</v>
      </c>
      <c r="CM88" s="64"/>
      <c r="CN88" s="64"/>
      <c r="CO88" s="64"/>
      <c r="CP88" s="64"/>
      <c r="DY88" s="53"/>
      <c r="DZ88" s="79">
        <f t="shared" ref="DZ88" si="365">+DZ71/DZ70</f>
        <v>0.10710881217671239</v>
      </c>
      <c r="EA88" s="79">
        <f t="shared" ref="EA88" si="366">+EA71/EA70</f>
        <v>0.14657967364218533</v>
      </c>
      <c r="EB88" s="79">
        <f t="shared" ref="EB88" si="367">+EB71/EB70</f>
        <v>8.8339719478328124E-2</v>
      </c>
      <c r="EC88" s="79">
        <f>+EC71/EC70</f>
        <v>8.5151237396883531E-2</v>
      </c>
      <c r="ED88" s="79">
        <f t="shared" ref="ED88:EK88" si="368">+ED71/ED70</f>
        <v>0.11852228542933881</v>
      </c>
      <c r="EE88" s="79">
        <f t="shared" si="368"/>
        <v>0.14000000000000001</v>
      </c>
      <c r="EF88" s="79">
        <f t="shared" si="368"/>
        <v>0.2</v>
      </c>
      <c r="EG88" s="79">
        <f t="shared" si="368"/>
        <v>0.2</v>
      </c>
      <c r="EH88" s="79">
        <f t="shared" si="368"/>
        <v>0.19999999999999998</v>
      </c>
      <c r="EI88" s="79">
        <f t="shared" si="368"/>
        <v>0.19999999999999998</v>
      </c>
      <c r="EJ88" s="79">
        <f t="shared" si="368"/>
        <v>0.2</v>
      </c>
      <c r="EK88" s="79">
        <f t="shared" si="368"/>
        <v>0.2</v>
      </c>
      <c r="EL88" s="52" t="s">
        <v>268</v>
      </c>
      <c r="EM88" s="66">
        <v>7.0000000000000007E-2</v>
      </c>
    </row>
    <row r="89" spans="1:143" x14ac:dyDescent="0.2">
      <c r="A89" s="102"/>
      <c r="EL89" s="47" t="s">
        <v>242</v>
      </c>
      <c r="EM89" s="63">
        <v>0.02</v>
      </c>
    </row>
    <row r="90" spans="1:143" x14ac:dyDescent="0.2">
      <c r="A90" s="102"/>
      <c r="B90" t="s">
        <v>187</v>
      </c>
      <c r="AD90" s="51">
        <f>4498-6662+1155.8</f>
        <v>-1008.2</v>
      </c>
      <c r="AE90" s="51">
        <f>+AD90+AE72</f>
        <v>289.39999999999986</v>
      </c>
      <c r="AI90" s="51">
        <f>+AI92-AI105</f>
        <v>1939.5</v>
      </c>
      <c r="AJ90" s="51">
        <f t="shared" ref="AJ90" si="369">+AJ92-AJ105</f>
        <v>2544.1999999999989</v>
      </c>
      <c r="AK90" s="51">
        <f t="shared" ref="AK90" si="370">+AK92-AK105</f>
        <v>2923.8999999999996</v>
      </c>
      <c r="AL90" s="51">
        <f>+AL92-AL105</f>
        <v>3939.9000000000015</v>
      </c>
      <c r="AM90" s="51">
        <f>+AM92-AM105</f>
        <v>4031.9000000000005</v>
      </c>
      <c r="AN90" s="51">
        <f>+AN92-AN105</f>
        <v>4299.8</v>
      </c>
      <c r="AO90" s="51">
        <f>+AO92-AO105</f>
        <v>6604.2000000000007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>
        <f t="shared" ref="BO90:BR90" si="371">+BO92-BO105</f>
        <v>-11716.6</v>
      </c>
      <c r="BP90" s="51">
        <f t="shared" si="371"/>
        <v>-11565.600000000002</v>
      </c>
      <c r="BQ90" s="51">
        <f t="shared" si="371"/>
        <v>-11747</v>
      </c>
      <c r="BR90" s="51">
        <f t="shared" si="371"/>
        <v>-10916.3</v>
      </c>
      <c r="BS90" s="51">
        <f t="shared" ref="BS90:BV90" si="372">+BS92-BS105</f>
        <v>-13304.199999999999</v>
      </c>
      <c r="BT90" s="51">
        <f t="shared" si="372"/>
        <v>-11533.899999999998</v>
      </c>
      <c r="BU90" s="51">
        <f t="shared" si="372"/>
        <v>-10815.599999999999</v>
      </c>
      <c r="BV90" s="51">
        <f t="shared" si="372"/>
        <v>-9947.1999999999989</v>
      </c>
      <c r="BW90" s="51">
        <f t="shared" ref="BW90" si="373">+BW92-BW105</f>
        <v>-9920.7000000000007</v>
      </c>
      <c r="BX90" s="51">
        <f t="shared" ref="BX90" si="374">+BX92-BX105</f>
        <v>-9768.9999999999982</v>
      </c>
      <c r="BY90" s="51">
        <f t="shared" ref="BY90:CL90" si="375">+BY92-BY105</f>
        <v>-9909.6000000000022</v>
      </c>
      <c r="BZ90" s="51">
        <f t="shared" si="375"/>
        <v>-9763.5</v>
      </c>
      <c r="CA90" s="51">
        <f t="shared" si="375"/>
        <v>-11213.199999999999</v>
      </c>
      <c r="CB90" s="51">
        <f t="shared" si="375"/>
        <v>-11489.9</v>
      </c>
      <c r="CC90" s="51">
        <f t="shared" si="375"/>
        <v>-10571.7</v>
      </c>
      <c r="CD90" s="51">
        <f t="shared" si="375"/>
        <v>-11125</v>
      </c>
      <c r="CE90" s="51">
        <f t="shared" si="375"/>
        <v>-12463.899999999998</v>
      </c>
      <c r="CF90" s="51">
        <f t="shared" si="375"/>
        <v>-13245.8</v>
      </c>
      <c r="CG90" s="51">
        <f t="shared" si="375"/>
        <v>-14982.699999999999</v>
      </c>
      <c r="CH90" s="51">
        <f t="shared" si="375"/>
        <v>-19245.400000000001</v>
      </c>
      <c r="CI90" s="51">
        <f t="shared" si="375"/>
        <v>-20538.2</v>
      </c>
      <c r="CJ90" s="51">
        <f t="shared" si="375"/>
        <v>-22650.400000000001</v>
      </c>
      <c r="CK90" s="51">
        <f t="shared" si="375"/>
        <v>0</v>
      </c>
      <c r="CL90" s="51">
        <f t="shared" si="375"/>
        <v>0</v>
      </c>
      <c r="CM90" s="51"/>
      <c r="CN90" s="51"/>
      <c r="CO90" s="51"/>
      <c r="CP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Z90" s="49">
        <f>+BR90</f>
        <v>-10916.3</v>
      </c>
      <c r="EA90" s="49">
        <f>+BV90</f>
        <v>-9947.1999999999989</v>
      </c>
      <c r="EB90" s="49">
        <f>+BZ90</f>
        <v>-9763.5</v>
      </c>
      <c r="EC90" s="49">
        <f>+CD90</f>
        <v>-11125</v>
      </c>
      <c r="ED90" s="49">
        <f>+CH90</f>
        <v>-19245.400000000001</v>
      </c>
      <c r="EE90" s="49">
        <f t="shared" ref="EE90:EK90" si="376">+ED90+EE72</f>
        <v>-7193.6197199999951</v>
      </c>
      <c r="EF90" s="49">
        <f t="shared" si="376"/>
        <v>12761.953591680009</v>
      </c>
      <c r="EG90" s="49">
        <f t="shared" si="376"/>
        <v>38307.802688974094</v>
      </c>
      <c r="EH90" s="49">
        <f t="shared" si="376"/>
        <v>71146.653645558239</v>
      </c>
      <c r="EI90" s="49">
        <f t="shared" si="376"/>
        <v>110032.76210535111</v>
      </c>
      <c r="EJ90" s="49">
        <f t="shared" si="376"/>
        <v>153767.1900913362</v>
      </c>
      <c r="EK90" s="49">
        <f t="shared" si="376"/>
        <v>201832.33808663872</v>
      </c>
      <c r="EL90" s="47" t="s">
        <v>241</v>
      </c>
      <c r="EM90" s="63">
        <v>7.0000000000000007E-2</v>
      </c>
    </row>
    <row r="91" spans="1:143" x14ac:dyDescent="0.2">
      <c r="A91" s="102"/>
      <c r="EL91" s="47" t="s">
        <v>243</v>
      </c>
      <c r="EM91" s="51">
        <f>NPV(EM90,EF72:HM72)+Main!J5-Main!J6</f>
        <v>775730.08911687066</v>
      </c>
    </row>
    <row r="92" spans="1:143" s="49" customFormat="1" x14ac:dyDescent="0.2">
      <c r="A92" s="98"/>
      <c r="B92" s="49" t="s">
        <v>174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f>5993.2+733.8+1779.5</f>
        <v>8506.5</v>
      </c>
      <c r="AI92" s="51">
        <f>6506.4+206.7+1898.7</f>
        <v>8611.7999999999993</v>
      </c>
      <c r="AJ92" s="51">
        <f>6113.5+216.3+2943</f>
        <v>9272.7999999999993</v>
      </c>
      <c r="AK92" s="51">
        <f>6597.7+186.6+3219.6</f>
        <v>10003.9</v>
      </c>
      <c r="AL92" s="51">
        <f>5922.5+974.6+4029.8</f>
        <v>10926.900000000001</v>
      </c>
      <c r="AM92" s="51">
        <f>4122.2+802.4+4521.1</f>
        <v>9445.7000000000007</v>
      </c>
      <c r="AN92" s="51">
        <f>4345.8+915.7+4547.6</f>
        <v>9809.1</v>
      </c>
      <c r="AO92" s="51">
        <f>5319.2+1580.7+5224.3</f>
        <v>12124.2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>
        <f>2036.4+100.7+2111.4</f>
        <v>4248.5</v>
      </c>
      <c r="BP92" s="51">
        <f>2290.2+77.7+1852.7</f>
        <v>4220.5999999999995</v>
      </c>
      <c r="BQ92" s="51">
        <f>1563.8+89.2+1825.3</f>
        <v>3478.3</v>
      </c>
      <c r="BR92" s="51">
        <f>2337.5+101+1962.4</f>
        <v>4400.8999999999996</v>
      </c>
      <c r="BS92" s="51">
        <f>1699+78.4+2148.7</f>
        <v>3926.1</v>
      </c>
      <c r="BT92" s="51">
        <f>2365.1+22.8+2406.4</f>
        <v>4794.3</v>
      </c>
      <c r="BU92" s="51">
        <f>3595.3+35+2476.2</f>
        <v>6106.5</v>
      </c>
      <c r="BV92" s="51">
        <f>3657.1+24.2+2966.8</f>
        <v>6648.1</v>
      </c>
      <c r="BW92" s="51">
        <f>3002.4+49+3232.4</f>
        <v>6283.8</v>
      </c>
      <c r="BX92" s="51">
        <f>3220+51.2+3474.9</f>
        <v>6746.1</v>
      </c>
      <c r="BY92" s="51">
        <f>3788.2+37.1+3350.5</f>
        <v>7175.7999999999993</v>
      </c>
      <c r="BZ92" s="51">
        <f>3818.5+90.1+3212.6</f>
        <v>7121.2</v>
      </c>
      <c r="CA92" s="51">
        <f>2459.2+109.1+2727.3</f>
        <v>5295.6</v>
      </c>
      <c r="CB92" s="51">
        <f>2622.9+113.8+2587.2</f>
        <v>5323.9</v>
      </c>
      <c r="CC92" s="51">
        <f>2617.4+124.7+2574.6</f>
        <v>5316.7</v>
      </c>
      <c r="CD92" s="51">
        <f>2067+144.8+2901.8</f>
        <v>5113.6000000000004</v>
      </c>
      <c r="CE92" s="51">
        <f>3545.9+123.4+2750.4</f>
        <v>6419.7000000000007</v>
      </c>
      <c r="CF92" s="51">
        <f>2694.5+134.6+2745.1</f>
        <v>5574.2</v>
      </c>
      <c r="CG92" s="51">
        <f>2380.8+113.1+2691.7</f>
        <v>5185.6000000000004</v>
      </c>
      <c r="CH92" s="51">
        <f>2818.6+109.1+3052.2</f>
        <v>5979.9</v>
      </c>
      <c r="CI92" s="51">
        <f>2460.2+126.1+3086.9</f>
        <v>5673.2</v>
      </c>
      <c r="CJ92" s="51">
        <f>3223.6+140.4+2877.6</f>
        <v>6241.6</v>
      </c>
      <c r="CK92" s="51"/>
      <c r="CL92" s="51"/>
      <c r="CM92" s="51"/>
      <c r="CN92" s="51"/>
      <c r="CO92" s="51"/>
      <c r="CP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Z92" s="49">
        <f t="shared" ref="DZ92:DZ116" si="377">+BR92</f>
        <v>4400.8999999999996</v>
      </c>
      <c r="EA92" s="49">
        <f t="shared" ref="EA92:EA103" si="378">+BV92</f>
        <v>6648.1</v>
      </c>
      <c r="EB92" s="49">
        <f t="shared" ref="EB92:EB118" si="379">+BZ92</f>
        <v>7121.2</v>
      </c>
      <c r="EC92" s="49">
        <f t="shared" ref="EC92:EC118" si="380">+CD92</f>
        <v>5113.6000000000004</v>
      </c>
      <c r="ED92" s="49">
        <f>+CH92</f>
        <v>5979.9</v>
      </c>
      <c r="EL92" s="60" t="s">
        <v>264</v>
      </c>
      <c r="EM92" s="65">
        <f>+EM91/Main!J3</f>
        <v>816.1921815181139</v>
      </c>
    </row>
    <row r="93" spans="1:143" s="49" customFormat="1" x14ac:dyDescent="0.2">
      <c r="A93" s="98"/>
      <c r="B93" s="50" t="s">
        <v>284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>
        <v>3493.8</v>
      </c>
      <c r="AI93" s="51">
        <v>3694.3</v>
      </c>
      <c r="AJ93" s="51">
        <v>3833.6</v>
      </c>
      <c r="AK93" s="51">
        <v>3533.2</v>
      </c>
      <c r="AL93" s="51">
        <v>3597.7</v>
      </c>
      <c r="AM93" s="51">
        <v>3402.1</v>
      </c>
      <c r="AN93" s="51">
        <v>3181.7</v>
      </c>
      <c r="AO93" s="51">
        <v>3268.2</v>
      </c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>
        <v>4200.5</v>
      </c>
      <c r="BP93" s="51">
        <v>4612.5</v>
      </c>
      <c r="BQ93" s="51">
        <v>4441.7</v>
      </c>
      <c r="BR93" s="51">
        <v>4547.3</v>
      </c>
      <c r="BS93" s="51">
        <v>5106.1000000000004</v>
      </c>
      <c r="BT93" s="51">
        <v>4828.8999999999996</v>
      </c>
      <c r="BU93" s="51">
        <v>4886.7</v>
      </c>
      <c r="BV93" s="51">
        <v>5875.3</v>
      </c>
      <c r="BW93" s="51">
        <v>5592.8</v>
      </c>
      <c r="BX93" s="51">
        <v>5829.4</v>
      </c>
      <c r="BY93" s="51">
        <v>5914.3</v>
      </c>
      <c r="BZ93" s="51">
        <v>6672.8</v>
      </c>
      <c r="CA93" s="51">
        <v>6322.5</v>
      </c>
      <c r="CB93" s="51">
        <v>6364.5</v>
      </c>
      <c r="CC93" s="51">
        <v>6715.3</v>
      </c>
      <c r="CD93" s="51">
        <v>6896</v>
      </c>
      <c r="CE93" s="51">
        <v>7526.2</v>
      </c>
      <c r="CF93" s="51">
        <v>7516.1</v>
      </c>
      <c r="CG93" s="51">
        <v>8167.1</v>
      </c>
      <c r="CH93" s="51">
        <v>9090.5</v>
      </c>
      <c r="CI93" s="51">
        <v>7885.6</v>
      </c>
      <c r="CJ93" s="51">
        <v>11027.9</v>
      </c>
      <c r="CK93" s="51"/>
      <c r="CL93" s="51"/>
      <c r="CM93" s="51"/>
      <c r="CN93" s="51"/>
      <c r="CO93" s="51"/>
      <c r="CP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Z93" s="49">
        <f t="shared" si="377"/>
        <v>4547.3</v>
      </c>
      <c r="EA93" s="49">
        <f t="shared" si="378"/>
        <v>5875.3</v>
      </c>
      <c r="EB93" s="49">
        <f t="shared" si="379"/>
        <v>6672.8</v>
      </c>
      <c r="EC93" s="49">
        <f t="shared" si="380"/>
        <v>6896</v>
      </c>
      <c r="ED93" s="49">
        <f t="shared" ref="ED93:ED116" si="381">+CH93</f>
        <v>9090.5</v>
      </c>
    </row>
    <row r="94" spans="1:143" s="49" customFormat="1" x14ac:dyDescent="0.2">
      <c r="A94" s="98"/>
      <c r="B94" s="50" t="s">
        <v>285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>
        <v>664.3</v>
      </c>
      <c r="AI94" s="51">
        <v>488.8</v>
      </c>
      <c r="AJ94" s="51">
        <v>612.9</v>
      </c>
      <c r="AK94" s="51">
        <v>564.4</v>
      </c>
      <c r="AL94" s="51">
        <v>640.20000000000005</v>
      </c>
      <c r="AM94" s="51">
        <v>529.20000000000005</v>
      </c>
      <c r="AN94" s="51">
        <v>590</v>
      </c>
      <c r="AO94" s="51">
        <v>527.29999999999995</v>
      </c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>
        <v>977.5</v>
      </c>
      <c r="BP94" s="51">
        <v>977.5</v>
      </c>
      <c r="BQ94" s="51">
        <v>1096.2</v>
      </c>
      <c r="BR94" s="51">
        <v>994.2</v>
      </c>
      <c r="BS94" s="51">
        <v>1246.4000000000001</v>
      </c>
      <c r="BT94" s="51">
        <v>946.7</v>
      </c>
      <c r="BU94" s="51">
        <v>958.1</v>
      </c>
      <c r="BV94" s="51">
        <v>1053.7</v>
      </c>
      <c r="BW94" s="51">
        <v>1065.8</v>
      </c>
      <c r="BX94" s="51">
        <v>1073.4000000000001</v>
      </c>
      <c r="BY94" s="51">
        <v>1110.7</v>
      </c>
      <c r="BZ94" s="51">
        <v>1454.4</v>
      </c>
      <c r="CA94" s="51">
        <v>1483.2</v>
      </c>
      <c r="CB94" s="51">
        <v>1307.9000000000001</v>
      </c>
      <c r="CC94" s="51">
        <v>1609.5</v>
      </c>
      <c r="CD94" s="51">
        <v>1662.9</v>
      </c>
      <c r="CE94" s="51">
        <v>1495.9</v>
      </c>
      <c r="CF94" s="51">
        <v>1655.3</v>
      </c>
      <c r="CG94" s="51">
        <v>2196.6999999999998</v>
      </c>
      <c r="CH94" s="51">
        <v>2245.6999999999998</v>
      </c>
      <c r="CI94" s="51">
        <v>2127.9</v>
      </c>
      <c r="CJ94" s="51">
        <v>2051.1</v>
      </c>
      <c r="CK94" s="51"/>
      <c r="CL94" s="51"/>
      <c r="CM94" s="51"/>
      <c r="CN94" s="51"/>
      <c r="CO94" s="51"/>
      <c r="CP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Z94" s="49">
        <f t="shared" si="377"/>
        <v>994.2</v>
      </c>
      <c r="EA94" s="49">
        <f t="shared" si="378"/>
        <v>1053.7</v>
      </c>
      <c r="EB94" s="49">
        <f t="shared" si="379"/>
        <v>1454.4</v>
      </c>
      <c r="EC94" s="49">
        <f t="shared" si="380"/>
        <v>1662.9</v>
      </c>
      <c r="ED94" s="49">
        <f t="shared" si="381"/>
        <v>2245.6999999999998</v>
      </c>
    </row>
    <row r="95" spans="1:143" s="49" customFormat="1" x14ac:dyDescent="0.2">
      <c r="A95" s="98"/>
      <c r="B95" s="50" t="s">
        <v>286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2517.6999999999998</v>
      </c>
      <c r="AI95" s="51">
        <v>2767.2</v>
      </c>
      <c r="AJ95" s="51">
        <v>2870.2</v>
      </c>
      <c r="AK95" s="51">
        <v>2513.3000000000002</v>
      </c>
      <c r="AL95" s="51">
        <v>2299.8000000000002</v>
      </c>
      <c r="AM95" s="51">
        <v>2424.1999999999998</v>
      </c>
      <c r="AN95" s="51">
        <v>2320.8000000000002</v>
      </c>
      <c r="AO95" s="51">
        <v>2553.4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>
        <v>3055.2</v>
      </c>
      <c r="BP95" s="51">
        <v>3181.1</v>
      </c>
      <c r="BQ95" s="51">
        <v>3101.3</v>
      </c>
      <c r="BR95" s="51">
        <v>3190.7</v>
      </c>
      <c r="BS95" s="51">
        <v>3102.4</v>
      </c>
      <c r="BT95" s="51">
        <v>3313.9</v>
      </c>
      <c r="BU95" s="51">
        <v>3555.4</v>
      </c>
      <c r="BV95" s="51">
        <v>3980.3</v>
      </c>
      <c r="BW95" s="51">
        <v>3660.8</v>
      </c>
      <c r="BX95" s="51">
        <v>3824.9</v>
      </c>
      <c r="BY95" s="51">
        <v>3907.4</v>
      </c>
      <c r="BZ95" s="51">
        <v>3886</v>
      </c>
      <c r="CA95" s="51">
        <v>3893</v>
      </c>
      <c r="CB95" s="51">
        <v>3899.4</v>
      </c>
      <c r="CC95" s="51">
        <v>3831.1</v>
      </c>
      <c r="CD95" s="51">
        <v>4309.7</v>
      </c>
      <c r="CE95" s="51">
        <v>4544.8</v>
      </c>
      <c r="CF95" s="51">
        <v>4798.7</v>
      </c>
      <c r="CG95" s="51">
        <v>4901.3999999999996</v>
      </c>
      <c r="CH95" s="51">
        <v>5772.8</v>
      </c>
      <c r="CI95" s="51">
        <v>6101.8</v>
      </c>
      <c r="CJ95" s="51">
        <v>6481.5</v>
      </c>
      <c r="CK95" s="51"/>
      <c r="CL95" s="51"/>
      <c r="CM95" s="51"/>
      <c r="CN95" s="51"/>
      <c r="CO95" s="51"/>
      <c r="CP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Z95" s="49">
        <f t="shared" si="377"/>
        <v>3190.7</v>
      </c>
      <c r="EA95" s="49">
        <f t="shared" si="378"/>
        <v>3980.3</v>
      </c>
      <c r="EB95" s="49">
        <f t="shared" si="379"/>
        <v>3886</v>
      </c>
      <c r="EC95" s="49">
        <f t="shared" si="380"/>
        <v>4309.7</v>
      </c>
      <c r="ED95" s="49">
        <f t="shared" si="381"/>
        <v>5772.8</v>
      </c>
    </row>
    <row r="96" spans="1:143" s="49" customFormat="1" x14ac:dyDescent="0.2">
      <c r="A96" s="98"/>
      <c r="B96" s="50" t="s">
        <v>287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>
        <v>828.3</v>
      </c>
      <c r="AI96" s="51">
        <v>550.1</v>
      </c>
      <c r="AJ96" s="51">
        <v>436.5</v>
      </c>
      <c r="AK96" s="51">
        <v>378.4</v>
      </c>
      <c r="AL96" s="51">
        <v>158.5</v>
      </c>
      <c r="AM96" s="51">
        <v>324</v>
      </c>
      <c r="AN96" s="51">
        <v>0</v>
      </c>
      <c r="AO96" s="51">
        <v>0</v>
      </c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>
        <v>2227.1999999999998</v>
      </c>
      <c r="BP96" s="51">
        <v>2315.5</v>
      </c>
      <c r="BQ96" s="51">
        <v>2369.6</v>
      </c>
      <c r="BR96" s="51">
        <v>2538.9</v>
      </c>
      <c r="BS96" s="51">
        <v>2761.9</v>
      </c>
      <c r="BT96" s="51">
        <v>3104.5</v>
      </c>
      <c r="BU96" s="51">
        <v>3209.4</v>
      </c>
      <c r="BV96" s="51">
        <v>2871.5</v>
      </c>
      <c r="BW96" s="51">
        <v>3233.7</v>
      </c>
      <c r="BX96" s="51">
        <v>3296.6</v>
      </c>
      <c r="BY96" s="51">
        <v>3050.6</v>
      </c>
      <c r="BZ96" s="51">
        <v>2530.6</v>
      </c>
      <c r="CA96" s="51">
        <v>2697.7</v>
      </c>
      <c r="CB96" s="51">
        <v>2806.7</v>
      </c>
      <c r="CC96" s="51">
        <v>2741.9</v>
      </c>
      <c r="CD96" s="51">
        <v>2954.1</v>
      </c>
      <c r="CE96" s="51">
        <v>3575.2</v>
      </c>
      <c r="CF96" s="51">
        <v>4532.3999999999996</v>
      </c>
      <c r="CG96" s="51">
        <v>5247.9</v>
      </c>
      <c r="CH96" s="51">
        <v>5540.8</v>
      </c>
      <c r="CI96" s="51">
        <v>6348.6</v>
      </c>
      <c r="CJ96" s="51">
        <v>7137.6</v>
      </c>
      <c r="CK96" s="51"/>
      <c r="CL96" s="51"/>
      <c r="CM96" s="51"/>
      <c r="CN96" s="51"/>
      <c r="CO96" s="51"/>
      <c r="CP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Z96" s="49">
        <f t="shared" si="377"/>
        <v>2538.9</v>
      </c>
      <c r="EA96" s="49">
        <f t="shared" si="378"/>
        <v>2871.5</v>
      </c>
      <c r="EB96" s="49">
        <f t="shared" si="379"/>
        <v>2530.6</v>
      </c>
      <c r="EC96" s="49">
        <f t="shared" si="380"/>
        <v>2954.1</v>
      </c>
      <c r="ED96" s="49">
        <f t="shared" si="381"/>
        <v>5540.8</v>
      </c>
    </row>
    <row r="97" spans="1:134" s="49" customFormat="1" x14ac:dyDescent="0.2">
      <c r="A97" s="98"/>
      <c r="B97" s="50" t="s">
        <v>288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>
        <v>608.9</v>
      </c>
      <c r="AI97" s="51">
        <v>1140.8</v>
      </c>
      <c r="AJ97" s="51">
        <v>867.3</v>
      </c>
      <c r="AK97" s="51">
        <v>799.1</v>
      </c>
      <c r="AL97" s="51">
        <v>654.9</v>
      </c>
      <c r="AM97" s="51">
        <v>998.5</v>
      </c>
      <c r="AN97" s="51">
        <v>953.3</v>
      </c>
      <c r="AO97" s="51">
        <v>790.1</v>
      </c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>
        <v>149.5</v>
      </c>
      <c r="CI97" s="51">
        <v>138.6</v>
      </c>
      <c r="CJ97" s="51">
        <v>142.19999999999999</v>
      </c>
      <c r="CK97" s="51"/>
      <c r="CL97" s="51"/>
      <c r="CM97" s="51"/>
      <c r="CN97" s="51"/>
      <c r="CO97" s="51"/>
      <c r="CP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Z97" s="49">
        <f t="shared" si="377"/>
        <v>0</v>
      </c>
      <c r="EA97" s="49">
        <f t="shared" si="378"/>
        <v>0</v>
      </c>
      <c r="EC97" s="49">
        <f t="shared" si="380"/>
        <v>0</v>
      </c>
      <c r="ED97" s="49">
        <f t="shared" si="381"/>
        <v>149.5</v>
      </c>
    </row>
    <row r="98" spans="1:134" s="49" customFormat="1" x14ac:dyDescent="0.2">
      <c r="A98" s="98"/>
      <c r="B98" s="50" t="s">
        <v>289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>
        <v>4818.8</v>
      </c>
      <c r="AI98" s="51">
        <v>4731.3</v>
      </c>
      <c r="AJ98" s="51">
        <v>4955.3999999999996</v>
      </c>
      <c r="AK98" s="51">
        <v>5221.8999999999996</v>
      </c>
      <c r="AL98" s="51">
        <v>5128.1000000000004</v>
      </c>
      <c r="AM98" s="51">
        <v>5266.7</v>
      </c>
      <c r="AN98" s="51">
        <v>5142.8</v>
      </c>
      <c r="AO98" s="51">
        <v>5031.1000000000004</v>
      </c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>
        <f>3855.9+6641.5</f>
        <v>10497.4</v>
      </c>
      <c r="BP98" s="51">
        <f>3820.1+6586.6</f>
        <v>10406.700000000001</v>
      </c>
      <c r="BQ98" s="51">
        <f>3772.5+6689.3</f>
        <v>10461.799999999999</v>
      </c>
      <c r="BR98" s="51">
        <f>3679.4+6618</f>
        <v>10297.4</v>
      </c>
      <c r="BS98" s="51">
        <f>3779.1+7766.7</f>
        <v>11545.8</v>
      </c>
      <c r="BT98" s="51">
        <f>3723.2+7712.5</f>
        <v>11435.7</v>
      </c>
      <c r="BU98" s="51">
        <f>3726.4+7588.6</f>
        <v>11315</v>
      </c>
      <c r="BV98" s="51">
        <f>3766.5+7450</f>
        <v>11216.5</v>
      </c>
      <c r="BW98" s="51">
        <f>3877.4+8087.8</f>
        <v>11965.2</v>
      </c>
      <c r="BX98" s="51">
        <f>3884.2+7985.4</f>
        <v>11869.599999999999</v>
      </c>
      <c r="BY98" s="51">
        <f>3884.1+7887.7</f>
        <v>11771.8</v>
      </c>
      <c r="BZ98" s="51">
        <f>3892+7691.9</f>
        <v>11583.9</v>
      </c>
      <c r="CA98" s="51">
        <f>3892+7482.4</f>
        <v>11374.4</v>
      </c>
      <c r="CB98" s="51">
        <f>3891.8+7497.7</f>
        <v>11389.5</v>
      </c>
      <c r="CC98" s="52">
        <f>3891.6+7124.1</f>
        <v>11015.7</v>
      </c>
      <c r="CD98" s="51">
        <f>4073+7206.6</f>
        <v>11279.6</v>
      </c>
      <c r="CE98" s="51">
        <f>4073.1+7087.1</f>
        <v>11160.2</v>
      </c>
      <c r="CF98" s="51">
        <f>4078.9+6903.5</f>
        <v>10982.4</v>
      </c>
      <c r="CG98" s="51">
        <f>4085.2+6781.7</f>
        <v>10866.9</v>
      </c>
      <c r="CH98" s="51">
        <f>4939.7+6906.6</f>
        <v>11846.3</v>
      </c>
      <c r="CI98" s="51">
        <f>4939.6+6762.2</f>
        <v>11701.8</v>
      </c>
      <c r="CJ98" s="51">
        <f>5768.2+6636.1</f>
        <v>12404.3</v>
      </c>
      <c r="CK98" s="51"/>
      <c r="CL98" s="51"/>
      <c r="CM98" s="51"/>
      <c r="CN98" s="51"/>
      <c r="CO98" s="51"/>
      <c r="CP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Z98" s="49">
        <f t="shared" si="377"/>
        <v>10297.4</v>
      </c>
      <c r="EA98" s="49">
        <f t="shared" si="378"/>
        <v>11216.5</v>
      </c>
      <c r="EB98" s="49">
        <f t="shared" si="379"/>
        <v>11583.9</v>
      </c>
      <c r="EC98" s="49">
        <f t="shared" si="380"/>
        <v>11279.6</v>
      </c>
      <c r="ED98" s="49">
        <f t="shared" si="381"/>
        <v>11846.3</v>
      </c>
    </row>
    <row r="99" spans="1:134" s="49" customFormat="1" x14ac:dyDescent="0.2">
      <c r="A99" s="98"/>
      <c r="B99" s="50" t="s">
        <v>385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>
        <v>2511</v>
      </c>
      <c r="BP99" s="51">
        <v>2507.4</v>
      </c>
      <c r="BQ99" s="51">
        <v>2412.8000000000002</v>
      </c>
      <c r="BR99" s="51">
        <v>2572.6</v>
      </c>
      <c r="BS99" s="51">
        <v>2471.6</v>
      </c>
      <c r="BT99" s="51">
        <v>2481.8000000000002</v>
      </c>
      <c r="BU99" s="51">
        <v>2555.3000000000002</v>
      </c>
      <c r="BV99" s="51">
        <v>2830.4</v>
      </c>
      <c r="BW99" s="51">
        <v>2649.9</v>
      </c>
      <c r="BX99" s="51">
        <v>2674.9</v>
      </c>
      <c r="BY99" s="51">
        <v>2625.6</v>
      </c>
      <c r="BZ99" s="51">
        <v>2489.3000000000002</v>
      </c>
      <c r="CA99" s="51">
        <v>2464.9</v>
      </c>
      <c r="CB99" s="51">
        <v>2371.9</v>
      </c>
      <c r="CC99" s="51">
        <v>2384.3000000000002</v>
      </c>
      <c r="CD99" s="51">
        <v>2792.9</v>
      </c>
      <c r="CE99" s="51">
        <v>3406.7</v>
      </c>
      <c r="CF99" s="51">
        <v>3805.9</v>
      </c>
      <c r="CG99" s="51">
        <v>4574.8</v>
      </c>
      <c r="CH99" s="51">
        <v>5477.3</v>
      </c>
      <c r="CI99" s="51">
        <v>5633.9</v>
      </c>
      <c r="CJ99" s="51">
        <v>6655.3</v>
      </c>
      <c r="CK99" s="51"/>
      <c r="CL99" s="51"/>
      <c r="CM99" s="51"/>
      <c r="CN99" s="51"/>
      <c r="CO99" s="51"/>
      <c r="CP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Z99" s="49">
        <f t="shared" si="377"/>
        <v>2572.6</v>
      </c>
      <c r="EA99" s="49">
        <f t="shared" si="378"/>
        <v>2830.4</v>
      </c>
      <c r="EB99" s="49">
        <f t="shared" si="379"/>
        <v>2489.3000000000002</v>
      </c>
      <c r="EC99" s="49">
        <f t="shared" si="380"/>
        <v>2792.9</v>
      </c>
      <c r="ED99" s="49">
        <f t="shared" si="381"/>
        <v>5477.3</v>
      </c>
    </row>
    <row r="100" spans="1:134" s="49" customFormat="1" x14ac:dyDescent="0.2">
      <c r="A100" s="98"/>
      <c r="B100" s="50" t="s">
        <v>290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>
        <v>1622.4</v>
      </c>
      <c r="AI100" s="51">
        <v>1743.3</v>
      </c>
      <c r="AJ100" s="51">
        <v>1976.9</v>
      </c>
      <c r="AK100" s="51">
        <v>2215.8000000000002</v>
      </c>
      <c r="AL100" s="51">
        <v>2493.4</v>
      </c>
      <c r="AM100" s="51">
        <v>2093.1999999999998</v>
      </c>
      <c r="AN100" s="51">
        <v>2195</v>
      </c>
      <c r="AO100" s="51">
        <v>2387.8000000000002</v>
      </c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>
        <v>1963</v>
      </c>
      <c r="BP100" s="51">
        <v>2052.1</v>
      </c>
      <c r="BQ100" s="51">
        <v>2194.1999999999998</v>
      </c>
      <c r="BR100" s="51"/>
      <c r="BS100" s="51"/>
      <c r="BT100" s="51"/>
      <c r="BU100" s="51"/>
      <c r="BV100" s="51"/>
      <c r="BW100" s="51">
        <v>0</v>
      </c>
      <c r="BX100" s="51">
        <v>0</v>
      </c>
      <c r="BY100" s="51">
        <v>0</v>
      </c>
      <c r="BZ100" s="51">
        <v>0</v>
      </c>
      <c r="CA100" s="51">
        <v>0</v>
      </c>
      <c r="CB100" s="51">
        <v>0</v>
      </c>
      <c r="CC100" s="51">
        <v>0</v>
      </c>
      <c r="CD100" s="51">
        <v>0</v>
      </c>
      <c r="CE100" s="51">
        <v>0</v>
      </c>
      <c r="CF100" s="51">
        <v>0</v>
      </c>
      <c r="CG100" s="51">
        <v>0</v>
      </c>
      <c r="CH100" s="51">
        <v>0</v>
      </c>
      <c r="CI100" s="51">
        <v>0</v>
      </c>
      <c r="CJ100" s="51">
        <v>0</v>
      </c>
      <c r="CK100" s="51"/>
      <c r="CL100" s="51"/>
      <c r="CM100" s="51"/>
      <c r="CN100" s="51"/>
      <c r="CO100" s="51"/>
      <c r="CP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Z100" s="49">
        <f t="shared" si="377"/>
        <v>0</v>
      </c>
      <c r="EA100" s="49">
        <f t="shared" si="378"/>
        <v>0</v>
      </c>
      <c r="EC100" s="49">
        <f t="shared" si="380"/>
        <v>0</v>
      </c>
      <c r="ED100" s="49">
        <f t="shared" si="381"/>
        <v>0</v>
      </c>
    </row>
    <row r="101" spans="1:134" s="49" customFormat="1" x14ac:dyDescent="0.2">
      <c r="A101" s="98"/>
      <c r="B101" s="50" t="s">
        <v>291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v>7940.7</v>
      </c>
      <c r="AI101" s="51">
        <v>7967.7</v>
      </c>
      <c r="AJ101" s="51">
        <v>7953.7</v>
      </c>
      <c r="AK101" s="51">
        <v>7812.2</v>
      </c>
      <c r="AL101" s="51">
        <v>7760.3</v>
      </c>
      <c r="AM101" s="51">
        <v>7754.6</v>
      </c>
      <c r="AN101" s="51">
        <v>7619.9</v>
      </c>
      <c r="AO101" s="51">
        <v>7638.9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>
        <v>7780</v>
      </c>
      <c r="BP101" s="51">
        <v>7847.5</v>
      </c>
      <c r="BQ101" s="51">
        <v>7801.5</v>
      </c>
      <c r="BR101" s="51">
        <v>7872.9</v>
      </c>
      <c r="BS101" s="51">
        <v>7897.9</v>
      </c>
      <c r="BT101" s="51">
        <v>7981.1</v>
      </c>
      <c r="BU101" s="51">
        <v>8281.1</v>
      </c>
      <c r="BV101" s="51">
        <v>8681.9</v>
      </c>
      <c r="BW101" s="51">
        <v>8630.1</v>
      </c>
      <c r="BX101" s="51">
        <v>8855.5</v>
      </c>
      <c r="BY101" s="51">
        <v>8920.4</v>
      </c>
      <c r="BZ101" s="51">
        <v>8985.1</v>
      </c>
      <c r="CA101" s="51">
        <v>9102.7000000000007</v>
      </c>
      <c r="CB101" s="51">
        <v>9128.2000000000007</v>
      </c>
      <c r="CC101" s="51">
        <v>9311.2999999999993</v>
      </c>
      <c r="CD101" s="51">
        <v>10144</v>
      </c>
      <c r="CE101" s="51">
        <v>10546.2</v>
      </c>
      <c r="CF101" s="51">
        <v>11277.4</v>
      </c>
      <c r="CG101" s="51">
        <v>11863.2</v>
      </c>
      <c r="CH101" s="51">
        <v>12913.6</v>
      </c>
      <c r="CI101" s="51">
        <v>13624</v>
      </c>
      <c r="CJ101" s="51">
        <v>14829.4</v>
      </c>
      <c r="CK101" s="51"/>
      <c r="CL101" s="51"/>
      <c r="CM101" s="51"/>
      <c r="CN101" s="51"/>
      <c r="CO101" s="51"/>
      <c r="CP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Z101" s="49">
        <f t="shared" si="377"/>
        <v>7872.9</v>
      </c>
      <c r="EA101" s="49">
        <f t="shared" si="378"/>
        <v>8681.9</v>
      </c>
      <c r="EB101" s="49">
        <f t="shared" si="379"/>
        <v>8985.1</v>
      </c>
      <c r="EC101" s="49">
        <f t="shared" si="380"/>
        <v>10144</v>
      </c>
      <c r="ED101" s="49">
        <f t="shared" si="381"/>
        <v>12913.6</v>
      </c>
    </row>
    <row r="102" spans="1:134" s="49" customFormat="1" x14ac:dyDescent="0.2">
      <c r="A102" s="98"/>
      <c r="B102" s="50" t="s">
        <v>386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>
        <v>546.5</v>
      </c>
      <c r="BP102" s="51">
        <v>545.5</v>
      </c>
      <c r="BQ102" s="51">
        <v>535.70000000000005</v>
      </c>
      <c r="BR102" s="51">
        <f>532.1+2339.1</f>
        <v>2871.2</v>
      </c>
      <c r="BS102" s="51">
        <v>3044.6</v>
      </c>
      <c r="BT102" s="51">
        <v>3080.1</v>
      </c>
      <c r="BU102" s="51">
        <v>3078.5</v>
      </c>
      <c r="BV102" s="51">
        <v>3475.4</v>
      </c>
      <c r="BW102" s="51">
        <v>3756.2</v>
      </c>
      <c r="BX102" s="51">
        <v>3638.6</v>
      </c>
      <c r="BY102" s="51">
        <v>3710.4</v>
      </c>
      <c r="BZ102" s="51">
        <v>4082.7</v>
      </c>
      <c r="CA102" s="51">
        <v>4285.3</v>
      </c>
      <c r="CB102" s="51">
        <v>4471.6000000000004</v>
      </c>
      <c r="CC102" s="51">
        <v>4535.7</v>
      </c>
      <c r="CD102" s="51">
        <v>4337</v>
      </c>
      <c r="CE102" s="51">
        <v>4488.1000000000004</v>
      </c>
      <c r="CF102" s="51">
        <v>4671.6000000000004</v>
      </c>
      <c r="CG102" s="51">
        <v>4911.8999999999996</v>
      </c>
      <c r="CH102" s="51">
        <v>4989.8999999999996</v>
      </c>
      <c r="CI102" s="51">
        <v>4708.1000000000004</v>
      </c>
      <c r="CJ102" s="51">
        <v>4903.8999999999996</v>
      </c>
      <c r="CK102" s="51"/>
      <c r="CL102" s="51"/>
      <c r="CM102" s="51"/>
      <c r="CN102" s="51"/>
      <c r="CO102" s="51"/>
      <c r="CP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Z102" s="49">
        <f t="shared" si="377"/>
        <v>2871.2</v>
      </c>
      <c r="EA102" s="49">
        <f t="shared" si="378"/>
        <v>3475.4</v>
      </c>
      <c r="EB102" s="49">
        <f t="shared" si="379"/>
        <v>4082.7</v>
      </c>
      <c r="EC102" s="49">
        <f t="shared" si="380"/>
        <v>4337</v>
      </c>
      <c r="ED102" s="49">
        <f t="shared" si="381"/>
        <v>4989.8999999999996</v>
      </c>
    </row>
    <row r="103" spans="1:134" s="49" customFormat="1" x14ac:dyDescent="0.2">
      <c r="A103" s="98"/>
      <c r="B103" s="50" t="s">
        <v>292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f>SUM(AH92:AH101)</f>
        <v>31001.4</v>
      </c>
      <c r="AI103" s="51">
        <f>SUM(AI92:AI101)</f>
        <v>31695.3</v>
      </c>
      <c r="AJ103" s="51">
        <f t="shared" ref="AJ103" si="382">SUM(AJ92:AJ101)</f>
        <v>32779.299999999996</v>
      </c>
      <c r="AK103" s="51">
        <f>SUM(AK92:AK101)</f>
        <v>33042.199999999997</v>
      </c>
      <c r="AL103" s="51">
        <f>SUM(AL92:AL101)</f>
        <v>33659.80000000001</v>
      </c>
      <c r="AM103" s="51">
        <f>SUM(AM92:AM101)</f>
        <v>32238.200000000004</v>
      </c>
      <c r="AN103" s="51">
        <f>SUM(AN92:AN101)</f>
        <v>31812.6</v>
      </c>
      <c r="AO103" s="51">
        <f>SUM(AO92:AO101)</f>
        <v>34321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>
        <f t="shared" ref="BO103:BR103" si="383">SUM(BO92:BO102)</f>
        <v>38006.800000000003</v>
      </c>
      <c r="BP103" s="51">
        <f t="shared" si="383"/>
        <v>38666.400000000001</v>
      </c>
      <c r="BQ103" s="51">
        <f t="shared" si="383"/>
        <v>37893.1</v>
      </c>
      <c r="BR103" s="51">
        <f t="shared" si="383"/>
        <v>39286.1</v>
      </c>
      <c r="BS103" s="51">
        <f t="shared" ref="BS103:BV103" si="384">SUM(BS92:BS102)</f>
        <v>41102.799999999996</v>
      </c>
      <c r="BT103" s="51">
        <f t="shared" si="384"/>
        <v>41967</v>
      </c>
      <c r="BU103" s="51">
        <f t="shared" si="384"/>
        <v>43946</v>
      </c>
      <c r="BV103" s="51">
        <f t="shared" si="384"/>
        <v>46633.100000000006</v>
      </c>
      <c r="BW103" s="51">
        <f t="shared" ref="BW103" si="385">SUM(BW92:BW102)</f>
        <v>46838.299999999996</v>
      </c>
      <c r="BX103" s="51">
        <f t="shared" ref="BX103" si="386">SUM(BX92:BX102)</f>
        <v>47808.999999999993</v>
      </c>
      <c r="BY103" s="51">
        <f t="shared" ref="BY103:CJ103" si="387">SUM(BY92:BY102)</f>
        <v>48187</v>
      </c>
      <c r="BZ103" s="51">
        <f t="shared" si="387"/>
        <v>48806</v>
      </c>
      <c r="CA103" s="51">
        <f t="shared" si="387"/>
        <v>46919.3</v>
      </c>
      <c r="CB103" s="51">
        <f t="shared" si="387"/>
        <v>47063.6</v>
      </c>
      <c r="CC103" s="51">
        <f t="shared" si="387"/>
        <v>47461.5</v>
      </c>
      <c r="CD103" s="51">
        <f t="shared" si="387"/>
        <v>49489.8</v>
      </c>
      <c r="CE103" s="51">
        <f t="shared" si="387"/>
        <v>53162.999999999993</v>
      </c>
      <c r="CF103" s="51">
        <f t="shared" si="387"/>
        <v>54814</v>
      </c>
      <c r="CG103" s="51">
        <f t="shared" si="387"/>
        <v>57915.500000000007</v>
      </c>
      <c r="CH103" s="51">
        <f t="shared" si="387"/>
        <v>64006.3</v>
      </c>
      <c r="CI103" s="51">
        <f t="shared" si="387"/>
        <v>63943.5</v>
      </c>
      <c r="CJ103" s="51">
        <f t="shared" si="387"/>
        <v>71874.799999999988</v>
      </c>
      <c r="CK103" s="51"/>
      <c r="CL103" s="51"/>
      <c r="CM103" s="51"/>
      <c r="CN103" s="51"/>
      <c r="CO103" s="51"/>
      <c r="CP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Z103" s="49">
        <f t="shared" si="377"/>
        <v>39286.1</v>
      </c>
      <c r="EA103" s="49">
        <f t="shared" si="378"/>
        <v>46633.100000000006</v>
      </c>
      <c r="EB103" s="49">
        <f t="shared" si="379"/>
        <v>48806</v>
      </c>
      <c r="EC103" s="49">
        <f t="shared" si="380"/>
        <v>49489.8</v>
      </c>
      <c r="ED103" s="49">
        <f t="shared" si="381"/>
        <v>64006.3</v>
      </c>
    </row>
    <row r="104" spans="1:134" x14ac:dyDescent="0.2">
      <c r="A104" s="102"/>
      <c r="EA104" s="49"/>
      <c r="EB104" s="49"/>
      <c r="EC104" s="49"/>
    </row>
    <row r="105" spans="1:134" s="49" customFormat="1" x14ac:dyDescent="0.2">
      <c r="A105" s="98"/>
      <c r="B105" s="50" t="s">
        <v>175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f>156+6770.5</f>
        <v>6926.5</v>
      </c>
      <c r="AI105" s="51">
        <f>1539.9+5132.4</f>
        <v>6672.2999999999993</v>
      </c>
      <c r="AJ105" s="51">
        <f>1528.5+5200.1</f>
        <v>6728.6</v>
      </c>
      <c r="AK105" s="51">
        <f>1628.7+5451.3</f>
        <v>7080</v>
      </c>
      <c r="AL105" s="51">
        <f>1522.3+5464.7</f>
        <v>6987</v>
      </c>
      <c r="AM105" s="51">
        <f>10.6+5403.2</f>
        <v>5413.8</v>
      </c>
      <c r="AN105" s="51">
        <f>9.1+5500.2</f>
        <v>5509.3</v>
      </c>
      <c r="AO105" s="51">
        <f>9.1+5510.9</f>
        <v>5520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>
        <f>2354.9+13610.2</f>
        <v>15965.1</v>
      </c>
      <c r="BP105" s="51">
        <f>2068.6+13717.6</f>
        <v>15786.2</v>
      </c>
      <c r="BQ105" s="51">
        <f>1563.1+13662.2</f>
        <v>15225.300000000001</v>
      </c>
      <c r="BR105" s="51">
        <f>1499.3+13817.9</f>
        <v>15317.199999999999</v>
      </c>
      <c r="BS105" s="51">
        <f>3248+13982.3</f>
        <v>17230.3</v>
      </c>
      <c r="BT105" s="51">
        <f>1263.8+15064.4</f>
        <v>16328.199999999999</v>
      </c>
      <c r="BU105" s="51">
        <f>587.5+16334.6</f>
        <v>16922.099999999999</v>
      </c>
      <c r="BV105" s="51">
        <f>16586.6+8.7</f>
        <v>16595.3</v>
      </c>
      <c r="BW105" s="51">
        <f>4.9+16199.6</f>
        <v>16204.5</v>
      </c>
      <c r="BX105" s="51">
        <f>1778.5+14736.6</f>
        <v>16515.099999999999</v>
      </c>
      <c r="BY105" s="51">
        <f>1563+15522.4</f>
        <v>17085.400000000001</v>
      </c>
      <c r="BZ105" s="51">
        <f>1538.3+15346.4</f>
        <v>16884.7</v>
      </c>
      <c r="CA105" s="51">
        <f>1355.9+15152.9</f>
        <v>16508.8</v>
      </c>
      <c r="CB105" s="51">
        <f>2121.8+14692</f>
        <v>16813.8</v>
      </c>
      <c r="CC105" s="51">
        <f>1744.6+14143.8</f>
        <v>15888.4</v>
      </c>
      <c r="CD105" s="51">
        <f>1501.1+14737.5</f>
        <v>16238.6</v>
      </c>
      <c r="CE105" s="51">
        <f>18880.5+3.1</f>
        <v>18883.599999999999</v>
      </c>
      <c r="CF105" s="51">
        <f>661.6+18158.4</f>
        <v>18820</v>
      </c>
      <c r="CG105" s="51">
        <f>2244.7+17923.6</f>
        <v>20168.3</v>
      </c>
      <c r="CH105" s="51">
        <f>6904.5+18320.8</f>
        <v>25225.3</v>
      </c>
      <c r="CI105" s="51">
        <f>24559.9+1651.5</f>
        <v>26211.4</v>
      </c>
      <c r="CJ105" s="51">
        <f>5161.6+23730.4</f>
        <v>28892</v>
      </c>
      <c r="CK105" s="51"/>
      <c r="CL105" s="51"/>
      <c r="CM105" s="51"/>
      <c r="CN105" s="51"/>
      <c r="CO105" s="51"/>
      <c r="CP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Z105" s="49">
        <f t="shared" si="377"/>
        <v>15317.199999999999</v>
      </c>
      <c r="EA105" s="49">
        <f t="shared" ref="EA105:EA116" si="388">+BV105</f>
        <v>16595.3</v>
      </c>
      <c r="EB105" s="49">
        <f t="shared" si="379"/>
        <v>16884.7</v>
      </c>
      <c r="EC105" s="49">
        <f t="shared" si="380"/>
        <v>16238.6</v>
      </c>
      <c r="ED105" s="49">
        <f t="shared" si="381"/>
        <v>25225.3</v>
      </c>
    </row>
    <row r="106" spans="1:134" s="49" customFormat="1" x14ac:dyDescent="0.2">
      <c r="A106" s="98"/>
      <c r="B106" s="50" t="s">
        <v>293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1072.2</v>
      </c>
      <c r="AI106" s="51">
        <v>1183.2</v>
      </c>
      <c r="AJ106" s="51">
        <v>1187.5999999999999</v>
      </c>
      <c r="AK106" s="51">
        <v>1154.3</v>
      </c>
      <c r="AL106" s="51">
        <v>1125.2</v>
      </c>
      <c r="AM106" s="51">
        <v>1246.3</v>
      </c>
      <c r="AN106" s="51">
        <v>1201.5999999999999</v>
      </c>
      <c r="AO106" s="51">
        <v>1328.7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>
        <v>1168.0999999999999</v>
      </c>
      <c r="BP106" s="51">
        <v>1198.9000000000001</v>
      </c>
      <c r="BQ106" s="51">
        <v>1114.9000000000001</v>
      </c>
      <c r="BR106" s="51">
        <v>1405.3</v>
      </c>
      <c r="BS106" s="51">
        <v>1207.7</v>
      </c>
      <c r="BT106" s="51">
        <v>1247.2</v>
      </c>
      <c r="BU106" s="51">
        <v>1430.1</v>
      </c>
      <c r="BV106" s="51">
        <v>1606.7</v>
      </c>
      <c r="BW106" s="51">
        <v>1639.6</v>
      </c>
      <c r="BX106" s="51">
        <v>1597.8</v>
      </c>
      <c r="BY106" s="51">
        <v>1566.8</v>
      </c>
      <c r="BZ106" s="51">
        <v>1670.6</v>
      </c>
      <c r="CA106" s="51">
        <v>1433.3</v>
      </c>
      <c r="CB106" s="51">
        <v>1659.3</v>
      </c>
      <c r="CC106" s="51">
        <v>1683.2</v>
      </c>
      <c r="CD106" s="51">
        <v>1930.6</v>
      </c>
      <c r="CE106" s="51">
        <v>2015.9</v>
      </c>
      <c r="CF106" s="51">
        <f>2474.2</f>
        <v>2474.1999999999998</v>
      </c>
      <c r="CG106" s="51">
        <v>2435.1</v>
      </c>
      <c r="CH106" s="51">
        <v>2598.8000000000002</v>
      </c>
      <c r="CI106" s="51">
        <v>2473.6999999999998</v>
      </c>
      <c r="CJ106" s="51">
        <v>2924.8</v>
      </c>
      <c r="CK106" s="51"/>
      <c r="CL106" s="51"/>
      <c r="CM106" s="51"/>
      <c r="CN106" s="51"/>
      <c r="CO106" s="51"/>
      <c r="CP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Z106" s="49">
        <f t="shared" si="377"/>
        <v>1405.3</v>
      </c>
      <c r="EA106" s="49">
        <f t="shared" si="388"/>
        <v>1606.7</v>
      </c>
      <c r="EB106" s="49">
        <f t="shared" si="379"/>
        <v>1670.6</v>
      </c>
      <c r="EC106" s="49">
        <f t="shared" si="380"/>
        <v>1930.6</v>
      </c>
      <c r="ED106" s="49">
        <f t="shared" si="381"/>
        <v>2598.8000000000002</v>
      </c>
    </row>
    <row r="107" spans="1:134" s="49" customFormat="1" x14ac:dyDescent="0.2">
      <c r="A107" s="98"/>
      <c r="B107" s="50" t="s">
        <v>294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851.8</v>
      </c>
      <c r="AI107" s="51">
        <v>524</v>
      </c>
      <c r="AJ107" s="51">
        <v>584.70000000000005</v>
      </c>
      <c r="AK107" s="51">
        <v>689.3</v>
      </c>
      <c r="AL107" s="51">
        <v>804.7</v>
      </c>
      <c r="AM107" s="51">
        <v>533.79999999999995</v>
      </c>
      <c r="AN107" s="51">
        <v>602.9</v>
      </c>
      <c r="AO107" s="51">
        <v>772.7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>
        <v>511.7</v>
      </c>
      <c r="BP107" s="51">
        <v>588.20000000000005</v>
      </c>
      <c r="BQ107" s="51">
        <v>704.5</v>
      </c>
      <c r="BR107" s="51">
        <v>915.5</v>
      </c>
      <c r="BS107" s="51">
        <v>565.79999999999995</v>
      </c>
      <c r="BT107" s="51">
        <v>673.6</v>
      </c>
      <c r="BU107" s="51">
        <v>795.6</v>
      </c>
      <c r="BV107" s="51">
        <v>997.2</v>
      </c>
      <c r="BW107" s="51">
        <v>649.9</v>
      </c>
      <c r="BX107" s="51">
        <v>755.5</v>
      </c>
      <c r="BY107" s="51">
        <v>836.6</v>
      </c>
      <c r="BZ107" s="51">
        <v>958.1</v>
      </c>
      <c r="CA107" s="51">
        <v>693.1</v>
      </c>
      <c r="CB107" s="51">
        <v>835.8</v>
      </c>
      <c r="CC107" s="51">
        <v>984.1</v>
      </c>
      <c r="CD107" s="51">
        <v>1059.8</v>
      </c>
      <c r="CE107" s="51">
        <v>739.7</v>
      </c>
      <c r="CF107" s="51">
        <v>867.7</v>
      </c>
      <c r="CG107" s="51">
        <v>1233.2</v>
      </c>
      <c r="CH107" s="51">
        <v>1650.4</v>
      </c>
      <c r="CI107" s="51">
        <v>844.2</v>
      </c>
      <c r="CJ107" s="51">
        <v>1168.3</v>
      </c>
      <c r="CK107" s="51"/>
      <c r="CL107" s="51"/>
      <c r="CM107" s="51"/>
      <c r="CN107" s="51"/>
      <c r="CO107" s="51"/>
      <c r="CP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Z107" s="49">
        <f t="shared" si="377"/>
        <v>915.5</v>
      </c>
      <c r="EA107" s="49">
        <f t="shared" si="388"/>
        <v>997.2</v>
      </c>
      <c r="EB107" s="49">
        <f t="shared" si="379"/>
        <v>958.1</v>
      </c>
      <c r="EC107" s="49">
        <f t="shared" si="380"/>
        <v>1059.8</v>
      </c>
      <c r="ED107" s="49">
        <f t="shared" si="381"/>
        <v>1650.4</v>
      </c>
    </row>
    <row r="108" spans="1:134" s="49" customFormat="1" x14ac:dyDescent="0.2">
      <c r="A108" s="98"/>
      <c r="B108" s="50" t="s">
        <v>295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1372.6</v>
      </c>
      <c r="AI108" s="51">
        <v>1489.5</v>
      </c>
      <c r="AJ108" s="51">
        <v>1807.6</v>
      </c>
      <c r="AK108" s="51">
        <v>1882.3</v>
      </c>
      <c r="AL108" s="51">
        <v>1771.3</v>
      </c>
      <c r="AM108" s="51">
        <v>1619.8</v>
      </c>
      <c r="AN108" s="51">
        <v>1628.6</v>
      </c>
      <c r="AO108" s="51">
        <v>1695.6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>
        <v>4455.7</v>
      </c>
      <c r="BP108" s="51">
        <v>4993.7</v>
      </c>
      <c r="BQ108" s="51">
        <v>5277</v>
      </c>
      <c r="BR108" s="51">
        <v>4933.6000000000004</v>
      </c>
      <c r="BS108" s="51">
        <v>4703.8999999999996</v>
      </c>
      <c r="BT108" s="51">
        <v>5282.2</v>
      </c>
      <c r="BU108" s="51">
        <v>5745.2</v>
      </c>
      <c r="BV108" s="51">
        <v>5853</v>
      </c>
      <c r="BW108" s="51">
        <v>5821.4</v>
      </c>
      <c r="BX108" s="51">
        <v>7035.8</v>
      </c>
      <c r="BY108" s="51">
        <v>7185.6</v>
      </c>
      <c r="BZ108" s="51">
        <v>6845.8</v>
      </c>
      <c r="CA108" s="51">
        <v>6768.7</v>
      </c>
      <c r="CB108" s="51">
        <v>7991.4</v>
      </c>
      <c r="CC108" s="51">
        <v>8568.4</v>
      </c>
      <c r="CD108" s="51">
        <v>8784.1</v>
      </c>
      <c r="CE108" s="51">
        <v>9529.5</v>
      </c>
      <c r="CF108" s="51">
        <v>10389.9</v>
      </c>
      <c r="CG108" s="51">
        <v>11522.3</v>
      </c>
      <c r="CH108" s="51">
        <v>11689</v>
      </c>
      <c r="CI108" s="51">
        <v>9429.6</v>
      </c>
      <c r="CJ108" s="51">
        <v>12446.8</v>
      </c>
      <c r="CK108" s="51"/>
      <c r="CL108" s="51"/>
      <c r="CM108" s="51"/>
      <c r="CN108" s="51"/>
      <c r="CO108" s="51"/>
      <c r="CP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Z108" s="49">
        <f t="shared" si="377"/>
        <v>4933.6000000000004</v>
      </c>
      <c r="EA108" s="49">
        <f t="shared" si="388"/>
        <v>5853</v>
      </c>
      <c r="EB108" s="49">
        <f t="shared" si="379"/>
        <v>6845.8</v>
      </c>
      <c r="EC108" s="49">
        <f t="shared" si="380"/>
        <v>8784.1</v>
      </c>
      <c r="ED108" s="49">
        <f t="shared" si="381"/>
        <v>11689</v>
      </c>
    </row>
    <row r="109" spans="1:134" s="49" customFormat="1" x14ac:dyDescent="0.2">
      <c r="A109" s="98"/>
      <c r="B109" s="50" t="s">
        <v>296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540</v>
      </c>
      <c r="AI109" s="51">
        <v>0</v>
      </c>
      <c r="AJ109" s="51">
        <v>542.29999999999995</v>
      </c>
      <c r="AK109" s="51">
        <v>0</v>
      </c>
      <c r="AL109" s="51">
        <v>542.29999999999995</v>
      </c>
      <c r="AM109" s="51">
        <v>0</v>
      </c>
      <c r="AN109" s="51">
        <v>543.6</v>
      </c>
      <c r="AO109" s="51">
        <v>0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>
        <v>0</v>
      </c>
      <c r="BP109" s="51">
        <v>593.9</v>
      </c>
      <c r="BQ109" s="51">
        <v>0</v>
      </c>
      <c r="BR109" s="51">
        <v>671.5</v>
      </c>
      <c r="BS109" s="51">
        <v>0</v>
      </c>
      <c r="BT109" s="51">
        <v>0</v>
      </c>
      <c r="BU109" s="51">
        <v>0</v>
      </c>
      <c r="BV109" s="51">
        <v>770.6</v>
      </c>
      <c r="BW109" s="51">
        <v>0</v>
      </c>
      <c r="BX109" s="51">
        <v>770.8</v>
      </c>
      <c r="BY109" s="51">
        <v>0</v>
      </c>
      <c r="BZ109" s="51">
        <v>885.5</v>
      </c>
      <c r="CA109" s="51">
        <v>0</v>
      </c>
      <c r="CB109" s="51">
        <v>882.2</v>
      </c>
      <c r="CC109" s="51">
        <v>0</v>
      </c>
      <c r="CD109" s="51">
        <v>1017.2</v>
      </c>
      <c r="CE109" s="51">
        <v>0</v>
      </c>
      <c r="CF109" s="51">
        <v>1016.2</v>
      </c>
      <c r="CG109" s="51">
        <v>0</v>
      </c>
      <c r="CH109" s="51">
        <v>1169.2</v>
      </c>
      <c r="CI109" s="51">
        <v>0</v>
      </c>
      <c r="CJ109" s="51">
        <v>1170.5</v>
      </c>
      <c r="CK109" s="51"/>
      <c r="CL109" s="51"/>
      <c r="CM109" s="51"/>
      <c r="CN109" s="51"/>
      <c r="CO109" s="51"/>
      <c r="CP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Z109" s="49">
        <f t="shared" si="377"/>
        <v>671.5</v>
      </c>
      <c r="EA109" s="49">
        <f t="shared" si="388"/>
        <v>770.6</v>
      </c>
      <c r="EB109" s="49">
        <f t="shared" si="379"/>
        <v>885.5</v>
      </c>
      <c r="EC109" s="49">
        <f t="shared" si="380"/>
        <v>1017.2</v>
      </c>
      <c r="ED109" s="49">
        <f t="shared" si="381"/>
        <v>1169.2</v>
      </c>
    </row>
    <row r="110" spans="1:134" s="49" customFormat="1" x14ac:dyDescent="0.2">
      <c r="A110" s="98"/>
      <c r="B110" s="50" t="s">
        <v>82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v>457.5</v>
      </c>
      <c r="AI110" s="51">
        <v>315.2</v>
      </c>
      <c r="AJ110" s="51">
        <v>183.1</v>
      </c>
      <c r="AK110" s="51">
        <v>144.4</v>
      </c>
      <c r="AL110" s="51">
        <v>261.60000000000002</v>
      </c>
      <c r="AM110" s="51">
        <v>388.8</v>
      </c>
      <c r="AN110" s="51">
        <v>33.5</v>
      </c>
      <c r="AO110" s="51">
        <v>338.2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>
        <v>491.4</v>
      </c>
      <c r="BP110" s="51">
        <v>222.9</v>
      </c>
      <c r="BQ110" s="51">
        <v>180.7</v>
      </c>
      <c r="BR110" s="51">
        <v>160.6</v>
      </c>
      <c r="BS110" s="51">
        <v>667.4</v>
      </c>
      <c r="BT110" s="51">
        <v>1460.8</v>
      </c>
      <c r="BU110" s="51">
        <v>1173.5</v>
      </c>
      <c r="BV110" s="51">
        <v>495.1</v>
      </c>
      <c r="BW110" s="51">
        <v>791.6</v>
      </c>
      <c r="BX110" s="51">
        <v>529.9</v>
      </c>
      <c r="BY110" s="51">
        <v>203.5</v>
      </c>
      <c r="BZ110" s="51">
        <v>126.9</v>
      </c>
      <c r="CA110" s="51">
        <v>598.29999999999995</v>
      </c>
      <c r="CB110" s="51">
        <v>126.6</v>
      </c>
      <c r="CC110" s="51">
        <v>685.6</v>
      </c>
      <c r="CD110" s="51">
        <v>475.1</v>
      </c>
      <c r="CE110" s="51">
        <v>1528.3</v>
      </c>
      <c r="CF110" s="51">
        <v>1233.8</v>
      </c>
      <c r="CG110" s="51">
        <v>1977.5</v>
      </c>
      <c r="CH110" s="51">
        <v>0</v>
      </c>
      <c r="CI110" s="51">
        <v>0</v>
      </c>
      <c r="CJ110" s="51">
        <v>0</v>
      </c>
      <c r="CK110" s="51"/>
      <c r="CL110" s="51"/>
      <c r="CM110" s="51"/>
      <c r="CN110" s="51"/>
      <c r="CO110" s="51"/>
      <c r="CP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Z110" s="49">
        <f t="shared" si="377"/>
        <v>160.6</v>
      </c>
      <c r="EA110" s="49">
        <f t="shared" si="388"/>
        <v>495.1</v>
      </c>
      <c r="EB110" s="49">
        <f t="shared" si="379"/>
        <v>126.9</v>
      </c>
      <c r="EC110" s="49">
        <f t="shared" si="380"/>
        <v>475.1</v>
      </c>
      <c r="ED110" s="49">
        <f t="shared" si="381"/>
        <v>0</v>
      </c>
    </row>
    <row r="111" spans="1:134" s="49" customFormat="1" x14ac:dyDescent="0.2">
      <c r="A111" s="98"/>
      <c r="B111" s="50" t="s">
        <v>297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>
        <v>2651.3</v>
      </c>
      <c r="AI111" s="51">
        <v>2600</v>
      </c>
      <c r="AJ111" s="51">
        <v>2786.7</v>
      </c>
      <c r="AK111" s="51">
        <v>2720.3</v>
      </c>
      <c r="AL111" s="51">
        <v>2903.5</v>
      </c>
      <c r="AM111" s="51">
        <v>2754.4</v>
      </c>
      <c r="AN111" s="51">
        <v>2590.4</v>
      </c>
      <c r="AO111" s="51">
        <v>2816.4</v>
      </c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>
        <v>2254.3000000000002</v>
      </c>
      <c r="BP111" s="51">
        <v>2189.1999999999998</v>
      </c>
      <c r="BQ111" s="51">
        <v>1988.4</v>
      </c>
      <c r="BR111" s="51">
        <v>2189.4</v>
      </c>
      <c r="BS111" s="51">
        <v>2217.4</v>
      </c>
      <c r="BT111" s="51">
        <v>2060.9</v>
      </c>
      <c r="BU111" s="51">
        <v>2245</v>
      </c>
      <c r="BV111" s="51">
        <v>2750.3</v>
      </c>
      <c r="BW111" s="51">
        <v>2806.8</v>
      </c>
      <c r="BX111" s="51">
        <v>2624.9</v>
      </c>
      <c r="BY111" s="51">
        <v>2326.5</v>
      </c>
      <c r="BZ111" s="51">
        <v>3027.5</v>
      </c>
      <c r="CA111" s="51">
        <v>2536.6999999999998</v>
      </c>
      <c r="CB111" s="51">
        <v>2003.5</v>
      </c>
      <c r="CC111" s="51">
        <v>1986.9</v>
      </c>
      <c r="CD111" s="51">
        <v>2370.3000000000002</v>
      </c>
      <c r="CE111" s="51">
        <v>2193.5</v>
      </c>
      <c r="CF111" s="51">
        <v>2271.6</v>
      </c>
      <c r="CG111" s="51">
        <v>2585.4</v>
      </c>
      <c r="CH111" s="51">
        <v>3281.3</v>
      </c>
      <c r="CI111" s="51">
        <v>4199.1000000000004</v>
      </c>
      <c r="CJ111" s="51">
        <v>4249.2</v>
      </c>
      <c r="CK111" s="51"/>
      <c r="CL111" s="51"/>
      <c r="CM111" s="51"/>
      <c r="CN111" s="51"/>
      <c r="CO111" s="51"/>
      <c r="CP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Z111" s="49">
        <f t="shared" si="377"/>
        <v>2189.4</v>
      </c>
      <c r="EA111" s="49">
        <f t="shared" si="388"/>
        <v>2750.3</v>
      </c>
      <c r="EB111" s="49">
        <f t="shared" si="379"/>
        <v>3027.5</v>
      </c>
      <c r="EC111" s="49">
        <f t="shared" si="380"/>
        <v>2370.3000000000002</v>
      </c>
      <c r="ED111" s="49">
        <f t="shared" si="381"/>
        <v>3281.3</v>
      </c>
    </row>
    <row r="112" spans="1:134" s="49" customFormat="1" x14ac:dyDescent="0.2">
      <c r="A112" s="98"/>
      <c r="B112" s="50" t="s">
        <v>298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>
        <v>1887.4</v>
      </c>
      <c r="AI112" s="51">
        <v>1866.4</v>
      </c>
      <c r="AJ112" s="51">
        <v>1848.6</v>
      </c>
      <c r="AK112" s="51">
        <v>1805.9</v>
      </c>
      <c r="AL112" s="51">
        <v>3068.5</v>
      </c>
      <c r="AM112" s="51">
        <v>2766.5</v>
      </c>
      <c r="AN112" s="51">
        <v>2714.5</v>
      </c>
      <c r="AO112" s="51">
        <v>2702.4</v>
      </c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>
        <v>2757.6</v>
      </c>
      <c r="BP112" s="51">
        <v>2723.4</v>
      </c>
      <c r="BQ112" s="51">
        <v>2414.1999999999998</v>
      </c>
      <c r="BR112" s="51">
        <v>3698.2</v>
      </c>
      <c r="BS112" s="51">
        <v>3632</v>
      </c>
      <c r="BT112" s="51">
        <v>3398.6</v>
      </c>
      <c r="BU112" s="51">
        <v>3435.5</v>
      </c>
      <c r="BV112" s="51">
        <v>4094.5</v>
      </c>
      <c r="BW112" s="51">
        <v>3969.8</v>
      </c>
      <c r="BX112" s="51">
        <v>3918.5</v>
      </c>
      <c r="BY112" s="51">
        <v>3878.8</v>
      </c>
      <c r="BZ112" s="51">
        <v>1954.1</v>
      </c>
      <c r="CA112" s="51">
        <v>1940.3</v>
      </c>
      <c r="CB112" s="51">
        <v>1888.6</v>
      </c>
      <c r="CC112" s="51">
        <v>1832.5</v>
      </c>
      <c r="CD112" s="51">
        <v>1305.0999999999999</v>
      </c>
      <c r="CE112" s="51">
        <v>1313</v>
      </c>
      <c r="CF112" s="51">
        <v>1308.8</v>
      </c>
      <c r="CG112" s="51">
        <v>1311.9</v>
      </c>
      <c r="CH112" s="51">
        <v>1438.8</v>
      </c>
      <c r="CI112" s="51">
        <v>1427.9</v>
      </c>
      <c r="CJ112" s="51">
        <v>1420.4</v>
      </c>
      <c r="CK112" s="51"/>
      <c r="CL112" s="51"/>
      <c r="CM112" s="51"/>
      <c r="CN112" s="51"/>
      <c r="CO112" s="51"/>
      <c r="CP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Z112" s="49">
        <f t="shared" si="377"/>
        <v>3698.2</v>
      </c>
      <c r="EA112" s="49">
        <f t="shared" si="388"/>
        <v>4094.5</v>
      </c>
      <c r="EB112" s="49">
        <f t="shared" si="379"/>
        <v>1954.1</v>
      </c>
      <c r="EC112" s="49">
        <f t="shared" si="380"/>
        <v>1305.0999999999999</v>
      </c>
      <c r="ED112" s="49">
        <f t="shared" si="381"/>
        <v>1438.8</v>
      </c>
    </row>
    <row r="113" spans="1:134" s="49" customFormat="1" x14ac:dyDescent="0.2">
      <c r="A113" s="98"/>
      <c r="B113" s="50" t="s">
        <v>82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>
        <v>1234.8</v>
      </c>
      <c r="AI113" s="51">
        <v>1224.3</v>
      </c>
      <c r="AJ113" s="51">
        <v>1283</v>
      </c>
      <c r="AK113" s="51">
        <v>1058.8</v>
      </c>
      <c r="AL113" s="51">
        <v>1086.3</v>
      </c>
      <c r="AM113" s="51">
        <v>1158.3</v>
      </c>
      <c r="AN113" s="51">
        <v>1207.5</v>
      </c>
      <c r="AO113" s="51">
        <v>1275.0999999999999</v>
      </c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>
        <f>3760.4+2399.5</f>
        <v>6159.9</v>
      </c>
      <c r="BP113" s="51">
        <f>2380.9+3485.7</f>
        <v>5866.6</v>
      </c>
      <c r="BQ113" s="51">
        <f>3526.5+2413.7</f>
        <v>5940.2</v>
      </c>
      <c r="BR113" s="51">
        <f>3607.2+1014.3</f>
        <v>4621.5</v>
      </c>
      <c r="BS113" s="51">
        <f>3621.9+2186.2</f>
        <v>5808.1</v>
      </c>
      <c r="BT113" s="51">
        <f>3377.5+2039.2</f>
        <v>5416.7</v>
      </c>
      <c r="BU113" s="51">
        <f>3392.7+2107.7</f>
        <v>5500.4</v>
      </c>
      <c r="BV113" s="51">
        <f>3837.8+2099.9</f>
        <v>5937.7000000000007</v>
      </c>
      <c r="BW113" s="51">
        <f>3917.5+2200.6</f>
        <v>6118.1</v>
      </c>
      <c r="BX113" s="51">
        <f>3738+1857.3</f>
        <v>5595.3</v>
      </c>
      <c r="BY113" s="51">
        <f>3768.5+1632.5</f>
        <v>5401</v>
      </c>
      <c r="BZ113" s="51">
        <f>3920+1733.7</f>
        <v>5653.7</v>
      </c>
      <c r="CA113" s="51">
        <f>1286.1+3978.1</f>
        <v>5264.2</v>
      </c>
      <c r="CB113" s="51">
        <f>3557.6+862.5</f>
        <v>4420.1000000000004</v>
      </c>
      <c r="CC113" s="51">
        <f>3641.7+171.9</f>
        <v>3813.6</v>
      </c>
      <c r="CD113" s="51">
        <f>3709.6+87.3</f>
        <v>3796.9</v>
      </c>
      <c r="CE113" s="51">
        <v>3842.1</v>
      </c>
      <c r="CF113" s="51">
        <v>3330.7</v>
      </c>
      <c r="CG113" s="51">
        <v>3468.3</v>
      </c>
      <c r="CH113" s="51">
        <v>3849.2</v>
      </c>
      <c r="CI113" s="51">
        <v>4189.3999999999996</v>
      </c>
      <c r="CJ113" s="51">
        <v>3496.6</v>
      </c>
      <c r="CK113" s="51"/>
      <c r="CL113" s="51"/>
      <c r="CM113" s="51"/>
      <c r="CN113" s="51"/>
      <c r="CO113" s="51"/>
      <c r="CP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Z113" s="49">
        <f t="shared" si="377"/>
        <v>4621.5</v>
      </c>
      <c r="EA113" s="49">
        <f t="shared" si="388"/>
        <v>5937.7000000000007</v>
      </c>
      <c r="EB113" s="49">
        <f t="shared" si="379"/>
        <v>5653.7</v>
      </c>
      <c r="EC113" s="49">
        <f t="shared" si="380"/>
        <v>3796.9</v>
      </c>
      <c r="ED113" s="49">
        <f t="shared" si="381"/>
        <v>3849.2</v>
      </c>
    </row>
    <row r="114" spans="1:134" s="49" customFormat="1" x14ac:dyDescent="0.2">
      <c r="A114" s="98"/>
      <c r="B114" s="50" t="s">
        <v>299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>
        <v>1594.5</v>
      </c>
      <c r="AI114" s="51">
        <v>1886.2</v>
      </c>
      <c r="AJ114" s="51">
        <v>1550.1</v>
      </c>
      <c r="AK114" s="51">
        <v>1449</v>
      </c>
      <c r="AL114" s="51">
        <v>1573.8</v>
      </c>
      <c r="AM114" s="51">
        <v>1533.9</v>
      </c>
      <c r="AN114" s="51">
        <v>1472.8</v>
      </c>
      <c r="AO114" s="51">
        <v>1815</v>
      </c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>
        <f>1169.8+508.2</f>
        <v>1678</v>
      </c>
      <c r="BP114" s="51">
        <f>1142.8+503.3</f>
        <v>1646.1</v>
      </c>
      <c r="BQ114" s="51">
        <f>1100.4+485.2</f>
        <v>1585.6000000000001</v>
      </c>
      <c r="BR114" s="51">
        <v>2187.5</v>
      </c>
      <c r="BS114" s="51">
        <v>1873</v>
      </c>
      <c r="BT114" s="51">
        <v>1826.8</v>
      </c>
      <c r="BU114" s="51">
        <v>1702.6</v>
      </c>
      <c r="BV114" s="51">
        <v>1707.5</v>
      </c>
      <c r="BW114" s="51">
        <v>1737.3</v>
      </c>
      <c r="BX114" s="51">
        <v>1801.9</v>
      </c>
      <c r="BY114" s="51">
        <v>1748.7</v>
      </c>
      <c r="BZ114" s="51">
        <v>1644.3</v>
      </c>
      <c r="CA114" s="51">
        <v>1713.9</v>
      </c>
      <c r="CB114" s="51">
        <v>1783.1</v>
      </c>
      <c r="CC114" s="51">
        <v>1852.9</v>
      </c>
      <c r="CD114" s="51">
        <v>1736.7</v>
      </c>
      <c r="CE114" s="51">
        <v>1822.5</v>
      </c>
      <c r="CF114" s="51">
        <v>1951.8</v>
      </c>
      <c r="CG114" s="51">
        <v>1906.1</v>
      </c>
      <c r="CH114" s="51">
        <v>2240.6</v>
      </c>
      <c r="CI114" s="51">
        <v>2270.8000000000002</v>
      </c>
      <c r="CJ114" s="51">
        <v>2470.6999999999998</v>
      </c>
      <c r="CK114" s="51"/>
      <c r="CL114" s="51"/>
      <c r="CM114" s="51"/>
      <c r="CN114" s="51"/>
      <c r="CO114" s="51"/>
      <c r="CP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Z114" s="49">
        <f t="shared" si="377"/>
        <v>2187.5</v>
      </c>
      <c r="EA114" s="49">
        <f t="shared" si="388"/>
        <v>1707.5</v>
      </c>
      <c r="EB114" s="49">
        <f t="shared" si="379"/>
        <v>1644.3</v>
      </c>
      <c r="EC114" s="49">
        <f t="shared" si="380"/>
        <v>1736.7</v>
      </c>
      <c r="ED114" s="49">
        <f t="shared" si="381"/>
        <v>2240.6</v>
      </c>
    </row>
    <row r="115" spans="1:134" s="49" customFormat="1" x14ac:dyDescent="0.2">
      <c r="A115" s="98"/>
      <c r="B115" s="50" t="s">
        <v>300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>
        <v>12412.8</v>
      </c>
      <c r="AI115" s="51">
        <v>13934.2</v>
      </c>
      <c r="AJ115" s="51">
        <v>14277</v>
      </c>
      <c r="AK115" s="51">
        <v>15057.9</v>
      </c>
      <c r="AL115" s="51">
        <v>13535.6</v>
      </c>
      <c r="AM115" s="51">
        <v>14822.6</v>
      </c>
      <c r="AN115" s="51">
        <v>14307.9</v>
      </c>
      <c r="AO115" s="51">
        <v>16056.9</v>
      </c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>
        <v>2565</v>
      </c>
      <c r="BP115" s="51">
        <v>2857.3</v>
      </c>
      <c r="BQ115" s="51">
        <v>3462.3</v>
      </c>
      <c r="BR115" s="51">
        <f>2699.1+486.7</f>
        <v>3185.7999999999997</v>
      </c>
      <c r="BS115" s="51">
        <v>3197.2</v>
      </c>
      <c r="BT115" s="51">
        <v>4272</v>
      </c>
      <c r="BU115" s="51">
        <v>4996</v>
      </c>
      <c r="BV115" s="51">
        <v>5825.2</v>
      </c>
      <c r="BW115" s="51">
        <v>7099.3</v>
      </c>
      <c r="BX115" s="51">
        <v>6663.5</v>
      </c>
      <c r="BY115" s="51">
        <v>7954.1</v>
      </c>
      <c r="BZ115" s="51">
        <v>9154.7999999999993</v>
      </c>
      <c r="CA115" s="51">
        <v>9462</v>
      </c>
      <c r="CB115" s="51">
        <v>8659.2000000000007</v>
      </c>
      <c r="CC115" s="51">
        <v>10165.9</v>
      </c>
      <c r="CD115" s="51">
        <v>10775.4</v>
      </c>
      <c r="CE115" s="51">
        <v>11294.9</v>
      </c>
      <c r="CF115" s="51">
        <v>11149.3</v>
      </c>
      <c r="CG115" s="51">
        <v>11307.4</v>
      </c>
      <c r="CH115" s="51">
        <v>10863.7</v>
      </c>
      <c r="CI115" s="51">
        <v>12897.4</v>
      </c>
      <c r="CJ115" s="51">
        <v>13635.5</v>
      </c>
      <c r="CK115" s="51"/>
      <c r="CL115" s="51"/>
      <c r="CM115" s="51"/>
      <c r="CN115" s="51"/>
      <c r="CO115" s="51"/>
      <c r="CP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Z115" s="49">
        <f t="shared" si="377"/>
        <v>3185.7999999999997</v>
      </c>
      <c r="EA115" s="49">
        <f t="shared" si="388"/>
        <v>5825.2</v>
      </c>
      <c r="EB115" s="49">
        <f t="shared" si="379"/>
        <v>9154.7999999999993</v>
      </c>
      <c r="EC115" s="49">
        <f t="shared" si="380"/>
        <v>10775.4</v>
      </c>
      <c r="ED115" s="49">
        <f t="shared" si="381"/>
        <v>10863.7</v>
      </c>
    </row>
    <row r="116" spans="1:134" s="49" customFormat="1" x14ac:dyDescent="0.2">
      <c r="A116" s="98"/>
      <c r="B116" s="50" t="s">
        <v>301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>
        <f>SUM(AH105:AH115)</f>
        <v>31001.4</v>
      </c>
      <c r="AI116" s="51">
        <f>SUM(AI105:AI115)</f>
        <v>31695.3</v>
      </c>
      <c r="AJ116" s="51">
        <f t="shared" ref="AJ116" si="389">SUM(AJ105:AJ115)</f>
        <v>32779.300000000003</v>
      </c>
      <c r="AK116" s="51">
        <f>SUM(AK105:AK115)</f>
        <v>33042.199999999997</v>
      </c>
      <c r="AL116" s="51">
        <f>SUM(AL105:AL115)</f>
        <v>33659.799999999996</v>
      </c>
      <c r="AM116" s="51">
        <f>SUM(AM105:AM115)</f>
        <v>32238.199999999997</v>
      </c>
      <c r="AN116" s="51">
        <f>SUM(AN105:AN115)</f>
        <v>31812.6</v>
      </c>
      <c r="AO116" s="51">
        <f>SUM(AO105:AO115)</f>
        <v>34321</v>
      </c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>
        <f t="shared" ref="BO116:BP116" si="390">SUM(BO105:BO115)</f>
        <v>38006.800000000003</v>
      </c>
      <c r="BP116" s="51">
        <f t="shared" si="390"/>
        <v>38666.400000000009</v>
      </c>
      <c r="BQ116" s="51">
        <f t="shared" ref="BQ116:BR116" si="391">SUM(BQ105:BQ115)</f>
        <v>37893.100000000006</v>
      </c>
      <c r="BR116" s="51">
        <f t="shared" si="391"/>
        <v>39286.100000000006</v>
      </c>
      <c r="BS116" s="51">
        <f t="shared" ref="BS116:BV116" si="392">SUM(BS105:BS115)</f>
        <v>41102.799999999996</v>
      </c>
      <c r="BT116" s="51">
        <f t="shared" ref="BT116" si="393">SUM(BT105:BT115)</f>
        <v>41967</v>
      </c>
      <c r="BU116" s="51">
        <f t="shared" si="392"/>
        <v>43945.999999999993</v>
      </c>
      <c r="BV116" s="51">
        <f t="shared" si="392"/>
        <v>46633.099999999991</v>
      </c>
      <c r="BW116" s="51">
        <f t="shared" ref="BW116" si="394">SUM(BW105:BW115)</f>
        <v>46838.3</v>
      </c>
      <c r="BX116" s="51">
        <f t="shared" ref="BX116" si="395">SUM(BX105:BX115)</f>
        <v>47809.000000000007</v>
      </c>
      <c r="BY116" s="51">
        <f t="shared" ref="BY116:CJ116" si="396">SUM(BY105:BY115)</f>
        <v>48187</v>
      </c>
      <c r="BZ116" s="51">
        <f t="shared" si="396"/>
        <v>48806</v>
      </c>
      <c r="CA116" s="51">
        <f t="shared" si="396"/>
        <v>46919.299999999996</v>
      </c>
      <c r="CB116" s="51">
        <f t="shared" si="396"/>
        <v>47063.599999999991</v>
      </c>
      <c r="CC116" s="51">
        <f t="shared" si="396"/>
        <v>47461.5</v>
      </c>
      <c r="CD116" s="51">
        <f t="shared" si="396"/>
        <v>49489.799999999996</v>
      </c>
      <c r="CE116" s="51">
        <f t="shared" si="396"/>
        <v>53163</v>
      </c>
      <c r="CF116" s="51">
        <f t="shared" si="396"/>
        <v>54814</v>
      </c>
      <c r="CG116" s="51">
        <f t="shared" si="396"/>
        <v>57915.5</v>
      </c>
      <c r="CH116" s="51">
        <f t="shared" si="396"/>
        <v>64006.3</v>
      </c>
      <c r="CI116" s="51">
        <f t="shared" si="396"/>
        <v>63943.500000000007</v>
      </c>
      <c r="CJ116" s="51">
        <f t="shared" si="396"/>
        <v>71874.799999999988</v>
      </c>
      <c r="CK116" s="51"/>
      <c r="CL116" s="51"/>
      <c r="CM116" s="51"/>
      <c r="CN116" s="51"/>
      <c r="CO116" s="51"/>
      <c r="CP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Z116" s="49">
        <f t="shared" si="377"/>
        <v>39286.100000000006</v>
      </c>
      <c r="EA116" s="49">
        <f t="shared" si="388"/>
        <v>46633.099999999991</v>
      </c>
      <c r="EB116" s="49">
        <f t="shared" si="379"/>
        <v>48806</v>
      </c>
      <c r="EC116" s="49">
        <f t="shared" si="380"/>
        <v>49489.799999999996</v>
      </c>
      <c r="ED116" s="49">
        <f t="shared" si="381"/>
        <v>64006.3</v>
      </c>
    </row>
    <row r="117" spans="1:134" x14ac:dyDescent="0.2">
      <c r="A117" s="102"/>
      <c r="EA117" s="49"/>
      <c r="EB117" s="49"/>
      <c r="EC117" s="49"/>
    </row>
    <row r="118" spans="1:134" x14ac:dyDescent="0.2">
      <c r="A118" s="102"/>
      <c r="B118" s="50" t="s">
        <v>387</v>
      </c>
      <c r="BO118" s="51">
        <f t="shared" ref="BO118:BR118" si="397">BO72</f>
        <v>1094.6999999999975</v>
      </c>
      <c r="BP118" s="51">
        <f t="shared" si="397"/>
        <v>1329.0000000000009</v>
      </c>
      <c r="BQ118" s="51">
        <f t="shared" si="397"/>
        <v>1294.8000000000011</v>
      </c>
      <c r="BR118" s="51">
        <f t="shared" si="397"/>
        <v>1354.7999999999995</v>
      </c>
      <c r="BS118" s="51">
        <f t="shared" ref="BS118:BV118" si="398">BS72</f>
        <v>1431.4999999999975</v>
      </c>
      <c r="BT118" s="51">
        <f t="shared" si="398"/>
        <v>1228.4999999999986</v>
      </c>
      <c r="BU118" s="51">
        <f t="shared" si="398"/>
        <v>1164.1999999999989</v>
      </c>
      <c r="BV118" s="51">
        <f t="shared" si="398"/>
        <v>1892.6999999999991</v>
      </c>
      <c r="BW118" s="51">
        <f t="shared" ref="BW118:CD118" si="399">BW72</f>
        <v>1777.5000000000007</v>
      </c>
      <c r="BX118" s="51">
        <f t="shared" si="399"/>
        <v>1698.2999999999972</v>
      </c>
      <c r="BY118" s="51">
        <f t="shared" si="399"/>
        <v>1693.5999999999979</v>
      </c>
      <c r="BZ118" s="51">
        <f t="shared" si="399"/>
        <v>2207.1999999999994</v>
      </c>
      <c r="CA118" s="51">
        <f t="shared" si="399"/>
        <v>2538.4999999999991</v>
      </c>
      <c r="CB118" s="51">
        <f t="shared" si="399"/>
        <v>1703.7000000000016</v>
      </c>
      <c r="CC118" s="51">
        <f t="shared" si="399"/>
        <v>1720.4999999999993</v>
      </c>
      <c r="CD118" s="51">
        <f t="shared" si="399"/>
        <v>2026.900000000001</v>
      </c>
      <c r="CE118" s="51">
        <f t="shared" ref="CE118:CJ118" si="400">+CE72</f>
        <v>1504.4999999999991</v>
      </c>
      <c r="CF118" s="51">
        <f t="shared" si="400"/>
        <v>1481.3999999999992</v>
      </c>
      <c r="CG118" s="51">
        <f t="shared" si="400"/>
        <v>2668.5656999999987</v>
      </c>
      <c r="CH118" s="51">
        <f t="shared" si="400"/>
        <v>2863.6000000000045</v>
      </c>
      <c r="CI118" s="51">
        <f t="shared" si="400"/>
        <v>2387.8000000000002</v>
      </c>
      <c r="CJ118" s="51">
        <f t="shared" si="400"/>
        <v>3547.7999999999984</v>
      </c>
      <c r="DZ118" s="49">
        <f>+BU118</f>
        <v>1164.1999999999989</v>
      </c>
      <c r="EA118" s="49">
        <f>+BV118</f>
        <v>1892.6999999999991</v>
      </c>
      <c r="EB118" s="49">
        <f t="shared" si="379"/>
        <v>2207.1999999999994</v>
      </c>
      <c r="EC118" s="49">
        <f t="shared" si="380"/>
        <v>2026.900000000001</v>
      </c>
      <c r="ED118" s="49">
        <f>SUM(CE118:CH118)</f>
        <v>8518.065700000001</v>
      </c>
    </row>
    <row r="119" spans="1:134" x14ac:dyDescent="0.2">
      <c r="A119" s="102"/>
      <c r="B119" s="50" t="s">
        <v>388</v>
      </c>
      <c r="BO119" s="51">
        <v>4241.6000000000004</v>
      </c>
      <c r="BP119" s="51">
        <f>5568.8-BO119</f>
        <v>1327.1999999999998</v>
      </c>
      <c r="BQ119" s="51">
        <f>6822.7-BP119-BO119</f>
        <v>1253.8999999999996</v>
      </c>
      <c r="BR119" s="51">
        <f>8318.4-BQ119-BP119-BO119</f>
        <v>1495.6999999999998</v>
      </c>
      <c r="BS119" s="51">
        <v>1456.5</v>
      </c>
      <c r="BT119" s="51">
        <f>2868.5-BS119</f>
        <v>1412</v>
      </c>
      <c r="BU119" s="51">
        <f>4076.9-BT119-BS119</f>
        <v>1208.4000000000001</v>
      </c>
      <c r="BV119" s="51">
        <f>6193.7-BU119-BT119-BS119</f>
        <v>2116.7999999999993</v>
      </c>
      <c r="BW119" s="51">
        <v>1355.3</v>
      </c>
      <c r="BX119" s="51">
        <f>2745.5-BW119</f>
        <v>1390.2</v>
      </c>
      <c r="BY119" s="51">
        <f>3855.6-BX119-BW119</f>
        <v>1110.0999999999997</v>
      </c>
      <c r="BZ119" s="51">
        <f>5581.7-BY119-BX119-BW119</f>
        <v>1726.1000000000006</v>
      </c>
      <c r="CA119" s="51">
        <v>1902.9</v>
      </c>
      <c r="CB119" s="51">
        <f>2855.4-CA119</f>
        <v>952.5</v>
      </c>
      <c r="CC119" s="51">
        <f>4307.1-CB119-CA119</f>
        <v>1451.7000000000003</v>
      </c>
      <c r="CD119" s="51">
        <f>6244.8-CC119-CB119-CA119</f>
        <v>1937.7000000000003</v>
      </c>
      <c r="CE119" s="51">
        <v>1344.9</v>
      </c>
      <c r="CF119" s="52">
        <f>3108.1-CE119</f>
        <v>1763.1999999999998</v>
      </c>
      <c r="CG119" s="51">
        <f>3050.7-CF119-CE119</f>
        <v>-57.400000000000091</v>
      </c>
      <c r="CH119" s="51">
        <f>5240.4-CG119-CF119-CE119</f>
        <v>2189.6999999999994</v>
      </c>
      <c r="CI119" s="51">
        <v>2242.9</v>
      </c>
      <c r="CJ119" s="51">
        <f>5209.9-CI119</f>
        <v>2966.9999999999995</v>
      </c>
      <c r="DZ119" s="49">
        <f t="shared" ref="DZ119:DZ126" si="401">SUM(BO119:BR119)</f>
        <v>8318.4</v>
      </c>
      <c r="EA119" s="49">
        <f t="shared" ref="EA119:EA126" si="402">SUM(BS119:BV119)</f>
        <v>6193.6999999999989</v>
      </c>
      <c r="EB119" s="49">
        <f t="shared" ref="EB119:EB124" si="403">SUM(BW119:BZ119)</f>
        <v>5581.7</v>
      </c>
      <c r="EC119" s="49">
        <f t="shared" ref="EC119:EC124" si="404">SUM(CA119:CD119)</f>
        <v>6244.8000000000011</v>
      </c>
      <c r="ED119" s="49">
        <f t="shared" ref="ED119:ED124" si="405">SUM(CE119:CH119)</f>
        <v>5240.3999999999996</v>
      </c>
    </row>
    <row r="120" spans="1:134" x14ac:dyDescent="0.2">
      <c r="A120" s="102"/>
      <c r="B120" s="50" t="s">
        <v>389</v>
      </c>
      <c r="BO120" s="51">
        <v>356.5</v>
      </c>
      <c r="BP120" s="51">
        <f>603.9-BO120</f>
        <v>247.39999999999998</v>
      </c>
      <c r="BQ120" s="51">
        <f>891.9-BP120-BO120</f>
        <v>288</v>
      </c>
      <c r="BR120" s="51">
        <f>1232.6-BQ120-BP120-BO120</f>
        <v>340.69999999999993</v>
      </c>
      <c r="BS120" s="51">
        <v>273.60000000000002</v>
      </c>
      <c r="BT120" s="51">
        <f>598-BS120</f>
        <v>324.39999999999998</v>
      </c>
      <c r="BU120" s="51">
        <f>956.4-BT120-BS120</f>
        <v>358.4</v>
      </c>
      <c r="BV120" s="51">
        <f>1323.9-BU120-BT120-BS120</f>
        <v>367.50000000000011</v>
      </c>
      <c r="BW120" s="51">
        <v>350.3</v>
      </c>
      <c r="BX120" s="51">
        <f>719.6-BW120</f>
        <v>369.3</v>
      </c>
      <c r="BY120" s="51">
        <f>1101.9-BX120-BW120</f>
        <v>382.30000000000013</v>
      </c>
      <c r="BZ120" s="51">
        <f>1547.6-BY120-BX120-BW120</f>
        <v>445.69999999999976</v>
      </c>
      <c r="CA120" s="51">
        <v>435.7</v>
      </c>
      <c r="CB120" s="51">
        <f>784.6-CA120</f>
        <v>348.90000000000003</v>
      </c>
      <c r="CC120" s="51">
        <f>1147.5-CB120-CA120</f>
        <v>362.89999999999992</v>
      </c>
      <c r="CD120" s="51">
        <f>1522.5-CC120-CB120-CA120</f>
        <v>375.00000000000006</v>
      </c>
      <c r="CE120" s="51">
        <v>362.3</v>
      </c>
      <c r="CF120" s="51">
        <f>728.6-CE120</f>
        <v>366.3</v>
      </c>
      <c r="CG120" s="51">
        <f>1139.6-CF120-CE120</f>
        <v>410.99999999999994</v>
      </c>
      <c r="CH120" s="51">
        <f>1527.3-CG120-CF120-CE120</f>
        <v>387.7</v>
      </c>
      <c r="CI120" s="51">
        <v>400.6</v>
      </c>
      <c r="CJ120" s="51">
        <f>815-CI120</f>
        <v>414.4</v>
      </c>
      <c r="DZ120" s="49">
        <f t="shared" si="401"/>
        <v>1232.5999999999999</v>
      </c>
      <c r="EA120" s="49">
        <f t="shared" si="402"/>
        <v>1323.9</v>
      </c>
      <c r="EB120" s="49">
        <f t="shared" si="403"/>
        <v>1547.6</v>
      </c>
      <c r="EC120" s="49">
        <f t="shared" si="404"/>
        <v>1522.5</v>
      </c>
      <c r="ED120" s="49">
        <f t="shared" si="405"/>
        <v>1527.3</v>
      </c>
    </row>
    <row r="121" spans="1:134" x14ac:dyDescent="0.2">
      <c r="A121" s="102"/>
      <c r="B121" s="50" t="s">
        <v>385</v>
      </c>
      <c r="BO121" s="51">
        <v>-72.400000000000006</v>
      </c>
      <c r="BP121" s="51">
        <f>-11.3-BO121</f>
        <v>61.100000000000009</v>
      </c>
      <c r="BQ121" s="51">
        <f>-23.4-BP121-BO121</f>
        <v>-12.099999999999994</v>
      </c>
      <c r="BR121" s="51">
        <f>62.4-BQ121-BP121-BO121</f>
        <v>85.8</v>
      </c>
      <c r="BS121" s="51">
        <v>11.2</v>
      </c>
      <c r="BT121" s="51">
        <f>-93.5-BS121</f>
        <v>-104.7</v>
      </c>
      <c r="BU121" s="51">
        <f>66.2-BT121-BS121</f>
        <v>159.70000000000002</v>
      </c>
      <c r="BV121" s="51">
        <f>-134.5-BU121-BT121-BS121</f>
        <v>-200.70000000000005</v>
      </c>
      <c r="BW121" s="51">
        <v>-119.1</v>
      </c>
      <c r="BX121" s="51">
        <f>-413.8-BW121</f>
        <v>-294.70000000000005</v>
      </c>
      <c r="BY121" s="51">
        <f>-709.8-BX121-BW121</f>
        <v>-295.99999999999989</v>
      </c>
      <c r="BZ121" s="51">
        <f>-802.3-BY121-BX121-BW121</f>
        <v>-92.500000000000028</v>
      </c>
      <c r="CA121" s="51">
        <v>-506.6</v>
      </c>
      <c r="CB121" s="51">
        <f>-1125-CA121</f>
        <v>-618.4</v>
      </c>
      <c r="CC121" s="51">
        <f>-2195.6-CB121-CA121</f>
        <v>-1070.5999999999999</v>
      </c>
      <c r="CD121" s="51">
        <f>-2185.2-CC121-CB121-CA121</f>
        <v>10.400000000000091</v>
      </c>
      <c r="CE121" s="51">
        <v>-559.4</v>
      </c>
      <c r="CF121" s="51">
        <f>-990.5-CE121</f>
        <v>-431.1</v>
      </c>
      <c r="CG121" s="51">
        <f>-1834.8-CF121-CE121</f>
        <v>-844.29999999999984</v>
      </c>
      <c r="CH121" s="51">
        <f>-2341-CG121-CF121-CE121</f>
        <v>-506.20000000000039</v>
      </c>
      <c r="CI121" s="51">
        <v>-279</v>
      </c>
      <c r="CJ121" s="51">
        <f>-1286.6-CI121</f>
        <v>-1007.5999999999999</v>
      </c>
      <c r="DZ121" s="49">
        <f t="shared" si="401"/>
        <v>62.400000000000006</v>
      </c>
      <c r="EA121" s="49">
        <f t="shared" si="402"/>
        <v>-134.50000000000003</v>
      </c>
      <c r="EB121" s="49">
        <f t="shared" si="403"/>
        <v>-802.3</v>
      </c>
      <c r="EC121" s="49">
        <f t="shared" si="404"/>
        <v>-2185.1999999999998</v>
      </c>
      <c r="ED121" s="49">
        <f t="shared" si="405"/>
        <v>-2341</v>
      </c>
    </row>
    <row r="122" spans="1:134" x14ac:dyDescent="0.2">
      <c r="A122" s="102"/>
      <c r="B122" s="50" t="s">
        <v>390</v>
      </c>
      <c r="BO122" s="51">
        <v>75.8</v>
      </c>
      <c r="BP122" s="51">
        <f>155.3-BO122</f>
        <v>79.500000000000014</v>
      </c>
      <c r="BQ122" s="51">
        <f>230.8-BP122-BO122</f>
        <v>75.500000000000014</v>
      </c>
      <c r="BR122" s="51">
        <f>312.4-BQ122-BP122-BO122</f>
        <v>81.59999999999998</v>
      </c>
      <c r="BS122" s="51">
        <v>71.8</v>
      </c>
      <c r="BT122" s="51">
        <f>148.6-BS122</f>
        <v>76.8</v>
      </c>
      <c r="BU122" s="51">
        <f>220.3-BT122-BS122</f>
        <v>71.7</v>
      </c>
      <c r="BV122" s="51">
        <f>308.1-BU122-BT122-BS122</f>
        <v>87.800000000000026</v>
      </c>
      <c r="BW122" s="51">
        <v>85.5</v>
      </c>
      <c r="BX122" s="51">
        <f>177.4-BW122</f>
        <v>91.9</v>
      </c>
      <c r="BY122" s="51">
        <f>267.5-BX122-BW122</f>
        <v>90.1</v>
      </c>
      <c r="BZ122" s="51">
        <f>342.8-BY122-BX122-BW122</f>
        <v>75.300000000000011</v>
      </c>
      <c r="CA122" s="51">
        <v>101</v>
      </c>
      <c r="CB122" s="51">
        <f>193.1-CA122</f>
        <v>92.1</v>
      </c>
      <c r="CC122" s="51">
        <f>278.2-CB122-CA122</f>
        <v>85.1</v>
      </c>
      <c r="CD122" s="51">
        <f>371.1-CC122-CB122-CA122</f>
        <v>92.9</v>
      </c>
      <c r="CE122" s="51">
        <v>131.19999999999999</v>
      </c>
      <c r="CF122" s="51">
        <f>292.7-CE122</f>
        <v>161.5</v>
      </c>
      <c r="CG122" s="51">
        <f>508.3-CF122-CE122</f>
        <v>215.60000000000002</v>
      </c>
      <c r="CH122" s="51">
        <f>628.5-CG122-CF122-CE122</f>
        <v>120.19999999999999</v>
      </c>
      <c r="CI122" s="51">
        <v>159.4</v>
      </c>
      <c r="CJ122" s="51">
        <f>370.5-CI122</f>
        <v>211.1</v>
      </c>
      <c r="DZ122" s="49">
        <f t="shared" si="401"/>
        <v>312.39999999999998</v>
      </c>
      <c r="EA122" s="49">
        <f t="shared" si="402"/>
        <v>308.10000000000002</v>
      </c>
      <c r="EB122" s="49">
        <f t="shared" si="403"/>
        <v>342.8</v>
      </c>
      <c r="EC122" s="49">
        <f t="shared" si="404"/>
        <v>371.1</v>
      </c>
      <c r="ED122" s="49">
        <f t="shared" si="405"/>
        <v>628.5</v>
      </c>
    </row>
    <row r="123" spans="1:134" x14ac:dyDescent="0.2">
      <c r="A123" s="102"/>
      <c r="B123" s="50" t="s">
        <v>391</v>
      </c>
      <c r="BO123" s="51">
        <v>-3680.5</v>
      </c>
      <c r="BP123" s="51">
        <f>-3680.5-BO123</f>
        <v>0</v>
      </c>
      <c r="BQ123" s="51">
        <f>-3680.5-BP123-BO123</f>
        <v>0</v>
      </c>
      <c r="BR123" s="51">
        <f>-3680.5-309.8-BQ123-BP123-BO123</f>
        <v>-309.80000000000018</v>
      </c>
      <c r="BS123" s="51">
        <v>0</v>
      </c>
      <c r="BT123" s="51">
        <f>-765-BS123</f>
        <v>-765</v>
      </c>
      <c r="BU123" s="51">
        <f>-909.5-BT123-BS123</f>
        <v>-144.5</v>
      </c>
      <c r="BV123" s="51">
        <f>-1438.5-BU123-BT123-BS123</f>
        <v>-529</v>
      </c>
      <c r="BW123" s="51">
        <v>-302.2</v>
      </c>
      <c r="BX123" s="51">
        <f>-518.1-BW123</f>
        <v>-215.90000000000003</v>
      </c>
      <c r="BY123" s="51">
        <f>-271.1-BX123-BW123</f>
        <v>247</v>
      </c>
      <c r="BZ123" s="51">
        <f>-178-BY123-BX123-BW123</f>
        <v>93.100000000000023</v>
      </c>
      <c r="CA123" s="51">
        <v>426.1</v>
      </c>
      <c r="CB123" s="51">
        <f>545.6-CA123</f>
        <v>119.5</v>
      </c>
      <c r="CC123" s="51">
        <f>676.4-CB123-CA123</f>
        <v>130.79999999999995</v>
      </c>
      <c r="CD123" s="51">
        <f>420-CC123-CB123-CA123</f>
        <v>-256.39999999999998</v>
      </c>
      <c r="CE123" s="51">
        <v>14.2</v>
      </c>
      <c r="CF123" s="51">
        <f>80-CE123</f>
        <v>65.8</v>
      </c>
      <c r="CG123" s="51">
        <f>144.5-CF123-CE123</f>
        <v>64.5</v>
      </c>
      <c r="CH123" s="51">
        <f>23.5-CG123-CF123-CE123</f>
        <v>-121</v>
      </c>
      <c r="CI123" s="51">
        <v>-15.8</v>
      </c>
      <c r="CJ123" s="51">
        <f>142.2-CI123</f>
        <v>158</v>
      </c>
      <c r="DZ123" s="49">
        <f t="shared" si="401"/>
        <v>-3990.3</v>
      </c>
      <c r="EA123" s="49">
        <f t="shared" si="402"/>
        <v>-1438.5</v>
      </c>
      <c r="EB123" s="49">
        <f t="shared" si="403"/>
        <v>-178</v>
      </c>
      <c r="EC123" s="49">
        <f t="shared" si="404"/>
        <v>420</v>
      </c>
      <c r="ED123" s="49">
        <f t="shared" si="405"/>
        <v>23.5</v>
      </c>
    </row>
    <row r="124" spans="1:134" x14ac:dyDescent="0.2">
      <c r="A124" s="102"/>
      <c r="B124" s="50" t="s">
        <v>392</v>
      </c>
      <c r="BO124" s="51">
        <v>136.9</v>
      </c>
      <c r="BP124" s="51">
        <f>161.9-BO124</f>
        <v>25</v>
      </c>
      <c r="BQ124" s="51">
        <f>239.6-BP124-BO124</f>
        <v>77.699999999999989</v>
      </c>
      <c r="BR124" s="51">
        <f>239.6-BQ124-BP124-BO124</f>
        <v>0</v>
      </c>
      <c r="BS124" s="51">
        <v>52.3</v>
      </c>
      <c r="BT124" s="51">
        <f>294.1-BS124</f>
        <v>241.8</v>
      </c>
      <c r="BU124" s="51">
        <f>294.1-BT124-BS124</f>
        <v>0</v>
      </c>
      <c r="BV124" s="51">
        <f>660.4-BU124-BT124-BS124</f>
        <v>366.29999999999995</v>
      </c>
      <c r="BW124" s="51">
        <v>299.3</v>
      </c>
      <c r="BX124" s="51">
        <f>324.3-BW124</f>
        <v>25</v>
      </c>
      <c r="BY124" s="51">
        <f>498.3-BX124-BW124</f>
        <v>174</v>
      </c>
      <c r="BZ124" s="51">
        <f>874.9-BY124-BX124-BW124</f>
        <v>376.59999999999997</v>
      </c>
      <c r="CA124" s="51">
        <v>153</v>
      </c>
      <c r="CB124" s="51">
        <f>233-CA124</f>
        <v>80</v>
      </c>
      <c r="CC124" s="51">
        <f>252-CB124-CA124</f>
        <v>19</v>
      </c>
      <c r="CD124" s="51">
        <f>420.9-CC124-CB124-CA124</f>
        <v>168.89999999999998</v>
      </c>
      <c r="CE124" s="51">
        <v>105</v>
      </c>
      <c r="CF124" s="51">
        <f>202.1-CE124</f>
        <v>97.1</v>
      </c>
      <c r="CG124" s="51">
        <f>3177.2-CF124-CE124</f>
        <v>2975.1</v>
      </c>
      <c r="CH124" s="51">
        <f>3799.8-CG124-CF124-CE124</f>
        <v>622.60000000000025</v>
      </c>
      <c r="CI124" s="51">
        <v>110.5</v>
      </c>
      <c r="CJ124" s="51">
        <f>264.8-CI124</f>
        <v>154.30000000000001</v>
      </c>
      <c r="DZ124" s="49">
        <f t="shared" si="401"/>
        <v>239.6</v>
      </c>
      <c r="EA124" s="49">
        <f t="shared" si="402"/>
        <v>660.4</v>
      </c>
      <c r="EB124" s="49">
        <f t="shared" si="403"/>
        <v>874.9</v>
      </c>
      <c r="EC124" s="49">
        <f t="shared" si="404"/>
        <v>420.9</v>
      </c>
      <c r="ED124" s="49">
        <f t="shared" si="405"/>
        <v>3799.8</v>
      </c>
    </row>
    <row r="125" spans="1:134" x14ac:dyDescent="0.2">
      <c r="A125" s="102"/>
      <c r="B125" s="50" t="s">
        <v>78</v>
      </c>
      <c r="BO125" s="51">
        <v>-714.3</v>
      </c>
      <c r="BP125" s="51">
        <f>-1516.4-BO125</f>
        <v>-802.10000000000014</v>
      </c>
      <c r="BQ125" s="51">
        <f>-1763.7-BP125-BO125</f>
        <v>-247.29999999999995</v>
      </c>
      <c r="BR125" s="51">
        <f>348.7-BQ125-BP125-BO125</f>
        <v>2112.4</v>
      </c>
      <c r="BS125" s="51">
        <v>-74.900000000000006</v>
      </c>
      <c r="BT125" s="51">
        <f>-481.6-BS125</f>
        <v>-406.70000000000005</v>
      </c>
      <c r="BU125" s="51">
        <f>-232.2-BT125-BS125</f>
        <v>249.40000000000006</v>
      </c>
      <c r="BV125" s="51">
        <f>333.9-BU125-BT125-BS125</f>
        <v>566.09999999999991</v>
      </c>
      <c r="BW125" s="51">
        <v>-102.8</v>
      </c>
      <c r="BX125" s="51">
        <f>118.4-BW125</f>
        <v>221.2</v>
      </c>
      <c r="BY125" s="51">
        <f>-548.1-BX125-BW125+405.2</f>
        <v>-261.3</v>
      </c>
      <c r="BZ125" s="51">
        <f>511.4-BY125-BX125-BW125+405.2</f>
        <v>1059.5</v>
      </c>
      <c r="CA125" s="51">
        <v>-45.5</v>
      </c>
      <c r="CB125" s="51">
        <f>-117.6-CA125</f>
        <v>-72.099999999999994</v>
      </c>
      <c r="CC125" s="51">
        <f>821.5-CB125-CA125</f>
        <v>939.1</v>
      </c>
      <c r="CD125" s="51">
        <f>304.8-CC125-CB125-CA125</f>
        <v>-516.69999999999993</v>
      </c>
      <c r="CE125" s="51">
        <v>168.3</v>
      </c>
      <c r="CF125" s="51">
        <f>-382.4-CE125</f>
        <v>-550.70000000000005</v>
      </c>
      <c r="CG125" s="51">
        <f>117.2-CF125-CE125-1853.9</f>
        <v>-1354.3</v>
      </c>
      <c r="CH125" s="51">
        <f>295.5-1878.9-CG125-CF125-CE125</f>
        <v>153.2999999999999</v>
      </c>
      <c r="CI125" s="51">
        <v>298.60000000000002</v>
      </c>
      <c r="CJ125" s="51">
        <f>-3150.3-CI125</f>
        <v>-3448.9</v>
      </c>
      <c r="DZ125" s="49">
        <f t="shared" si="401"/>
        <v>348.70000000000005</v>
      </c>
      <c r="EA125" s="49">
        <f t="shared" si="402"/>
        <v>333.9</v>
      </c>
      <c r="EB125" s="49">
        <f>SUM(BW125:BZ125)</f>
        <v>916.59999999999991</v>
      </c>
      <c r="EC125" s="49">
        <f>SUM(CA125:CD125)</f>
        <v>304.80000000000007</v>
      </c>
      <c r="ED125" s="49">
        <f>SUM(CE125:CH125)</f>
        <v>-1583.4</v>
      </c>
    </row>
    <row r="126" spans="1:134" x14ac:dyDescent="0.2">
      <c r="A126" s="102"/>
      <c r="B126" s="50" t="s">
        <v>393</v>
      </c>
      <c r="BO126" s="51">
        <v>-32.299999999999997</v>
      </c>
      <c r="BP126" s="51">
        <f>81.1-BO126</f>
        <v>113.39999999999999</v>
      </c>
      <c r="BQ126" s="51">
        <f>155.5-BP126-BO126</f>
        <v>74.400000000000006</v>
      </c>
      <c r="BR126" s="51">
        <f>-127.2-258.7-602.3-221.3-477.7-BQ126-BP126-BO126</f>
        <v>-1842.7000000000003</v>
      </c>
      <c r="BS126" s="51">
        <v>-1408.1</v>
      </c>
      <c r="BT126" s="51">
        <f>308.7-BS126</f>
        <v>1716.8</v>
      </c>
      <c r="BU126" s="51">
        <f>212.2-BT126-BS126</f>
        <v>-96.5</v>
      </c>
      <c r="BV126" s="51">
        <f>-1350.2-533.4-457.1+322+1271.3-BU126-BT126-BS126</f>
        <v>-959.59999999999991</v>
      </c>
      <c r="BW126" s="51">
        <v>131.1</v>
      </c>
      <c r="BX126" s="51">
        <f>319.6-BW126</f>
        <v>188.50000000000003</v>
      </c>
      <c r="BY126" s="51">
        <f>504.7-BX126-BW126</f>
        <v>185.09999999999994</v>
      </c>
      <c r="BZ126" s="51">
        <f>-1278.3-235.9+1515.4-359.7-664.1-BY126-BX126-BW126</f>
        <v>-1527.2999999999997</v>
      </c>
      <c r="CA126" s="51">
        <v>32.6</v>
      </c>
      <c r="CB126" s="51">
        <f>-49.2-CA126</f>
        <v>-81.800000000000011</v>
      </c>
      <c r="CC126" s="51">
        <f>217.9-CB126-CA126</f>
        <v>267.10000000000002</v>
      </c>
      <c r="CD126" s="51">
        <f>-299.6-599.7-793.5+346.6+1331.7-CC126-CB126-CA126</f>
        <v>-232.40000000000023</v>
      </c>
      <c r="CE126" s="51">
        <v>164.1</v>
      </c>
      <c r="CF126" s="51">
        <f>-676.1-CE126</f>
        <v>-840.2</v>
      </c>
      <c r="CG126" s="51">
        <f>103.2-CF126-CE126</f>
        <v>779.30000000000007</v>
      </c>
      <c r="CH126" s="51">
        <f>-2451-1425-3453.4+4274.4-CG126-CF126-CE126</f>
        <v>-3158.2000000000003</v>
      </c>
      <c r="CI126" s="51">
        <v>-1751.2</v>
      </c>
      <c r="CJ126" s="51">
        <f>266.7-CI126</f>
        <v>2017.9</v>
      </c>
      <c r="DZ126" s="49">
        <f t="shared" si="401"/>
        <v>-1687.2000000000003</v>
      </c>
      <c r="EA126" s="49">
        <f t="shared" si="402"/>
        <v>-747.39999999999986</v>
      </c>
      <c r="EB126" s="49">
        <f>SUM(BW126:BZ126)</f>
        <v>-1022.5999999999998</v>
      </c>
      <c r="EC126" s="49">
        <f>SUM(CA126:CD126)</f>
        <v>-14.500000000000227</v>
      </c>
      <c r="ED126" s="49">
        <f>SUM(CE126:CH126)</f>
        <v>-3055</v>
      </c>
    </row>
    <row r="127" spans="1:134" s="49" customFormat="1" x14ac:dyDescent="0.2">
      <c r="B127" s="50" t="s">
        <v>302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>
        <v>1176.0999999999999</v>
      </c>
      <c r="AJ127" s="51">
        <f>3216.4-AI127</f>
        <v>2040.3000000000002</v>
      </c>
      <c r="AK127" s="51">
        <f>5289.8-AJ127-AI127</f>
        <v>2073.4</v>
      </c>
      <c r="AL127" s="52">
        <f>7234.5-AK127-AJ127-AI127</f>
        <v>1944.7000000000003</v>
      </c>
      <c r="AM127" s="52">
        <v>852.5</v>
      </c>
      <c r="AN127" s="52">
        <f>2158.5-AM127</f>
        <v>1306</v>
      </c>
      <c r="AO127" s="51">
        <f>3702.8-AN127-AM127</f>
        <v>1544.3000000000002</v>
      </c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  <c r="BN127" s="51"/>
      <c r="BO127" s="51">
        <f t="shared" ref="BO127:BR127" si="406">SUM(BO119:BO126)</f>
        <v>311.30000000000103</v>
      </c>
      <c r="BP127" s="51">
        <f t="shared" si="406"/>
        <v>1051.4999999999998</v>
      </c>
      <c r="BQ127" s="51">
        <f t="shared" si="406"/>
        <v>1510.1</v>
      </c>
      <c r="BR127" s="51">
        <f t="shared" si="406"/>
        <v>1963.6999999999994</v>
      </c>
      <c r="BS127" s="51">
        <f>SUM(BS119:BS126)</f>
        <v>382.39999999999986</v>
      </c>
      <c r="BT127" s="51">
        <f t="shared" ref="BT127:BV127" si="407">SUM(BT119:BT126)</f>
        <v>2495.3999999999996</v>
      </c>
      <c r="BU127" s="51">
        <f t="shared" si="407"/>
        <v>1806.6000000000004</v>
      </c>
      <c r="BV127" s="51">
        <f t="shared" si="407"/>
        <v>1815.1999999999998</v>
      </c>
      <c r="BW127" s="51">
        <f t="shared" ref="BW127:CJ127" si="408">SUM(BW119:BW126)</f>
        <v>1697.3999999999999</v>
      </c>
      <c r="BX127" s="51">
        <f t="shared" si="408"/>
        <v>1775.5</v>
      </c>
      <c r="BY127" s="51">
        <f t="shared" si="408"/>
        <v>1631.3</v>
      </c>
      <c r="BZ127" s="51">
        <f t="shared" si="408"/>
        <v>2156.5000000000005</v>
      </c>
      <c r="CA127" s="51">
        <f t="shared" si="408"/>
        <v>2499.1999999999998</v>
      </c>
      <c r="CB127" s="51">
        <f t="shared" si="408"/>
        <v>820.7</v>
      </c>
      <c r="CC127" s="51">
        <f t="shared" si="408"/>
        <v>2185.1000000000004</v>
      </c>
      <c r="CD127" s="51">
        <f t="shared" si="408"/>
        <v>1579.4000000000003</v>
      </c>
      <c r="CE127" s="52">
        <f t="shared" si="408"/>
        <v>1730.6000000000001</v>
      </c>
      <c r="CF127" s="52">
        <f t="shared" si="408"/>
        <v>631.89999999999986</v>
      </c>
      <c r="CG127" s="52">
        <f t="shared" si="408"/>
        <v>2189.5</v>
      </c>
      <c r="CH127" s="52">
        <f t="shared" si="408"/>
        <v>-311.90000000000146</v>
      </c>
      <c r="CI127" s="51">
        <f t="shared" si="408"/>
        <v>1165.9999999999998</v>
      </c>
      <c r="CJ127" s="51">
        <f t="shared" si="408"/>
        <v>1466.1999999999998</v>
      </c>
      <c r="CK127" s="51"/>
      <c r="CL127" s="51"/>
      <c r="CM127" s="51"/>
      <c r="CN127" s="51"/>
      <c r="CO127" s="51"/>
      <c r="CP127" s="51"/>
      <c r="DH127" s="51"/>
      <c r="DI127" s="51"/>
      <c r="DJ127" s="51"/>
      <c r="DK127" s="51"/>
      <c r="DL127" s="51"/>
      <c r="DM127" s="51"/>
      <c r="DN127" s="51"/>
      <c r="DO127" s="51">
        <v>7295.6</v>
      </c>
      <c r="DP127" s="51">
        <v>4335.5</v>
      </c>
      <c r="DQ127" s="51">
        <v>6856.8</v>
      </c>
      <c r="DR127" s="51"/>
      <c r="DS127" s="51"/>
      <c r="DT127" s="51"/>
      <c r="DU127" s="51"/>
      <c r="DV127" s="51"/>
      <c r="DW127" s="51"/>
      <c r="DX127" s="51"/>
      <c r="DZ127" s="49">
        <f>SUM(CA127:CD127)</f>
        <v>7084.4000000000005</v>
      </c>
      <c r="EA127" s="49">
        <f>SUM(CB127:CE127)</f>
        <v>6315.8000000000011</v>
      </c>
      <c r="EB127" s="49">
        <f>SUM(CC127:CF127)</f>
        <v>6127.0000000000009</v>
      </c>
      <c r="EC127" s="49">
        <f>SUM(CD127:CG127)</f>
        <v>6131.4000000000005</v>
      </c>
      <c r="ED127" s="49">
        <f>SUM(CE127:CH127)</f>
        <v>4240.0999999999985</v>
      </c>
    </row>
    <row r="128" spans="1:134" x14ac:dyDescent="0.2">
      <c r="BW128" s="51"/>
      <c r="BX128" s="51"/>
      <c r="CD128" s="51"/>
      <c r="EA128" s="49"/>
      <c r="EB128" s="49"/>
      <c r="EC128" s="49"/>
    </row>
    <row r="129" spans="2:134" x14ac:dyDescent="0.2">
      <c r="B129" s="50" t="s">
        <v>394</v>
      </c>
      <c r="BO129" s="51">
        <v>-203.7</v>
      </c>
      <c r="BP129" s="51">
        <f>-444-BO129</f>
        <v>-240.3</v>
      </c>
      <c r="BQ129" s="51">
        <f>-707.4-BP129-BO129</f>
        <v>-263.39999999999998</v>
      </c>
      <c r="BR129" s="51">
        <f>-1033.9-BQ129-BP129-BO129</f>
        <v>-326.50000000000006</v>
      </c>
      <c r="BS129" s="51">
        <v>-258.3</v>
      </c>
      <c r="BT129" s="51">
        <f>-540.1-BS129</f>
        <v>-281.8</v>
      </c>
      <c r="BU129" s="51">
        <f>-933.2-BT129-BS129</f>
        <v>-393.10000000000008</v>
      </c>
      <c r="BV129" s="51">
        <f>-1387.9-BU129-BT129-BS129</f>
        <v>-454.7</v>
      </c>
      <c r="BW129" s="51">
        <v>-300.3</v>
      </c>
      <c r="BX129" s="51">
        <f>-681.6-BW129</f>
        <v>-381.3</v>
      </c>
      <c r="BY129" s="51">
        <f>-1018.4-BX129-BW129</f>
        <v>-336.7999999999999</v>
      </c>
      <c r="BZ129" s="51">
        <f>-1309.8-BY129-BX129-BW129</f>
        <v>-291.40000000000003</v>
      </c>
      <c r="CA129" s="51">
        <v>-365.4</v>
      </c>
      <c r="CB129" s="51">
        <f>-736.4-CA129</f>
        <v>-371</v>
      </c>
      <c r="CC129" s="51">
        <f>-1353.6-CB129-CA129</f>
        <v>-617.19999999999993</v>
      </c>
      <c r="CD129" s="51">
        <f>-1854.3-CC129-CB129-CA129</f>
        <v>-500.69999999999993</v>
      </c>
      <c r="CE129" s="51">
        <v>-668.5</v>
      </c>
      <c r="CF129" s="51">
        <f>-1406.7-CE129</f>
        <v>-738.2</v>
      </c>
      <c r="CG129" s="51">
        <f>-2377-CF129-CE129</f>
        <v>-970.3</v>
      </c>
      <c r="CH129" s="51">
        <f>-3447.6-CG129-CF129-CE129</f>
        <v>-1070.6000000000001</v>
      </c>
      <c r="CI129" s="51">
        <v>-986.3</v>
      </c>
      <c r="CJ129" s="51">
        <f>-2211.1-CI129</f>
        <v>-1224.8</v>
      </c>
      <c r="DZ129" s="49">
        <f t="shared" ref="DZ129:DZ132" si="409">SUM(BO129:BR129)</f>
        <v>-1033.9000000000001</v>
      </c>
      <c r="EA129" s="49">
        <f t="shared" ref="EA129:EA132" si="410">SUM(BS129:BV129)</f>
        <v>-1387.9</v>
      </c>
      <c r="EB129" s="49">
        <f>SUM(BW129:BZ129)</f>
        <v>-1309.8</v>
      </c>
      <c r="EC129" s="49">
        <f>SUM(CA129:CD129)</f>
        <v>-1854.2999999999997</v>
      </c>
      <c r="ED129" s="49">
        <f>SUM(CE129:CH129)</f>
        <v>-3447.6000000000004</v>
      </c>
    </row>
    <row r="130" spans="2:134" x14ac:dyDescent="0.2">
      <c r="B130" s="50" t="s">
        <v>391</v>
      </c>
      <c r="BO130" s="51">
        <f>35.9-33.7+83.6-60.6</f>
        <v>25.199999999999982</v>
      </c>
      <c r="BP130" s="51">
        <f>89.4-34.1+416.4-146.6-BO130</f>
        <v>299.90000000000003</v>
      </c>
      <c r="BQ130" s="51">
        <f>116.3-34.1+498.4-196.7-BP130-BO130</f>
        <v>58.799999999999905</v>
      </c>
      <c r="BR130" s="51">
        <f>136.6-42.7+609.8-247.5-BQ130-BP130-BO130</f>
        <v>72.300000000000011</v>
      </c>
      <c r="BS130" s="51">
        <f>36.8+54.5-83</f>
        <v>8.2999999999999972</v>
      </c>
      <c r="BT130" s="51">
        <f>111.2+412-154.8-BS130</f>
        <v>360.1</v>
      </c>
      <c r="BU130" s="51">
        <f>118.8-11.4+574.1-223.7-BT130-BS130</f>
        <v>89.399999999999991</v>
      </c>
      <c r="BV130" s="51">
        <f>129.7-11.4+757.1-358.7-BU130-BT130-BS130</f>
        <v>58.900000000000048</v>
      </c>
      <c r="BW130" s="51">
        <f>4-19.4+284.8-291.5</f>
        <v>-22.099999999999966</v>
      </c>
      <c r="BX130" s="51">
        <f>21.3-26.6+461.9-503.1-BW130</f>
        <v>-24.400000000000091</v>
      </c>
      <c r="BY130" s="51">
        <f>46.6-27.9+537.2-710.1-BX130-BW130</f>
        <v>-107.69999999999987</v>
      </c>
      <c r="BZ130" s="51">
        <f>47.4-83.5+800-929.9-BY130-BX130-BW130</f>
        <v>-11.800000000000068</v>
      </c>
      <c r="CA130" s="51">
        <f>26.7-14.6+81.4-116.7</f>
        <v>-23.200000000000003</v>
      </c>
      <c r="CB130" s="51">
        <f>57.6-32.9+168.5-251.4-CA130</f>
        <v>-35.000000000000014</v>
      </c>
      <c r="CC130" s="51">
        <f>83.1-65+251.6-474.1-CB130-CA130</f>
        <v>-146.20000000000005</v>
      </c>
      <c r="CD130" s="51">
        <f>121.4-107.4+342.2-600.2-CC130-CB130-CA130</f>
        <v>-39.599999999999994</v>
      </c>
      <c r="CE130" s="51">
        <f>61.5-23+281.9-146</f>
        <v>174.39999999999998</v>
      </c>
      <c r="CF130" s="51">
        <f>109.6-59.8+388.4-343.4-CE130</f>
        <v>-79.599999999999966</v>
      </c>
      <c r="CG130" s="51">
        <f>155.2-79.2+476.2-474.8-CF130-CE130</f>
        <v>-17.400000000000091</v>
      </c>
      <c r="CH130" s="51">
        <f>192.2-98.2+508.1-730.8-CG130-CF130-CE130</f>
        <v>-206.09999999999985</v>
      </c>
      <c r="CI130" s="51">
        <f>41.4-24.4+70.5-117.1</f>
        <v>-29.599999999999994</v>
      </c>
      <c r="CJ130" s="51">
        <f>75.4-48.8-CI130</f>
        <v>56.2</v>
      </c>
      <c r="DZ130" s="49">
        <f t="shared" si="409"/>
        <v>456.19999999999993</v>
      </c>
      <c r="EA130" s="49">
        <f t="shared" si="410"/>
        <v>516.70000000000005</v>
      </c>
      <c r="EB130" s="49">
        <f>SUM(BW130:BZ130)</f>
        <v>-166</v>
      </c>
      <c r="EC130" s="49">
        <f>SUM(CA130:CD130)</f>
        <v>-244.00000000000006</v>
      </c>
      <c r="ED130" s="49">
        <f>SUM(CE130:CH130)</f>
        <v>-128.69999999999993</v>
      </c>
    </row>
    <row r="131" spans="2:134" x14ac:dyDescent="0.2">
      <c r="B131" s="50" t="s">
        <v>395</v>
      </c>
      <c r="BO131" s="51">
        <f>-6917.7-196.9</f>
        <v>-7114.5999999999995</v>
      </c>
      <c r="BP131" s="51">
        <f>-6917.7-BO131-241.9</f>
        <v>-45.000000000000369</v>
      </c>
      <c r="BQ131" s="51">
        <f>-6917.7-BP131-BO131-319.6</f>
        <v>-77.700000000000387</v>
      </c>
      <c r="BR131" s="51">
        <f>-6917.7-374+354.8-BQ131-BP131-BO131-319.6</f>
        <v>-19.199999999999477</v>
      </c>
      <c r="BS131" s="51">
        <f>-849.3-13</f>
        <v>-862.3</v>
      </c>
      <c r="BT131" s="51">
        <f>-849.3-BS131-254.4</f>
        <v>-241.4</v>
      </c>
      <c r="BU131" s="51">
        <f>-849.3-BT131-BS131-276.4</f>
        <v>-22</v>
      </c>
      <c r="BV131" s="51">
        <f>-641.2-849.3-BU131-BT131-BS131</f>
        <v>-364.79999999999995</v>
      </c>
      <c r="BW131" s="51">
        <f>-747.4-191.8</f>
        <v>-939.2</v>
      </c>
      <c r="BX131" s="51">
        <f>-747.4-341.8-BW131</f>
        <v>-150</v>
      </c>
      <c r="BY131" s="51">
        <f>-747.4-BX131-BW131-460.6</f>
        <v>-118.79999999999995</v>
      </c>
      <c r="BZ131" s="51">
        <f>-563.4-BY131-BX131-BW131-747.4</f>
        <v>-102.79999999999995</v>
      </c>
      <c r="CA131" s="51">
        <v>-491.8</v>
      </c>
      <c r="CB131" s="51">
        <f>-571.8-CA131</f>
        <v>-79.999999999999943</v>
      </c>
      <c r="CC131" s="51">
        <f>-574.8-CB131-CA131</f>
        <v>-3</v>
      </c>
      <c r="CD131" s="51">
        <f>-629.7-327.2-CC131-CB131-CA131</f>
        <v>-382.10000000000008</v>
      </c>
      <c r="CE131" s="51">
        <v>-235</v>
      </c>
      <c r="CF131" s="51">
        <f>-333.1-CE131</f>
        <v>-98.100000000000023</v>
      </c>
      <c r="CG131" s="51">
        <f>1604.3-3364-CF131-CE131</f>
        <v>-1426.6</v>
      </c>
      <c r="CH131" s="51">
        <f>-3944.5-CG131-CF131-CE131-1044.3</f>
        <v>-3229.1000000000004</v>
      </c>
      <c r="CI131" s="51">
        <v>-96.5</v>
      </c>
      <c r="CJ131" s="51">
        <f>-947.7-CI131-274.5</f>
        <v>-1125.7</v>
      </c>
      <c r="DZ131" s="49">
        <f t="shared" si="409"/>
        <v>-7256.5</v>
      </c>
      <c r="EA131" s="49">
        <f t="shared" si="410"/>
        <v>-1490.5</v>
      </c>
      <c r="EB131" s="49">
        <f>SUM(BW131:BZ131)</f>
        <v>-1310.8</v>
      </c>
      <c r="EC131" s="49">
        <f>SUM(CA131:CD131)</f>
        <v>-956.90000000000009</v>
      </c>
      <c r="ED131" s="49">
        <f>SUM(CE131:CH131)</f>
        <v>-4988.8</v>
      </c>
    </row>
    <row r="132" spans="2:134" x14ac:dyDescent="0.2">
      <c r="B132" s="50" t="s">
        <v>78</v>
      </c>
      <c r="BO132" s="51">
        <v>-385.6</v>
      </c>
      <c r="BP132" s="51">
        <f>-339.2-BO132</f>
        <v>46.400000000000034</v>
      </c>
      <c r="BQ132" s="51">
        <f>-480.7-BP132-BO132</f>
        <v>-141.5</v>
      </c>
      <c r="BR132" s="51">
        <f>-248.7-BQ132-BP132-BO132</f>
        <v>232</v>
      </c>
      <c r="BS132" s="51">
        <v>51.4</v>
      </c>
      <c r="BT132" s="51">
        <f>4.1-BS132</f>
        <v>-47.3</v>
      </c>
      <c r="BU132" s="51">
        <f>16.3-BT132-BS132</f>
        <v>12.199999999999996</v>
      </c>
      <c r="BV132" s="51">
        <f>102.8-BU132-BT132-BS132</f>
        <v>86.499999999999972</v>
      </c>
      <c r="BW132" s="51">
        <v>-21.9</v>
      </c>
      <c r="BX132" s="51">
        <f>50.5-BW132</f>
        <v>72.400000000000006</v>
      </c>
      <c r="BY132" s="51">
        <f>-2.7-BX132-BW132</f>
        <v>-53.20000000000001</v>
      </c>
      <c r="BZ132" s="51">
        <f>24.3-BY132-BX132-BW132</f>
        <v>27.000000000000007</v>
      </c>
      <c r="CA132" s="51">
        <v>-133.4</v>
      </c>
      <c r="CB132" s="51">
        <f>-111.3-CA132</f>
        <v>22.100000000000009</v>
      </c>
      <c r="CC132" s="51">
        <f>-268.3-CB132-CA132</f>
        <v>-157.00000000000003</v>
      </c>
      <c r="CD132" s="51">
        <f>-206.4-CC132-CB132-CA132</f>
        <v>61.90000000000002</v>
      </c>
      <c r="CE132" s="51">
        <v>40.299999999999997</v>
      </c>
      <c r="CF132" s="51">
        <f>497.1-CE132</f>
        <v>456.8</v>
      </c>
      <c r="CG132" s="51">
        <f>-169.1-CF132-CE132</f>
        <v>-666.19999999999993</v>
      </c>
      <c r="CH132" s="51">
        <f>-191.9+1604.3-CG132-CF132-CE132</f>
        <v>1581.5</v>
      </c>
      <c r="CI132" s="51">
        <v>-65.2</v>
      </c>
      <c r="CJ132" s="51">
        <f>30.4-CI132</f>
        <v>95.6</v>
      </c>
      <c r="DZ132" s="49">
        <f t="shared" si="409"/>
        <v>-248.7</v>
      </c>
      <c r="EA132" s="49">
        <f t="shared" si="410"/>
        <v>102.79999999999997</v>
      </c>
      <c r="EB132" s="49">
        <f>SUM(BW132:BZ132)</f>
        <v>24.300000000000004</v>
      </c>
      <c r="EC132" s="49">
        <f>SUM(CA132:CD132)</f>
        <v>-206.39999999999998</v>
      </c>
      <c r="ED132" s="49">
        <f>SUM(CE132:CH132)</f>
        <v>1412.4</v>
      </c>
    </row>
    <row r="133" spans="2:134" x14ac:dyDescent="0.2">
      <c r="B133" s="50" t="s">
        <v>396</v>
      </c>
      <c r="BO133" s="51">
        <f>SUM(BO129:BO132)</f>
        <v>-7678.7</v>
      </c>
      <c r="BP133" s="51">
        <f>SUM(BP129:BP132)</f>
        <v>60.999999999999687</v>
      </c>
      <c r="BQ133" s="51">
        <f>SUM(BQ129:BQ132)</f>
        <v>-423.80000000000047</v>
      </c>
      <c r="BR133" s="51">
        <f t="shared" ref="BR133" si="411">SUM(BR129:BR132)</f>
        <v>-41.399999999999523</v>
      </c>
      <c r="BS133" s="51">
        <f t="shared" ref="BS133:BV133" si="412">SUM(BS129:BS132)</f>
        <v>-1060.8999999999999</v>
      </c>
      <c r="BT133" s="51">
        <f t="shared" si="412"/>
        <v>-210.39999999999998</v>
      </c>
      <c r="BU133" s="51">
        <f t="shared" si="412"/>
        <v>-313.50000000000011</v>
      </c>
      <c r="BV133" s="51">
        <f t="shared" si="412"/>
        <v>-674.09999999999991</v>
      </c>
      <c r="BW133" s="51">
        <f t="shared" ref="BW133:CJ133" si="413">SUM(BW129:BW132)</f>
        <v>-1283.5</v>
      </c>
      <c r="BX133" s="51">
        <f t="shared" si="413"/>
        <v>-483.30000000000007</v>
      </c>
      <c r="BY133" s="51">
        <f t="shared" si="413"/>
        <v>-616.49999999999977</v>
      </c>
      <c r="BZ133" s="51">
        <f t="shared" si="413"/>
        <v>-379.00000000000006</v>
      </c>
      <c r="CA133" s="51">
        <f t="shared" si="413"/>
        <v>-1013.8</v>
      </c>
      <c r="CB133" s="51">
        <f t="shared" si="413"/>
        <v>-463.89999999999992</v>
      </c>
      <c r="CC133" s="51">
        <f t="shared" si="413"/>
        <v>-923.4</v>
      </c>
      <c r="CD133" s="51">
        <f t="shared" si="413"/>
        <v>-860.50000000000011</v>
      </c>
      <c r="CE133" s="51">
        <f t="shared" si="413"/>
        <v>-688.80000000000007</v>
      </c>
      <c r="CF133" s="51">
        <f t="shared" si="413"/>
        <v>-459.09999999999997</v>
      </c>
      <c r="CG133" s="51">
        <f t="shared" si="413"/>
        <v>-3080.5</v>
      </c>
      <c r="CH133" s="51">
        <f t="shared" si="413"/>
        <v>-2924.3</v>
      </c>
      <c r="CI133" s="51">
        <f t="shared" si="413"/>
        <v>-1177.6000000000001</v>
      </c>
      <c r="CJ133" s="51">
        <f t="shared" si="413"/>
        <v>-2198.7000000000003</v>
      </c>
      <c r="DZ133" s="49">
        <f>SUM(CA133:CD133)</f>
        <v>-3261.6</v>
      </c>
      <c r="EA133" s="49">
        <f>SUM(CB133:CE133)</f>
        <v>-2936.6000000000004</v>
      </c>
      <c r="EB133" s="49">
        <f t="shared" ref="EB133" si="414">SUM(CC133:CF133)</f>
        <v>-2931.8</v>
      </c>
      <c r="EC133" s="49">
        <f t="shared" ref="EC133" si="415">SUM(CD133:CG133)</f>
        <v>-5088.8999999999996</v>
      </c>
      <c r="ED133" s="49">
        <f t="shared" ref="ED133:ED139" si="416">SUM(CE133:CH133)</f>
        <v>-7152.7</v>
      </c>
    </row>
    <row r="134" spans="2:134" x14ac:dyDescent="0.2">
      <c r="BQ134" s="51"/>
      <c r="BW134" s="51"/>
      <c r="BX134" s="51"/>
      <c r="CD134" s="51"/>
      <c r="EA134" s="49"/>
      <c r="EB134" s="49"/>
      <c r="EC134" s="49"/>
    </row>
    <row r="135" spans="2:134" x14ac:dyDescent="0.2">
      <c r="B135" s="50" t="s">
        <v>296</v>
      </c>
      <c r="BO135" s="51">
        <v>-637.20000000000005</v>
      </c>
      <c r="BP135" s="51">
        <f>-1235.2-BO135</f>
        <v>-598</v>
      </c>
      <c r="BQ135" s="51">
        <f>-1822.6-BP135-BO135</f>
        <v>-587.39999999999986</v>
      </c>
      <c r="BR135" s="51">
        <f>-2409.8-BQ135-BP135-BO135</f>
        <v>-587.20000000000027</v>
      </c>
      <c r="BS135" s="51">
        <v>-671.3</v>
      </c>
      <c r="BT135" s="51">
        <f>-1345.5-BS135</f>
        <v>-674.2</v>
      </c>
      <c r="BU135" s="51">
        <f>-2017.1-BT135-BS135</f>
        <v>-671.59999999999991</v>
      </c>
      <c r="BV135" s="51">
        <f>-2687.1-BU135-BT135-BS135</f>
        <v>-670</v>
      </c>
      <c r="BW135" s="51">
        <v>-774.8</v>
      </c>
      <c r="BX135" s="51">
        <f>-1543.1-BW135</f>
        <v>-768.3</v>
      </c>
      <c r="BY135" s="51">
        <f>-2313.5-BX135-BW135</f>
        <v>-770.40000000000009</v>
      </c>
      <c r="BZ135" s="51">
        <f>-3086.8-BY135-BX135-BW135</f>
        <v>-773.30000000000018</v>
      </c>
      <c r="CA135" s="51">
        <v>-885.5</v>
      </c>
      <c r="CB135" s="51">
        <f>-1769.2-CA135</f>
        <v>-883.7</v>
      </c>
      <c r="CC135" s="51">
        <f>-2651.4-CB135-CA135</f>
        <v>-882.2</v>
      </c>
      <c r="CD135" s="51">
        <f>-3535.8-CC135-CB135-CA135</f>
        <v>-884.40000000000032</v>
      </c>
      <c r="CE135" s="51">
        <v>-1017.2</v>
      </c>
      <c r="CF135" s="51">
        <f>-2035-CE135</f>
        <v>-1017.8</v>
      </c>
      <c r="CG135" s="51">
        <f>-3051.2-CF135-CE135</f>
        <v>-1016.1999999999998</v>
      </c>
      <c r="CH135" s="51">
        <f>-4069.3-CG135-CF135-CE135</f>
        <v>-1018.1000000000004</v>
      </c>
      <c r="CI135" s="51">
        <v>-1169.2</v>
      </c>
      <c r="CJ135" s="51">
        <f>-2341.6-CI135</f>
        <v>-1172.3999999999999</v>
      </c>
      <c r="DZ135" s="49">
        <f t="shared" ref="DZ135:DZ138" si="417">SUM(BO135:BR135)</f>
        <v>-2409.8000000000002</v>
      </c>
      <c r="EA135" s="49">
        <f t="shared" ref="EA135:EA138" si="418">SUM(BS135:BV135)</f>
        <v>-2687.1</v>
      </c>
      <c r="EB135" s="49">
        <f>SUM(BW135:BZ135)</f>
        <v>-3086.8</v>
      </c>
      <c r="EC135" s="49">
        <f>SUM(CA135:CD135)</f>
        <v>-3535.8</v>
      </c>
      <c r="ED135" s="49">
        <f>SUM(CE135:CH135)</f>
        <v>-4069.3</v>
      </c>
    </row>
    <row r="136" spans="2:134" x14ac:dyDescent="0.2">
      <c r="B136" s="50" t="s">
        <v>399</v>
      </c>
      <c r="BO136" s="51">
        <f>1850.4+4448.3-600</f>
        <v>5698.7000000000007</v>
      </c>
      <c r="BP136" s="51">
        <f>1564.3+4448.3-600.2-BO136</f>
        <v>-286.30000000000018</v>
      </c>
      <c r="BQ136" s="51">
        <f>1058.9+4448.3-600.3-BP136-BO136</f>
        <v>-505.5</v>
      </c>
      <c r="BR136" s="51">
        <f>995.4+6556.4-2866.4-BQ136-BP136-BO136</f>
        <v>-221.50000000000091</v>
      </c>
      <c r="BS136" s="51">
        <f>1748.7-276.3</f>
        <v>1472.4</v>
      </c>
      <c r="BT136" s="51">
        <f>-235.4+988.6-276.3-BS136</f>
        <v>-995.5</v>
      </c>
      <c r="BU136" s="51">
        <f>-914.3+2062.3-276.3-BT136-BS136</f>
        <v>394.80000000000018</v>
      </c>
      <c r="BV136" s="51">
        <f>-1494.2+2062.3-276.5-BU136-BT136-BS136</f>
        <v>-580.10000000000014</v>
      </c>
      <c r="BW136" s="51">
        <v>-3.7</v>
      </c>
      <c r="BX136" s="51">
        <f>196.3-BW136</f>
        <v>200</v>
      </c>
      <c r="BY136" s="51">
        <f>-1.5+2410.8-1905.3-BX136-BW136</f>
        <v>307.70000000000022</v>
      </c>
      <c r="BZ136" s="51">
        <f>-4+2410.8-1905.4-BY136-BX136-BW136</f>
        <v>-2.6000000000001249</v>
      </c>
      <c r="CA136" s="52">
        <f>499.7-710.1</f>
        <v>-210.40000000000003</v>
      </c>
      <c r="CB136" s="51">
        <f>2117.2-1560-CA136</f>
        <v>767.59999999999991</v>
      </c>
      <c r="CC136" s="51">
        <f>1741.3-1560-CB136-CA136</f>
        <v>-375.89999999999992</v>
      </c>
      <c r="CD136" s="51">
        <f>1498-1560-CC136-CB136-CA136</f>
        <v>-243.29999999999995</v>
      </c>
      <c r="CE136" s="51">
        <f>-1498+3958.5</f>
        <v>2460.5</v>
      </c>
      <c r="CF136" s="51">
        <f>-1498-CE136+3958.5</f>
        <v>0</v>
      </c>
      <c r="CG136" s="51">
        <f>97-CF136-CE136+3958.5</f>
        <v>1595</v>
      </c>
      <c r="CH136" s="51">
        <f>4691.4+3958.5-CG136-CF136-CE136</f>
        <v>4594.3999999999996</v>
      </c>
      <c r="CI136" s="51">
        <v>-5204.8</v>
      </c>
      <c r="CJ136" s="51">
        <f>-1804.7+6452.5-CI136-664.2</f>
        <v>9188.4</v>
      </c>
      <c r="DZ136" s="49">
        <f t="shared" si="417"/>
        <v>4685.3999999999996</v>
      </c>
      <c r="EA136" s="49">
        <f t="shared" si="418"/>
        <v>291.60000000000014</v>
      </c>
      <c r="EB136" s="49">
        <f>SUM(BW136:BZ136)</f>
        <v>501.40000000000009</v>
      </c>
      <c r="EC136" s="49">
        <f>SUM(CA136:CD136)</f>
        <v>-62.000000000000057</v>
      </c>
      <c r="ED136" s="49">
        <f>SUM(CE136:CH136)</f>
        <v>8649.9</v>
      </c>
    </row>
    <row r="137" spans="2:134" x14ac:dyDescent="0.2">
      <c r="B137" s="38" t="s">
        <v>398</v>
      </c>
      <c r="BO137" s="51">
        <v>-3500</v>
      </c>
      <c r="BP137" s="51">
        <f>-3500-BO137</f>
        <v>0</v>
      </c>
      <c r="BQ137" s="51">
        <f>-4100-BP137-BO137</f>
        <v>-600</v>
      </c>
      <c r="BR137" s="51">
        <f>-4400-BQ137-BP137-BO137</f>
        <v>-300</v>
      </c>
      <c r="BS137" s="51">
        <v>-500</v>
      </c>
      <c r="BT137" s="51">
        <f>-500-BS137</f>
        <v>0</v>
      </c>
      <c r="BU137" s="51">
        <f>-500-BT137-BS137</f>
        <v>0</v>
      </c>
      <c r="BV137" s="51">
        <f>-500-BU137-BT137-BS137</f>
        <v>0</v>
      </c>
      <c r="BW137" s="51">
        <v>0</v>
      </c>
      <c r="BX137" s="51">
        <f>-500-BW137</f>
        <v>-500</v>
      </c>
      <c r="BY137" s="51">
        <f>-500-BX137-BW137</f>
        <v>0</v>
      </c>
      <c r="BZ137" s="51">
        <f>-1250-BY137-BX137-BW137</f>
        <v>-750</v>
      </c>
      <c r="CA137" s="51">
        <v>-1500</v>
      </c>
      <c r="CB137" s="51">
        <f>-1500-CA137</f>
        <v>0</v>
      </c>
      <c r="CC137" s="51">
        <f>-1500-CB137-CA137</f>
        <v>0</v>
      </c>
      <c r="CD137" s="51">
        <f>-1500-CC137-CB137-CA137</f>
        <v>0</v>
      </c>
      <c r="CE137" s="51">
        <v>-750</v>
      </c>
      <c r="CF137" s="51">
        <f>-750-CE137</f>
        <v>0</v>
      </c>
      <c r="CG137" s="51">
        <f>-750-CF137-CE137</f>
        <v>0</v>
      </c>
      <c r="CH137" s="51">
        <f>-750-CG137-CF137-CE137</f>
        <v>0</v>
      </c>
      <c r="CI137" s="51">
        <v>6452.5</v>
      </c>
      <c r="CJ137" s="51">
        <f>0-CI137</f>
        <v>-6452.5</v>
      </c>
      <c r="DZ137" s="49">
        <f t="shared" si="417"/>
        <v>-4400</v>
      </c>
      <c r="EA137" s="49">
        <f t="shared" si="418"/>
        <v>-500</v>
      </c>
      <c r="EB137" s="49">
        <f>SUM(BW137:BZ137)</f>
        <v>-1250</v>
      </c>
      <c r="EC137" s="49">
        <f>SUM(CA137:CD137)</f>
        <v>-1500</v>
      </c>
      <c r="ED137" s="49">
        <f>SUM(CE137:CH137)</f>
        <v>-750</v>
      </c>
    </row>
    <row r="138" spans="2:134" x14ac:dyDescent="0.2">
      <c r="B138" s="38" t="s">
        <v>78</v>
      </c>
      <c r="BO138" s="51">
        <v>-193.7</v>
      </c>
      <c r="BP138" s="51">
        <f>-195.2-BO138</f>
        <v>-1.5</v>
      </c>
      <c r="BQ138" s="51">
        <f>-195.2-BP138-BO138</f>
        <v>0</v>
      </c>
      <c r="BR138" s="51">
        <f>-200.1-BQ138-BP138-BO138</f>
        <v>-4.9000000000000057</v>
      </c>
      <c r="BS138" s="51">
        <v>-194.4</v>
      </c>
      <c r="BT138" s="51">
        <f>-197.9-BS138</f>
        <v>-3.5</v>
      </c>
      <c r="BU138" s="51">
        <f>-200.2-BT138-BS138</f>
        <v>-2.2999999999999829</v>
      </c>
      <c r="BV138" s="51">
        <f>-241.6-BU138-BT138-BS138</f>
        <v>-41.400000000000006</v>
      </c>
      <c r="BW138" s="51">
        <v>-279.89999999999998</v>
      </c>
      <c r="BX138" s="51">
        <f>-294.8-BW138</f>
        <v>-14.900000000000034</v>
      </c>
      <c r="BY138" s="51">
        <f>-295.3-BX138-BW138</f>
        <v>-0.5</v>
      </c>
      <c r="BZ138" s="51">
        <f>-295.9-BY138-BX138-BW138</f>
        <v>-0.59999999999996589</v>
      </c>
      <c r="CA138" s="51">
        <v>-282.39999999999998</v>
      </c>
      <c r="CB138" s="51">
        <f>-290-CA138</f>
        <v>-7.6000000000000227</v>
      </c>
      <c r="CC138" s="51">
        <f>-295.2-CB138-CA138</f>
        <v>-5.1999999999999886</v>
      </c>
      <c r="CD138" s="51">
        <f>-308.9-CC138-CB138-CA138</f>
        <v>-13.699999999999989</v>
      </c>
      <c r="CE138" s="51">
        <v>-281</v>
      </c>
      <c r="CF138" s="51">
        <f>-296.6-CE138</f>
        <v>-15.600000000000023</v>
      </c>
      <c r="CG138" s="51">
        <f>-303.4-CF138-CE138</f>
        <v>-6.7999999999999545</v>
      </c>
      <c r="CH138" s="51">
        <f>-335-CG138-CF138-CE138</f>
        <v>-31.600000000000023</v>
      </c>
      <c r="CI138" s="51">
        <v>-389.8</v>
      </c>
      <c r="CJ138" s="51">
        <f>-397.8-CI138</f>
        <v>-8</v>
      </c>
      <c r="DZ138" s="49">
        <f t="shared" si="417"/>
        <v>-200.1</v>
      </c>
      <c r="EA138" s="49">
        <f t="shared" si="418"/>
        <v>-241.6</v>
      </c>
      <c r="EB138" s="49">
        <f>SUM(BW138:BZ138)</f>
        <v>-295.89999999999998</v>
      </c>
      <c r="EC138" s="49">
        <f>SUM(CA138:CD138)</f>
        <v>-308.89999999999998</v>
      </c>
      <c r="ED138" s="49">
        <f>SUM(CE138:CH138)</f>
        <v>-335</v>
      </c>
    </row>
    <row r="139" spans="2:134" x14ac:dyDescent="0.2">
      <c r="B139" s="38" t="s">
        <v>397</v>
      </c>
      <c r="BO139" s="51">
        <f t="shared" ref="BO139" si="419">SUM(BO135:BO138)</f>
        <v>1367.8000000000009</v>
      </c>
      <c r="BP139" s="51">
        <f t="shared" ref="BP139" si="420">SUM(BP135:BP138)</f>
        <v>-885.80000000000018</v>
      </c>
      <c r="BQ139" s="51">
        <f t="shared" ref="BQ139" si="421">SUM(BQ135:BQ138)</f>
        <v>-1692.8999999999999</v>
      </c>
      <c r="BR139" s="51">
        <f t="shared" ref="BR139" si="422">SUM(BR135:BR138)</f>
        <v>-1113.6000000000013</v>
      </c>
      <c r="BS139" s="51">
        <f t="shared" ref="BS139:BV139" si="423">SUM(BS135:BS138)</f>
        <v>106.70000000000013</v>
      </c>
      <c r="BT139" s="51">
        <f t="shared" si="423"/>
        <v>-1673.2</v>
      </c>
      <c r="BU139" s="51">
        <f t="shared" si="423"/>
        <v>-279.09999999999968</v>
      </c>
      <c r="BV139" s="51">
        <f t="shared" si="423"/>
        <v>-1291.5000000000002</v>
      </c>
      <c r="BW139" s="51">
        <f t="shared" ref="BW139:CJ139" si="424">SUM(BW135:BW138)</f>
        <v>-1058.4000000000001</v>
      </c>
      <c r="BX139" s="51">
        <f t="shared" si="424"/>
        <v>-1083.2</v>
      </c>
      <c r="BY139" s="51">
        <f t="shared" si="424"/>
        <v>-463.19999999999987</v>
      </c>
      <c r="BZ139" s="51">
        <f t="shared" si="424"/>
        <v>-1526.5000000000002</v>
      </c>
      <c r="CA139" s="51">
        <f t="shared" si="424"/>
        <v>-2878.3</v>
      </c>
      <c r="CB139" s="51">
        <f t="shared" si="424"/>
        <v>-123.70000000000016</v>
      </c>
      <c r="CC139" s="51">
        <f t="shared" si="424"/>
        <v>-1263.3</v>
      </c>
      <c r="CD139" s="51">
        <f t="shared" si="424"/>
        <v>-1141.4000000000003</v>
      </c>
      <c r="CE139" s="51">
        <f t="shared" si="424"/>
        <v>412.29999999999995</v>
      </c>
      <c r="CF139" s="51">
        <f t="shared" si="424"/>
        <v>-1033.4000000000001</v>
      </c>
      <c r="CG139" s="51">
        <f t="shared" si="424"/>
        <v>572.00000000000023</v>
      </c>
      <c r="CH139" s="51">
        <f t="shared" si="424"/>
        <v>3544.6999999999994</v>
      </c>
      <c r="CI139" s="51">
        <f t="shared" si="424"/>
        <v>-311.3</v>
      </c>
      <c r="CJ139" s="51">
        <f t="shared" si="424"/>
        <v>1555.5</v>
      </c>
      <c r="DZ139" s="49">
        <f>SUM(CA139:CD139)</f>
        <v>-5406.7000000000007</v>
      </c>
      <c r="EA139" s="49">
        <f>SUM(CB139:CE139)</f>
        <v>-2116.1000000000004</v>
      </c>
      <c r="EB139" s="49">
        <f t="shared" ref="EB139" si="425">SUM(CC139:CF139)</f>
        <v>-3025.8</v>
      </c>
      <c r="EC139" s="49">
        <f t="shared" ref="EC139" si="426">SUM(CD139:CG139)</f>
        <v>-1190.5000000000002</v>
      </c>
      <c r="ED139" s="49">
        <f t="shared" si="416"/>
        <v>3495.5999999999995</v>
      </c>
    </row>
    <row r="140" spans="2:134" x14ac:dyDescent="0.2">
      <c r="B140" s="38" t="s">
        <v>400</v>
      </c>
      <c r="BO140" s="51">
        <v>37.799999999999997</v>
      </c>
      <c r="BP140" s="51">
        <f>64.9-BO140</f>
        <v>27.100000000000009</v>
      </c>
      <c r="BQ140" s="51">
        <f>-54.9-BP140-BO140</f>
        <v>-119.8</v>
      </c>
      <c r="BR140" s="51">
        <f>-89.9-BQ140-BP140-BO140</f>
        <v>-35.000000000000014</v>
      </c>
      <c r="BS140" s="51">
        <v>-66.7</v>
      </c>
      <c r="BT140" s="51">
        <f>-12.4-BS140</f>
        <v>54.300000000000004</v>
      </c>
      <c r="BU140" s="51">
        <f>3.8-BT140-BS140</f>
        <v>16.199999999999996</v>
      </c>
      <c r="BV140" s="51">
        <f>216-BU140-BT140-BS140</f>
        <v>212.2</v>
      </c>
      <c r="BW140" s="51">
        <v>-10.199999999999999</v>
      </c>
      <c r="BX140" s="51">
        <f>-1.6-BW140</f>
        <v>8.6</v>
      </c>
      <c r="BY140" s="51">
        <f>15-BX140-BW140</f>
        <v>16.600000000000001</v>
      </c>
      <c r="BZ140" s="51">
        <f>-205.7-BY140-BX140-BW140</f>
        <v>-220.7</v>
      </c>
      <c r="CA140" s="51">
        <v>33.6</v>
      </c>
      <c r="CB140" s="51">
        <f>-35.8-CA140</f>
        <v>-69.400000000000006</v>
      </c>
      <c r="CC140" s="51">
        <f>-39.4-CB140-CA140</f>
        <v>-3.5999999999999943</v>
      </c>
      <c r="CD140" s="51">
        <f>-167.6-CC140-CB140-CA140</f>
        <v>-128.19999999999999</v>
      </c>
      <c r="CE140" s="51">
        <v>24.8</v>
      </c>
      <c r="CF140" s="51">
        <f>34-CE140</f>
        <v>9.1999999999999993</v>
      </c>
      <c r="CG140" s="51">
        <f>39.3-CF140-CE140</f>
        <v>5.2999999999999972</v>
      </c>
      <c r="CH140" s="51">
        <f>168.6-CG140-CF140-CE140</f>
        <v>129.30000000000001</v>
      </c>
      <c r="CI140" s="51">
        <v>-35.5</v>
      </c>
      <c r="CJ140" s="51">
        <f>-95.1-CI140</f>
        <v>-59.599999999999994</v>
      </c>
      <c r="DZ140" s="49">
        <f t="shared" ref="DZ140" si="427">SUM(BO140:BR140)</f>
        <v>-89.9</v>
      </c>
      <c r="EA140" s="49">
        <f t="shared" ref="EA140" si="428">SUM(BS140:BV140)</f>
        <v>216</v>
      </c>
      <c r="EB140" s="49">
        <f>SUM(BW140:BZ140)</f>
        <v>-205.7</v>
      </c>
      <c r="EC140" s="49">
        <f>SUM(CA140:CD140)</f>
        <v>-167.6</v>
      </c>
      <c r="ED140" s="49">
        <f>SUM(CE140:CH140)</f>
        <v>168.60000000000002</v>
      </c>
    </row>
    <row r="141" spans="2:134" x14ac:dyDescent="0.2">
      <c r="B141" s="38" t="s">
        <v>401</v>
      </c>
      <c r="BO141" s="51">
        <f t="shared" ref="BO141" si="429">+BO140+BO139+BO133+BO127</f>
        <v>-5961.7999999999975</v>
      </c>
      <c r="BP141" s="51">
        <f t="shared" ref="BP141" si="430">+BP140+BP139+BP133+BP127</f>
        <v>253.79999999999927</v>
      </c>
      <c r="BQ141" s="51">
        <f t="shared" ref="BQ141" si="431">+BQ140+BQ139+BQ133+BQ127</f>
        <v>-726.40000000000055</v>
      </c>
      <c r="BR141" s="51">
        <f t="shared" ref="BR141" si="432">+BR140+BR139+BR133+BR127</f>
        <v>773.69999999999845</v>
      </c>
      <c r="BS141" s="51">
        <f t="shared" ref="BS141:BV141" si="433">+BS140+BS139+BS133+BS127</f>
        <v>-638.49999999999989</v>
      </c>
      <c r="BT141" s="51">
        <f t="shared" si="433"/>
        <v>666.09999999999945</v>
      </c>
      <c r="BU141" s="51">
        <f t="shared" si="433"/>
        <v>1230.2000000000005</v>
      </c>
      <c r="BV141" s="51">
        <f t="shared" si="433"/>
        <v>61.799999999999727</v>
      </c>
      <c r="BW141" s="51">
        <f t="shared" ref="BW141:CD141" si="434">+BW140+BW139+BW133+BW127</f>
        <v>-654.7000000000005</v>
      </c>
      <c r="BX141" s="51">
        <f t="shared" si="434"/>
        <v>217.59999999999991</v>
      </c>
      <c r="BY141" s="51">
        <f t="shared" si="434"/>
        <v>568.20000000000027</v>
      </c>
      <c r="BZ141" s="51">
        <f t="shared" si="434"/>
        <v>30.300000000000182</v>
      </c>
      <c r="CA141" s="51">
        <f t="shared" si="434"/>
        <v>-1359.3000000000002</v>
      </c>
      <c r="CB141" s="51">
        <f t="shared" si="434"/>
        <v>163.69999999999993</v>
      </c>
      <c r="CC141" s="51">
        <f t="shared" si="434"/>
        <v>-5.1999999999993634</v>
      </c>
      <c r="CD141" s="51">
        <f t="shared" si="434"/>
        <v>-550.70000000000005</v>
      </c>
      <c r="CE141" s="51">
        <f t="shared" ref="CE141:CJ141" si="435">+CE127+CE133+CE139+CE140</f>
        <v>1478.9</v>
      </c>
      <c r="CF141" s="51">
        <f t="shared" si="435"/>
        <v>-851.40000000000009</v>
      </c>
      <c r="CG141" s="51">
        <f t="shared" si="435"/>
        <v>-313.69999999999976</v>
      </c>
      <c r="CH141" s="51">
        <f t="shared" si="435"/>
        <v>437.79999999999774</v>
      </c>
      <c r="CI141" s="51">
        <f t="shared" si="435"/>
        <v>-358.40000000000038</v>
      </c>
      <c r="CJ141" s="51">
        <f t="shared" si="435"/>
        <v>763.39999999999952</v>
      </c>
      <c r="DZ141" s="49">
        <f t="shared" ref="DZ141:EC141" si="436">+DZ139+DZ140</f>
        <v>-5496.6</v>
      </c>
      <c r="EA141" s="49">
        <f t="shared" si="436"/>
        <v>-1900.1000000000004</v>
      </c>
      <c r="EB141" s="49">
        <f t="shared" si="436"/>
        <v>-3231.5</v>
      </c>
      <c r="EC141" s="49">
        <f t="shared" si="436"/>
        <v>-1358.1000000000001</v>
      </c>
      <c r="ED141" s="49">
        <f>+ED139+ED140</f>
        <v>3664.1999999999994</v>
      </c>
    </row>
    <row r="142" spans="2:134" x14ac:dyDescent="0.2">
      <c r="CH142" s="51"/>
      <c r="EA142" s="49"/>
      <c r="EB142" s="49"/>
      <c r="EC142" s="49"/>
    </row>
    <row r="143" spans="2:134" x14ac:dyDescent="0.2">
      <c r="B143" t="s">
        <v>494</v>
      </c>
      <c r="CH143" s="51"/>
      <c r="DE143" s="49">
        <v>29800</v>
      </c>
      <c r="DF143" s="49">
        <v>31300</v>
      </c>
      <c r="DG143" s="49">
        <v>35700</v>
      </c>
      <c r="DH143" s="51">
        <v>41100</v>
      </c>
      <c r="DI143" s="51">
        <v>43700</v>
      </c>
      <c r="DV143" s="51">
        <v>34790</v>
      </c>
      <c r="DW143" s="51">
        <v>35910</v>
      </c>
      <c r="DX143" s="51">
        <v>34750</v>
      </c>
      <c r="DY143" s="49">
        <v>33090</v>
      </c>
      <c r="DZ143" s="49">
        <v>33625</v>
      </c>
      <c r="EA143" s="49"/>
      <c r="EB143" s="49"/>
      <c r="EC143" s="49"/>
    </row>
    <row r="144" spans="2:134" x14ac:dyDescent="0.2">
      <c r="B144" s="38" t="s">
        <v>761</v>
      </c>
      <c r="BV144" s="95">
        <v>161.91</v>
      </c>
      <c r="BW144" s="95">
        <v>179.9</v>
      </c>
      <c r="BX144" s="95">
        <v>222</v>
      </c>
      <c r="BY144" s="95">
        <v>224.2</v>
      </c>
      <c r="BZ144" s="95">
        <v>268.89999999999998</v>
      </c>
      <c r="CA144" s="95">
        <v>279.95</v>
      </c>
      <c r="CB144" s="95">
        <v>318.02999999999997</v>
      </c>
      <c r="CC144" s="95">
        <v>318.2</v>
      </c>
      <c r="CD144" s="95">
        <v>361.02</v>
      </c>
      <c r="CE144" s="95">
        <v>339.99</v>
      </c>
      <c r="CF144" s="95">
        <v>465.5</v>
      </c>
      <c r="CG144" s="47">
        <v>534.29</v>
      </c>
      <c r="CH144" s="47">
        <v>580.91</v>
      </c>
      <c r="CI144" s="47">
        <v>776.64</v>
      </c>
      <c r="CJ144" s="47">
        <v>905.38</v>
      </c>
      <c r="EA144" s="49"/>
      <c r="EB144" s="49"/>
      <c r="EC144" s="49"/>
    </row>
    <row r="145" spans="2:133" x14ac:dyDescent="0.2">
      <c r="B145" s="38" t="s">
        <v>173</v>
      </c>
      <c r="BV145" s="51">
        <f>+BV144*BV74</f>
        <v>147757.60881000001</v>
      </c>
      <c r="BW145" s="51">
        <f>+BW144*BW74</f>
        <v>164140.76</v>
      </c>
      <c r="BX145" s="51">
        <f>+BX144*BX74</f>
        <v>202105.24799999999</v>
      </c>
      <c r="BY145" s="51">
        <f>+BY144*BY74</f>
        <v>204190.37419999999</v>
      </c>
      <c r="BZ145" s="51">
        <f>+BZ144*BZ74</f>
        <v>244579.33949999997</v>
      </c>
      <c r="CA145" s="51">
        <f>+CA144*CA74</f>
        <v>253746.68</v>
      </c>
      <c r="CB145" s="51">
        <f>+CB144*CB74</f>
        <v>287162.00819999998</v>
      </c>
      <c r="CC145" s="51">
        <f>+CC144*CC74</f>
        <v>287583.43239999999</v>
      </c>
      <c r="CD145" s="51">
        <f>+CD144*CD74</f>
        <v>326626.34663999995</v>
      </c>
      <c r="CE145" s="51">
        <f>+CE144*CE74</f>
        <v>307107.18716999999</v>
      </c>
      <c r="CF145" s="51">
        <f>+CF144*CF74</f>
        <v>420206.38449999999</v>
      </c>
      <c r="CG145" s="51">
        <f>+CG144*CG74</f>
        <v>482303.04870999994</v>
      </c>
      <c r="CH145" s="51">
        <f>+CH144*CH74</f>
        <v>525131.02179999999</v>
      </c>
      <c r="CI145" s="51">
        <f>+CI144*CI74</f>
        <v>701928.78527999995</v>
      </c>
      <c r="CJ145" s="51">
        <f>+CJ144*CJ74</f>
        <v>818688.05424000008</v>
      </c>
      <c r="EA145" s="49"/>
      <c r="EB145" s="49"/>
      <c r="EC145" s="49"/>
    </row>
    <row r="146" spans="2:133" x14ac:dyDescent="0.2">
      <c r="B146" s="38" t="s">
        <v>796</v>
      </c>
      <c r="CX146" s="109">
        <v>1</v>
      </c>
      <c r="CY146" s="109">
        <v>1.1000000000000001</v>
      </c>
      <c r="CZ146" s="109">
        <v>1.21</v>
      </c>
      <c r="DA146" s="109">
        <v>1.25</v>
      </c>
      <c r="DB146" s="109">
        <v>1.31</v>
      </c>
      <c r="DE146" s="109">
        <v>0.8</v>
      </c>
      <c r="DF146" s="109">
        <v>0.92</v>
      </c>
      <c r="DG146" s="109">
        <v>1.04</v>
      </c>
      <c r="DH146" s="95">
        <v>1.1200000000000001</v>
      </c>
      <c r="DI146" s="95">
        <v>1.24</v>
      </c>
      <c r="EB146" s="49"/>
      <c r="EC146" s="49"/>
    </row>
    <row r="147" spans="2:133" x14ac:dyDescent="0.2">
      <c r="EB147" s="49"/>
      <c r="EC147" s="49"/>
    </row>
    <row r="148" spans="2:133" x14ac:dyDescent="0.2">
      <c r="EB148" s="49"/>
      <c r="EC148" s="49"/>
    </row>
    <row r="149" spans="2:133" x14ac:dyDescent="0.2">
      <c r="EC149" s="49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42" width="5.28515625" customWidth="1"/>
    <col min="43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579</v>
      </c>
      <c r="E2" s="38" t="s">
        <v>580</v>
      </c>
      <c r="F2" s="38" t="s">
        <v>51</v>
      </c>
      <c r="G2" s="48" t="s">
        <v>643</v>
      </c>
      <c r="H2" s="48" t="s">
        <v>644</v>
      </c>
      <c r="I2" s="48" t="s">
        <v>645</v>
      </c>
      <c r="J2" s="48" t="s">
        <v>646</v>
      </c>
      <c r="K2" s="48" t="s">
        <v>648</v>
      </c>
      <c r="L2" s="48" t="s">
        <v>649</v>
      </c>
      <c r="M2" s="48"/>
      <c r="N2" s="48" t="s">
        <v>606</v>
      </c>
      <c r="O2" s="48" t="s">
        <v>607</v>
      </c>
      <c r="P2" s="48" t="s">
        <v>608</v>
      </c>
      <c r="Q2" s="48" t="s">
        <v>609</v>
      </c>
      <c r="R2" s="48" t="s">
        <v>610</v>
      </c>
      <c r="S2" s="48" t="s">
        <v>611</v>
      </c>
      <c r="T2" s="48" t="s">
        <v>612</v>
      </c>
      <c r="U2" s="48" t="s">
        <v>613</v>
      </c>
      <c r="V2" s="48" t="s">
        <v>614</v>
      </c>
      <c r="W2" s="48" t="s">
        <v>615</v>
      </c>
      <c r="X2" s="48" t="s">
        <v>616</v>
      </c>
      <c r="Y2" s="48" t="s">
        <v>617</v>
      </c>
      <c r="Z2" s="48" t="s">
        <v>618</v>
      </c>
      <c r="AA2" s="48" t="s">
        <v>619</v>
      </c>
      <c r="AB2" s="48" t="s">
        <v>620</v>
      </c>
      <c r="AC2" s="48" t="s">
        <v>621</v>
      </c>
      <c r="AD2" s="48" t="s">
        <v>622</v>
      </c>
      <c r="AE2" s="48" t="s">
        <v>623</v>
      </c>
      <c r="AF2" s="48" t="s">
        <v>624</v>
      </c>
      <c r="AG2" s="48" t="s">
        <v>625</v>
      </c>
      <c r="AH2" s="48" t="s">
        <v>626</v>
      </c>
      <c r="AI2" s="48" t="s">
        <v>627</v>
      </c>
      <c r="AJ2" s="48" t="s">
        <v>628</v>
      </c>
      <c r="AK2" s="48" t="s">
        <v>629</v>
      </c>
      <c r="AL2" s="48" t="s">
        <v>630</v>
      </c>
      <c r="AM2" s="48" t="s">
        <v>631</v>
      </c>
      <c r="AN2" s="48" t="s">
        <v>632</v>
      </c>
      <c r="AO2" s="48" t="s">
        <v>633</v>
      </c>
      <c r="AP2" s="48" t="s">
        <v>634</v>
      </c>
      <c r="AQ2" s="48" t="s">
        <v>635</v>
      </c>
      <c r="AR2" s="48" t="s">
        <v>636</v>
      </c>
      <c r="AS2" s="48" t="s">
        <v>637</v>
      </c>
      <c r="AT2" s="48" t="s">
        <v>638</v>
      </c>
      <c r="AU2" s="48" t="s">
        <v>639</v>
      </c>
      <c r="AV2" s="48" t="s">
        <v>640</v>
      </c>
      <c r="AW2" s="48" t="s">
        <v>641</v>
      </c>
      <c r="AX2" s="48" t="s">
        <v>642</v>
      </c>
      <c r="AZ2" s="48" t="s">
        <v>705</v>
      </c>
      <c r="BA2" s="48" t="s">
        <v>706</v>
      </c>
      <c r="BB2" s="48" t="s">
        <v>707</v>
      </c>
      <c r="BC2" s="48" t="s">
        <v>708</v>
      </c>
      <c r="BD2" s="48" t="s">
        <v>701</v>
      </c>
      <c r="BE2" s="48" t="s">
        <v>702</v>
      </c>
      <c r="BF2" s="48" t="s">
        <v>703</v>
      </c>
      <c r="BG2" s="48" t="s">
        <v>704</v>
      </c>
      <c r="BH2" s="48" t="s">
        <v>700</v>
      </c>
      <c r="BI2" s="48" t="s">
        <v>699</v>
      </c>
      <c r="BJ2" s="48" t="s">
        <v>698</v>
      </c>
      <c r="BK2" s="48" t="s">
        <v>697</v>
      </c>
      <c r="BL2" s="48" t="s">
        <v>696</v>
      </c>
      <c r="BM2" s="48" t="s">
        <v>695</v>
      </c>
      <c r="BN2" s="48" t="s">
        <v>694</v>
      </c>
      <c r="BO2" s="48" t="s">
        <v>693</v>
      </c>
      <c r="BP2" s="48" t="s">
        <v>517</v>
      </c>
      <c r="BQ2" s="48" t="s">
        <v>516</v>
      </c>
      <c r="BR2" s="48" t="s">
        <v>515</v>
      </c>
      <c r="BS2" s="48" t="s">
        <v>514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510</v>
      </c>
      <c r="EW2" s="48" t="s">
        <v>511</v>
      </c>
      <c r="EX2" s="48" t="s">
        <v>512</v>
      </c>
      <c r="EY2" s="48" t="s">
        <v>513</v>
      </c>
      <c r="EZ2" s="48" t="s">
        <v>651</v>
      </c>
      <c r="FA2" s="48" t="s">
        <v>652</v>
      </c>
      <c r="FB2" s="48" t="s">
        <v>653</v>
      </c>
      <c r="FC2" s="48" t="s">
        <v>654</v>
      </c>
      <c r="FD2" s="48" t="s">
        <v>655</v>
      </c>
      <c r="FE2" s="48" t="s">
        <v>656</v>
      </c>
      <c r="FF2" s="48" t="s">
        <v>657</v>
      </c>
      <c r="FG2" s="48" t="s">
        <v>658</v>
      </c>
      <c r="FH2" s="48" t="s">
        <v>659</v>
      </c>
      <c r="FI2" s="48" t="s">
        <v>660</v>
      </c>
      <c r="FJ2" s="48" t="s">
        <v>661</v>
      </c>
      <c r="FK2" s="48" t="s">
        <v>650</v>
      </c>
      <c r="FL2" s="48" t="s">
        <v>662</v>
      </c>
      <c r="FM2" s="48" t="s">
        <v>663</v>
      </c>
    </row>
    <row r="3" spans="1:169" s="55" customFormat="1" x14ac:dyDescent="0.2">
      <c r="B3" s="55" t="s">
        <v>647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583</v>
      </c>
    </row>
    <row r="6" spans="1:169" x14ac:dyDescent="0.2">
      <c r="B6" s="38" t="s">
        <v>571</v>
      </c>
      <c r="C6" s="38" t="s">
        <v>578</v>
      </c>
      <c r="D6" s="83">
        <v>40203</v>
      </c>
      <c r="E6" s="38" t="s">
        <v>585</v>
      </c>
    </row>
    <row r="7" spans="1:169" x14ac:dyDescent="0.2">
      <c r="B7" s="38" t="s">
        <v>575</v>
      </c>
      <c r="C7" s="38" t="s">
        <v>221</v>
      </c>
      <c r="D7" s="83">
        <v>40935</v>
      </c>
      <c r="E7" s="38" t="s">
        <v>583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584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572</v>
      </c>
      <c r="C9" s="38" t="s">
        <v>578</v>
      </c>
      <c r="D9" s="83">
        <v>41996</v>
      </c>
      <c r="E9" s="38" t="s">
        <v>585</v>
      </c>
    </row>
    <row r="10" spans="1:169" x14ac:dyDescent="0.2">
      <c r="B10" s="38" t="s">
        <v>574</v>
      </c>
      <c r="C10" s="38" t="s">
        <v>577</v>
      </c>
      <c r="D10" s="83">
        <v>43074</v>
      </c>
      <c r="E10" s="38" t="s">
        <v>585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573</v>
      </c>
      <c r="C11" s="38" t="s">
        <v>577</v>
      </c>
      <c r="D11" s="83">
        <v>43728</v>
      </c>
      <c r="E11" s="38" t="s">
        <v>585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576</v>
      </c>
      <c r="C12" s="38" t="s">
        <v>577</v>
      </c>
      <c r="D12" s="83">
        <v>44351</v>
      </c>
      <c r="E12" s="38" t="s">
        <v>585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507</v>
      </c>
      <c r="C13" s="38" t="s">
        <v>544</v>
      </c>
      <c r="D13" s="83">
        <v>44694</v>
      </c>
      <c r="E13" s="38" t="s">
        <v>584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527</v>
      </c>
      <c r="C14" s="38" t="s">
        <v>544</v>
      </c>
      <c r="D14" s="83">
        <v>45238</v>
      </c>
      <c r="E14" s="38" t="s">
        <v>584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581</v>
      </c>
      <c r="C16" s="38" t="s">
        <v>582</v>
      </c>
      <c r="E16" s="38" t="s">
        <v>583</v>
      </c>
    </row>
    <row r="17" spans="2:72" x14ac:dyDescent="0.2">
      <c r="B17" s="38" t="s">
        <v>586</v>
      </c>
      <c r="C17" s="38" t="s">
        <v>569</v>
      </c>
      <c r="E17" s="38" t="s">
        <v>584</v>
      </c>
    </row>
    <row r="18" spans="2:72" x14ac:dyDescent="0.2">
      <c r="C18" s="38" t="s">
        <v>587</v>
      </c>
    </row>
    <row r="19" spans="2:72" x14ac:dyDescent="0.2">
      <c r="B19" s="38" t="s">
        <v>588</v>
      </c>
      <c r="C19" s="38" t="s">
        <v>589</v>
      </c>
      <c r="E19" s="38" t="s">
        <v>584</v>
      </c>
      <c r="N19" t="s">
        <v>590</v>
      </c>
    </row>
    <row r="20" spans="2:72" x14ac:dyDescent="0.2">
      <c r="B20" s="38" t="s">
        <v>592</v>
      </c>
      <c r="C20" s="38" t="s">
        <v>591</v>
      </c>
      <c r="E20" s="38" t="s">
        <v>593</v>
      </c>
    </row>
    <row r="21" spans="2:72" x14ac:dyDescent="0.2">
      <c r="C21" s="38" t="s">
        <v>594</v>
      </c>
    </row>
    <row r="22" spans="2:72" x14ac:dyDescent="0.2">
      <c r="B22" s="38" t="s">
        <v>595</v>
      </c>
      <c r="E22" s="38" t="s">
        <v>709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596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598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597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599</v>
      </c>
    </row>
    <row r="27" spans="2:72" x14ac:dyDescent="0.2">
      <c r="B27" s="38" t="s">
        <v>600</v>
      </c>
    </row>
    <row r="28" spans="2:72" x14ac:dyDescent="0.2">
      <c r="E28" s="38" t="s">
        <v>601</v>
      </c>
    </row>
    <row r="29" spans="2:72" x14ac:dyDescent="0.2">
      <c r="E29" s="38" t="s">
        <v>602</v>
      </c>
    </row>
    <row r="30" spans="2:72" x14ac:dyDescent="0.2">
      <c r="E30" s="38" t="s">
        <v>603</v>
      </c>
    </row>
    <row r="31" spans="2:72" x14ac:dyDescent="0.2">
      <c r="B31" s="38" t="s">
        <v>604</v>
      </c>
      <c r="C31" s="38" t="s">
        <v>605</v>
      </c>
    </row>
    <row r="32" spans="2:72" x14ac:dyDescent="0.2">
      <c r="C32" s="38" t="s">
        <v>710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>
      <selection activeCell="G3" sqref="G3:J20"/>
    </sheetView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285156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677</v>
      </c>
      <c r="G2" s="87" t="s">
        <v>688</v>
      </c>
      <c r="H2" s="87" t="s">
        <v>687</v>
      </c>
      <c r="I2" s="87" t="s">
        <v>686</v>
      </c>
      <c r="J2" s="87" t="s">
        <v>685</v>
      </c>
    </row>
    <row r="3" spans="1:12" x14ac:dyDescent="0.2">
      <c r="B3" s="38" t="s">
        <v>664</v>
      </c>
      <c r="C3" s="71" t="s">
        <v>681</v>
      </c>
      <c r="D3" s="71" t="s">
        <v>672</v>
      </c>
      <c r="E3" s="86" t="s">
        <v>673</v>
      </c>
      <c r="F3" s="86" t="s">
        <v>678</v>
      </c>
      <c r="G3" s="91" t="s">
        <v>679</v>
      </c>
      <c r="H3" s="91" t="s">
        <v>676</v>
      </c>
      <c r="I3" s="87" t="s">
        <v>674</v>
      </c>
      <c r="J3" s="87" t="s">
        <v>675</v>
      </c>
    </row>
    <row r="4" spans="1:12" x14ac:dyDescent="0.2">
      <c r="B4" s="38" t="s">
        <v>665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666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667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668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669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670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671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680</v>
      </c>
      <c r="G12" s="71"/>
      <c r="H12" s="71"/>
      <c r="I12" s="71"/>
      <c r="J12" s="71"/>
    </row>
    <row r="13" spans="1:12" x14ac:dyDescent="0.2">
      <c r="B13" s="38" t="s">
        <v>664</v>
      </c>
      <c r="C13" s="71" t="s">
        <v>681</v>
      </c>
      <c r="D13" s="71" t="s">
        <v>672</v>
      </c>
      <c r="E13" s="86" t="s">
        <v>673</v>
      </c>
      <c r="F13" s="86" t="s">
        <v>678</v>
      </c>
      <c r="G13" s="86" t="s">
        <v>679</v>
      </c>
      <c r="H13" s="86" t="s">
        <v>676</v>
      </c>
      <c r="I13" s="71" t="s">
        <v>674</v>
      </c>
      <c r="J13" s="87" t="s">
        <v>675</v>
      </c>
    </row>
    <row r="14" spans="1:12" x14ac:dyDescent="0.2">
      <c r="B14" s="38" t="s">
        <v>665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666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667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668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669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670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671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682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683</v>
      </c>
      <c r="C25" s="54">
        <v>331000</v>
      </c>
      <c r="G25" s="71">
        <f>12.3+16.4+9.2+11.9</f>
        <v>49.8</v>
      </c>
      <c r="I25" s="71" t="s">
        <v>689</v>
      </c>
      <c r="J25" s="71"/>
    </row>
    <row r="26" spans="2:10" x14ac:dyDescent="0.2">
      <c r="B26" s="38" t="s">
        <v>684</v>
      </c>
      <c r="C26" s="54">
        <f>C25*0.75</f>
        <v>248250</v>
      </c>
      <c r="G26" s="71">
        <f>16.4+9.2+11.9</f>
        <v>37.5</v>
      </c>
      <c r="I26" s="71" t="s">
        <v>690</v>
      </c>
    </row>
    <row r="27" spans="2:10" x14ac:dyDescent="0.2">
      <c r="C27" s="54"/>
      <c r="G27" s="71">
        <f>9.2+11.9</f>
        <v>21.1</v>
      </c>
      <c r="I27" s="71" t="s">
        <v>691</v>
      </c>
    </row>
    <row r="28" spans="2:10" x14ac:dyDescent="0.2">
      <c r="G28" s="53">
        <v>11.9</v>
      </c>
      <c r="I28" s="71" t="s">
        <v>692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3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9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547</v>
      </c>
    </row>
    <row r="3" spans="1:3" x14ac:dyDescent="0.2">
      <c r="B3" s="38" t="s">
        <v>403</v>
      </c>
      <c r="C3" s="38" t="s">
        <v>544</v>
      </c>
    </row>
    <row r="4" spans="1:3" x14ac:dyDescent="0.2">
      <c r="B4" s="38" t="s">
        <v>1</v>
      </c>
      <c r="C4" s="38" t="s">
        <v>548</v>
      </c>
    </row>
    <row r="5" spans="1:3" x14ac:dyDescent="0.2">
      <c r="B5" s="38" t="s">
        <v>92</v>
      </c>
    </row>
    <row r="6" spans="1:3" x14ac:dyDescent="0.2">
      <c r="C6" s="20" t="s">
        <v>556</v>
      </c>
    </row>
    <row r="7" spans="1:3" x14ac:dyDescent="0.2">
      <c r="C7" s="38" t="s">
        <v>557</v>
      </c>
    </row>
    <row r="9" spans="1:3" x14ac:dyDescent="0.2">
      <c r="C9" s="20" t="s">
        <v>746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5"/>
  <sheetViews>
    <sheetView zoomScale="287" zoomScaleNormal="287" workbookViewId="0">
      <selection activeCell="B6" sqref="B6"/>
    </sheetView>
  </sheetViews>
  <sheetFormatPr defaultColWidth="11.42578125" defaultRowHeight="12.75" x14ac:dyDescent="0.2"/>
  <cols>
    <col min="1" max="1" width="4.8554687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92</v>
      </c>
    </row>
    <row r="5" spans="1:3" x14ac:dyDescent="0.2">
      <c r="C5" s="20" t="s">
        <v>747</v>
      </c>
    </row>
  </sheetData>
  <hyperlinks>
    <hyperlink ref="A1" location="Main!A1" display="Main" xr:uid="{87D2214E-6297-804B-97B9-9124280D58A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285156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532</v>
      </c>
    </row>
    <row r="3" spans="1:3" x14ac:dyDescent="0.2">
      <c r="B3" s="38" t="s">
        <v>403</v>
      </c>
      <c r="C3" t="s">
        <v>534</v>
      </c>
    </row>
    <row r="4" spans="1:3" x14ac:dyDescent="0.2">
      <c r="B4" s="38" t="s">
        <v>1</v>
      </c>
      <c r="C4" s="38" t="s">
        <v>555</v>
      </c>
    </row>
    <row r="5" spans="1:3" x14ac:dyDescent="0.2">
      <c r="B5" s="38" t="s">
        <v>405</v>
      </c>
      <c r="C5" s="38" t="s">
        <v>536</v>
      </c>
    </row>
    <row r="6" spans="1:3" x14ac:dyDescent="0.2">
      <c r="B6" s="38" t="s">
        <v>541</v>
      </c>
      <c r="C6" s="38" t="s">
        <v>542</v>
      </c>
    </row>
    <row r="7" spans="1:3" x14ac:dyDescent="0.2">
      <c r="B7" s="38" t="s">
        <v>92</v>
      </c>
    </row>
    <row r="8" spans="1:3" x14ac:dyDescent="0.2">
      <c r="B8" s="38"/>
      <c r="C8" s="20" t="s">
        <v>543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537</v>
      </c>
    </row>
    <row r="13" spans="1:3" x14ac:dyDescent="0.2">
      <c r="C13" s="38" t="s">
        <v>538</v>
      </c>
    </row>
    <row r="14" spans="1:3" x14ac:dyDescent="0.2">
      <c r="C14" s="38" t="s">
        <v>539</v>
      </c>
    </row>
    <row r="15" spans="1:3" x14ac:dyDescent="0.2">
      <c r="C15" s="38" t="s">
        <v>540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Master</vt:lpstr>
      <vt:lpstr>Main</vt:lpstr>
      <vt:lpstr>Model</vt:lpstr>
      <vt:lpstr>GLP-1s</vt:lpstr>
      <vt:lpstr>Obesity</vt:lpstr>
      <vt:lpstr>Trulicity</vt:lpstr>
      <vt:lpstr>Mounjaro-Zepbound</vt:lpstr>
      <vt:lpstr>donanemab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2024-10-08T19:23:09Z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