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318978F-A7D0-4F44-A6AB-3246B1B0759E}" xr6:coauthVersionLast="47" xr6:coauthVersionMax="47" xr10:uidLastSave="{00000000-0000-0000-0000-000000000000}"/>
  <bookViews>
    <workbookView xWindow="-21480" yWindow="825" windowWidth="20190" windowHeight="19950" activeTab="1" xr2:uid="{6D0C9AA7-E60A-45CC-9230-29CA233AF48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" i="2" l="1"/>
  <c r="W53" i="2"/>
  <c r="W48" i="2"/>
  <c r="W38" i="2"/>
  <c r="W35" i="2"/>
  <c r="X43" i="2"/>
  <c r="V43" i="2"/>
  <c r="U43" i="2"/>
  <c r="T43" i="2"/>
  <c r="S43" i="2"/>
  <c r="W41" i="2"/>
  <c r="X59" i="2"/>
  <c r="X61" i="2" s="1"/>
  <c r="L5" i="1"/>
  <c r="V23" i="2"/>
  <c r="V30" i="2"/>
  <c r="V20" i="2"/>
  <c r="V15" i="2"/>
  <c r="V16" i="2" s="1"/>
  <c r="S23" i="2"/>
  <c r="S30" i="2"/>
  <c r="S20" i="2"/>
  <c r="S15" i="2"/>
  <c r="S16" i="2" s="1"/>
  <c r="W23" i="2"/>
  <c r="W30" i="2"/>
  <c r="W20" i="2"/>
  <c r="W15" i="2"/>
  <c r="W16" i="2" s="1"/>
  <c r="X30" i="2"/>
  <c r="X23" i="2"/>
  <c r="X20" i="2"/>
  <c r="X15" i="2"/>
  <c r="X16" i="2" s="1"/>
  <c r="P20" i="2"/>
  <c r="T20" i="2"/>
  <c r="T15" i="2"/>
  <c r="T16" i="2" s="1"/>
  <c r="P15" i="2"/>
  <c r="P16" i="2" s="1"/>
  <c r="K63" i="2"/>
  <c r="K65" i="2" s="1"/>
  <c r="R48" i="2"/>
  <c r="R53" i="2" s="1"/>
  <c r="R41" i="2"/>
  <c r="R38" i="2"/>
  <c r="R34" i="2"/>
  <c r="Q31" i="2"/>
  <c r="Q30" i="2"/>
  <c r="M20" i="2"/>
  <c r="M15" i="2"/>
  <c r="M16" i="2" s="1"/>
  <c r="Q20" i="2"/>
  <c r="Q15" i="2"/>
  <c r="Q16" i="2" s="1"/>
  <c r="Q21" i="2" s="1"/>
  <c r="R31" i="2"/>
  <c r="R30" i="2"/>
  <c r="N20" i="2"/>
  <c r="N15" i="2"/>
  <c r="N16" i="2" s="1"/>
  <c r="R25" i="2"/>
  <c r="R20" i="2"/>
  <c r="R15" i="2"/>
  <c r="R16" i="2" s="1"/>
  <c r="AJ3" i="2"/>
  <c r="AK3" i="2"/>
  <c r="AL3" i="2"/>
  <c r="AL34" i="2"/>
  <c r="AL48" i="2"/>
  <c r="AL53" i="2" s="1"/>
  <c r="AL38" i="2"/>
  <c r="AL41" i="2"/>
  <c r="AK30" i="2"/>
  <c r="AL30" i="2"/>
  <c r="AK23" i="2"/>
  <c r="AL25" i="2"/>
  <c r="AL23" i="2"/>
  <c r="AL20" i="2"/>
  <c r="AK20" i="2"/>
  <c r="AK15" i="2"/>
  <c r="AK16" i="2" s="1"/>
  <c r="AL15" i="2"/>
  <c r="AL16" i="2" s="1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32" i="2"/>
  <c r="P32" i="2"/>
  <c r="O32" i="2"/>
  <c r="N32" i="2"/>
  <c r="M32" i="2"/>
  <c r="L32" i="2"/>
  <c r="K32" i="2"/>
  <c r="J32" i="2"/>
  <c r="I32" i="2"/>
  <c r="H32" i="2"/>
  <c r="G32" i="2"/>
  <c r="R32" i="2"/>
  <c r="L4" i="1"/>
  <c r="L3" i="1"/>
  <c r="W43" i="2" l="1"/>
  <c r="R43" i="2"/>
  <c r="R21" i="2"/>
  <c r="R24" i="2" s="1"/>
  <c r="X21" i="2"/>
  <c r="X24" i="2" s="1"/>
  <c r="X26" i="2" s="1"/>
  <c r="X27" i="2" s="1"/>
  <c r="P21" i="2"/>
  <c r="L7" i="1"/>
  <c r="V21" i="2"/>
  <c r="V24" i="2" s="1"/>
  <c r="V26" i="2" s="1"/>
  <c r="V27" i="2" s="1"/>
  <c r="S21" i="2"/>
  <c r="S24" i="2" s="1"/>
  <c r="S26" i="2" s="1"/>
  <c r="S27" i="2" s="1"/>
  <c r="W21" i="2"/>
  <c r="W24" i="2" s="1"/>
  <c r="W26" i="2" s="1"/>
  <c r="W27" i="2" s="1"/>
  <c r="T21" i="2"/>
  <c r="AL32" i="2"/>
  <c r="M21" i="2"/>
  <c r="M24" i="2" s="1"/>
  <c r="M26" i="2" s="1"/>
  <c r="M27" i="2" s="1"/>
  <c r="R26" i="2"/>
  <c r="R27" i="2" s="1"/>
  <c r="N21" i="2"/>
  <c r="N24" i="2" s="1"/>
  <c r="N26" i="2" s="1"/>
  <c r="N27" i="2" s="1"/>
  <c r="AL43" i="2"/>
  <c r="AK32" i="2"/>
  <c r="AK21" i="2"/>
  <c r="AK24" i="2" s="1"/>
  <c r="AK26" i="2" s="1"/>
  <c r="AK27" i="2" s="1"/>
  <c r="AL21" i="2"/>
  <c r="AL24" i="2" s="1"/>
  <c r="AL26" i="2" s="1"/>
  <c r="AL27" i="2" s="1"/>
</calcChain>
</file>

<file path=xl/sharedStrings.xml><?xml version="1.0" encoding="utf-8"?>
<sst xmlns="http://schemas.openxmlformats.org/spreadsheetml/2006/main" count="89" uniqueCount="80">
  <si>
    <t>Price</t>
  </si>
  <si>
    <t>Shares</t>
  </si>
  <si>
    <t>MC</t>
  </si>
  <si>
    <t>Cash</t>
  </si>
  <si>
    <t>Debt</t>
  </si>
  <si>
    <t>EV</t>
  </si>
  <si>
    <t>2128 employees</t>
  </si>
  <si>
    <t>2004 founded</t>
  </si>
  <si>
    <t>Main</t>
  </si>
  <si>
    <t>DAUs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</si>
  <si>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</si>
  <si>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</si>
  <si>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</si>
  <si>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</si>
  <si>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</si>
  <si>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</si>
  <si>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</si>
  <si>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</si>
  <si>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</si>
  <si>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</si>
  <si>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</si>
  <si>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</si>
  <si>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</si>
  <si>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</si>
  <si>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</si>
  <si>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</si>
  <si>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DAUs y/y</t>
  </si>
  <si>
    <t>Hours</t>
  </si>
  <si>
    <t>Hours/DAU</t>
  </si>
  <si>
    <t>ABpDAU</t>
  </si>
  <si>
    <t>Bookings</t>
  </si>
  <si>
    <t>Revenue</t>
  </si>
  <si>
    <t>AdjEBITDA</t>
  </si>
  <si>
    <t>Gross Profit</t>
  </si>
  <si>
    <t>COGS</t>
  </si>
  <si>
    <t>COR</t>
  </si>
  <si>
    <t>DevExch</t>
  </si>
  <si>
    <t>Infra/Trust</t>
  </si>
  <si>
    <t>R&amp;D</t>
  </si>
  <si>
    <t>G&amp;A</t>
  </si>
  <si>
    <t>S&amp;M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</si>
  <si>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</si>
  <si>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</si>
  <si>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</si>
  <si>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</si>
  <si>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</si>
  <si>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</si>
  <si>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</si>
  <si>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Revenue y/y</t>
  </si>
  <si>
    <t>DUPU</t>
  </si>
  <si>
    <t>Assets</t>
  </si>
  <si>
    <t>A/R</t>
  </si>
  <si>
    <t>Prepaids</t>
  </si>
  <si>
    <t>DCOR</t>
  </si>
  <si>
    <t>PP&amp;E</t>
  </si>
  <si>
    <t>Goodwill</t>
  </si>
  <si>
    <t>Lease</t>
  </si>
  <si>
    <t>OA</t>
  </si>
  <si>
    <t>AP</t>
  </si>
  <si>
    <t>AE</t>
  </si>
  <si>
    <t>DR</t>
  </si>
  <si>
    <t>Leases</t>
  </si>
  <si>
    <t>OLTL</t>
  </si>
  <si>
    <t>S/E</t>
  </si>
  <si>
    <t>L+S/E</t>
  </si>
  <si>
    <t>Net Cash</t>
  </si>
  <si>
    <t>CFFO</t>
  </si>
  <si>
    <t>Q123</t>
  </si>
  <si>
    <t>Q223</t>
  </si>
  <si>
    <t>Q323</t>
  </si>
  <si>
    <t>Q423</t>
  </si>
  <si>
    <t>Bookings y/y</t>
  </si>
  <si>
    <t>S/O</t>
  </si>
  <si>
    <t>Q124</t>
  </si>
  <si>
    <t>Q224</t>
  </si>
  <si>
    <t>Q324</t>
  </si>
  <si>
    <t>Q424</t>
  </si>
  <si>
    <t>Reported NI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</si>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</sst>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5C0FE8F-65FC-468A-84F7-7C5C29E98C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23812</xdr:colOff>
      <xdr:row>0</xdr:row>
      <xdr:rowOff>23812</xdr:rowOff>
    </xdr:from>
    <xdr:to>
      <xdr:col>38</xdr:col>
      <xdr:colOff>23812</xdr:colOff>
      <xdr:row>61</xdr:row>
      <xdr:rowOff>41671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4E1AE-E4E0-0B87-9679-574C5EDDD140}"/>
            </a:ext>
          </a:extLst>
        </xdr:cNvPr>
        <xdr:cNvCxnSpPr/>
      </xdr:nvCxnSpPr>
      <xdr:spPr>
        <a:xfrm>
          <a:off x="18252281" y="23812"/>
          <a:ext cx="0" cy="8858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</xdr:colOff>
      <xdr:row>0</xdr:row>
      <xdr:rowOff>0</xdr:rowOff>
    </xdr:from>
    <xdr:to>
      <xdr:col>24</xdr:col>
      <xdr:colOff>47625</xdr:colOff>
      <xdr:row>39</xdr:row>
      <xdr:rowOff>136922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4861381-191D-7495-87EE-64F11A78D1A2}"/>
            </a:ext>
          </a:extLst>
        </xdr:cNvPr>
        <xdr:cNvCxnSpPr/>
      </xdr:nvCxnSpPr>
      <xdr:spPr>
        <a:xfrm>
          <a:off x="14579203" y="0"/>
          <a:ext cx="0" cy="64055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8E6B-4B4B-464E-A208-C37C1AB38F9F}">
  <dimension ref="K2:M12"/>
  <sheetViews>
    <sheetView zoomScale="190" zoomScaleNormal="190" workbookViewId="0"/>
  </sheetViews>
  <sheetFormatPr defaultColWidth="8.85546875" defaultRowHeight="12.75" x14ac:dyDescent="0.2"/>
  <cols>
    <col min="11" max="11" width="15.42578125" customWidth="1"/>
    <col min="12" max="12" width="10.42578125" bestFit="1" customWidth="1"/>
  </cols>
  <sheetData>
    <row r="2" spans="11:13" x14ac:dyDescent="0.2">
      <c r="K2" t="s">
        <v>0</v>
      </c>
      <c r="L2" s="1">
        <v>32</v>
      </c>
    </row>
    <row r="3" spans="11:13" x14ac:dyDescent="0.2">
      <c r="K3" t="s">
        <v>1</v>
      </c>
      <c r="L3" s="2">
        <f>553.798118+51.337302</f>
        <v>605.13542000000007</v>
      </c>
      <c r="M3" s="4" t="s">
        <v>74</v>
      </c>
    </row>
    <row r="4" spans="11:13" x14ac:dyDescent="0.2">
      <c r="K4" t="s">
        <v>2</v>
      </c>
      <c r="L4" s="2">
        <f>+L2*L3</f>
        <v>19364.333440000002</v>
      </c>
      <c r="M4" s="4"/>
    </row>
    <row r="5" spans="11:13" x14ac:dyDescent="0.2">
      <c r="K5" t="s">
        <v>3</v>
      </c>
      <c r="L5" s="2">
        <f>966.406+1445.689+1189.135</f>
        <v>3601.2300000000005</v>
      </c>
      <c r="M5" s="4" t="s">
        <v>74</v>
      </c>
    </row>
    <row r="6" spans="11:13" x14ac:dyDescent="0.2">
      <c r="K6" t="s">
        <v>4</v>
      </c>
      <c r="L6" s="2">
        <v>1005.679</v>
      </c>
      <c r="M6" s="4" t="s">
        <v>74</v>
      </c>
    </row>
    <row r="7" spans="11:13" x14ac:dyDescent="0.2">
      <c r="K7" t="s">
        <v>5</v>
      </c>
      <c r="L7" s="2">
        <f>L4-L5+L6</f>
        <v>16768.782440000003</v>
      </c>
    </row>
    <row r="11" spans="11:13" x14ac:dyDescent="0.2">
      <c r="K11" t="s">
        <v>6</v>
      </c>
      <c r="L11" s="3">
        <v>44926</v>
      </c>
    </row>
    <row r="12" spans="11:13" x14ac:dyDescent="0.2">
      <c r="K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717-BF13-4B06-BD00-B0629B64921F}">
  <dimension ref="A1:AQ65"/>
  <sheetViews>
    <sheetView tabSelected="1" zoomScale="160" zoomScaleNormal="160" workbookViewId="0">
      <pane xSplit="2" ySplit="2" topLeftCell="P30" activePane="bottomRight" state="frozen"/>
      <selection pane="topRight" activeCell="C1" sqref="C1"/>
      <selection pane="bottomLeft" activeCell="A3" sqref="A3"/>
      <selection pane="bottomRight" activeCell="B60" sqref="B60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21" width="9.140625" style="4"/>
  </cols>
  <sheetData>
    <row r="1" spans="1:43" x14ac:dyDescent="0.2">
      <c r="A1" s="6" t="s">
        <v>8</v>
      </c>
    </row>
    <row r="2" spans="1:43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73</v>
      </c>
      <c r="X2" s="4" t="s">
        <v>74</v>
      </c>
      <c r="Y2" s="4" t="s">
        <v>75</v>
      </c>
      <c r="Z2" s="4" t="s">
        <v>76</v>
      </c>
      <c r="AA2" s="4"/>
      <c r="AE2">
        <v>2015</v>
      </c>
      <c r="AF2">
        <f>+AE2+1</f>
        <v>2016</v>
      </c>
      <c r="AG2">
        <f t="shared" ref="AG2:AQ2" si="0">+AF2+1</f>
        <v>2017</v>
      </c>
      <c r="AH2">
        <f t="shared" si="0"/>
        <v>2018</v>
      </c>
      <c r="AI2">
        <f t="shared" si="0"/>
        <v>2019</v>
      </c>
      <c r="AJ2">
        <f t="shared" si="0"/>
        <v>2020</v>
      </c>
      <c r="AK2">
        <f t="shared" si="0"/>
        <v>2021</v>
      </c>
      <c r="AL2">
        <f t="shared" si="0"/>
        <v>2022</v>
      </c>
      <c r="AM2">
        <f t="shared" si="0"/>
        <v>2023</v>
      </c>
      <c r="AN2">
        <f t="shared" si="0"/>
        <v>2024</v>
      </c>
      <c r="AO2">
        <f t="shared" si="0"/>
        <v>2025</v>
      </c>
      <c r="AP2">
        <f t="shared" si="0"/>
        <v>2026</v>
      </c>
      <c r="AQ2">
        <f t="shared" si="0"/>
        <v>2027</v>
      </c>
    </row>
    <row r="3" spans="1:43" x14ac:dyDescent="0.2">
      <c r="B3" t="s">
        <v>9</v>
      </c>
      <c r="C3" s="4">
        <v>15.8</v>
      </c>
      <c r="D3" s="4">
        <v>17.100000000000001</v>
      </c>
      <c r="E3" s="4">
        <v>18.399999999999999</v>
      </c>
      <c r="F3" s="4">
        <v>19.100000000000001</v>
      </c>
      <c r="G3" s="4">
        <v>23.6</v>
      </c>
      <c r="H3" s="4">
        <v>33.4</v>
      </c>
      <c r="I3" s="4">
        <v>36.200000000000003</v>
      </c>
      <c r="J3" s="4">
        <v>37.1</v>
      </c>
      <c r="K3" s="4">
        <v>42.1</v>
      </c>
      <c r="L3" s="4">
        <v>43.2</v>
      </c>
      <c r="M3" s="4">
        <v>47.3</v>
      </c>
      <c r="N3" s="4">
        <v>49.5</v>
      </c>
      <c r="O3" s="4">
        <v>54.1</v>
      </c>
      <c r="P3" s="4">
        <v>52.2</v>
      </c>
      <c r="Q3" s="4">
        <v>58.8</v>
      </c>
      <c r="R3" s="4">
        <v>58.8</v>
      </c>
      <c r="T3" s="4">
        <v>65.5</v>
      </c>
      <c r="AJ3">
        <f>J3</f>
        <v>37.1</v>
      </c>
      <c r="AK3">
        <f>N3</f>
        <v>49.5</v>
      </c>
      <c r="AL3">
        <f>R3</f>
        <v>58.8</v>
      </c>
    </row>
    <row r="4" spans="1:43" x14ac:dyDescent="0.2">
      <c r="B4" t="s">
        <v>27</v>
      </c>
      <c r="C4" s="7">
        <v>2974</v>
      </c>
      <c r="D4" s="7">
        <v>3248</v>
      </c>
      <c r="E4" s="7">
        <v>3730</v>
      </c>
      <c r="F4" s="7">
        <v>3701</v>
      </c>
      <c r="G4" s="7">
        <v>4875</v>
      </c>
      <c r="H4" s="7">
        <v>8586</v>
      </c>
      <c r="I4" s="7">
        <v>8711</v>
      </c>
      <c r="J4" s="7">
        <v>8430</v>
      </c>
      <c r="K4" s="7">
        <v>9674</v>
      </c>
      <c r="L4" s="7">
        <v>9738</v>
      </c>
      <c r="M4" s="7">
        <v>11184</v>
      </c>
      <c r="N4" s="7">
        <v>10818</v>
      </c>
      <c r="O4" s="7">
        <v>11822</v>
      </c>
      <c r="P4" s="7">
        <v>11294</v>
      </c>
      <c r="Q4" s="7">
        <v>13399</v>
      </c>
      <c r="R4" s="7">
        <v>12807</v>
      </c>
      <c r="S4" s="7"/>
      <c r="T4" s="7">
        <v>14000</v>
      </c>
      <c r="U4" s="7"/>
    </row>
    <row r="5" spans="1:43" x14ac:dyDescent="0.2">
      <c r="B5" t="s">
        <v>28</v>
      </c>
      <c r="C5" s="7">
        <f>+C4/C3</f>
        <v>188.22784810126581</v>
      </c>
      <c r="D5" s="7">
        <f t="shared" ref="D5:R5" si="1">+D4/D3</f>
        <v>189.94152046783626</v>
      </c>
      <c r="E5" s="7">
        <f t="shared" si="1"/>
        <v>202.71739130434784</v>
      </c>
      <c r="F5" s="7">
        <f t="shared" si="1"/>
        <v>193.7696335078534</v>
      </c>
      <c r="G5" s="7">
        <f t="shared" si="1"/>
        <v>206.56779661016947</v>
      </c>
      <c r="H5" s="7">
        <f t="shared" si="1"/>
        <v>257.06586826347308</v>
      </c>
      <c r="I5" s="7">
        <f t="shared" si="1"/>
        <v>240.63535911602207</v>
      </c>
      <c r="J5" s="7">
        <f t="shared" si="1"/>
        <v>227.22371967654985</v>
      </c>
      <c r="K5" s="7">
        <f t="shared" si="1"/>
        <v>229.78622327790973</v>
      </c>
      <c r="L5" s="7">
        <f t="shared" si="1"/>
        <v>225.41666666666666</v>
      </c>
      <c r="M5" s="7">
        <f t="shared" si="1"/>
        <v>236.44820295983089</v>
      </c>
      <c r="N5" s="7">
        <f t="shared" si="1"/>
        <v>218.54545454545453</v>
      </c>
      <c r="O5" s="7">
        <f t="shared" si="1"/>
        <v>218.52125693160812</v>
      </c>
      <c r="P5" s="7">
        <f t="shared" si="1"/>
        <v>216.36015325670496</v>
      </c>
      <c r="Q5" s="7">
        <f t="shared" si="1"/>
        <v>227.87414965986395</v>
      </c>
      <c r="R5" s="7">
        <f t="shared" si="1"/>
        <v>217.80612244897961</v>
      </c>
      <c r="S5" s="7"/>
      <c r="T5" s="7"/>
      <c r="U5" s="7"/>
      <c r="V5" s="7"/>
      <c r="W5" s="7"/>
      <c r="X5" s="7"/>
      <c r="Y5" s="7"/>
      <c r="Z5" s="7"/>
      <c r="AA5" s="7"/>
    </row>
    <row r="6" spans="1:43" x14ac:dyDescent="0.2">
      <c r="B6" t="s">
        <v>29</v>
      </c>
      <c r="C6" s="8">
        <v>8.98</v>
      </c>
      <c r="D6" s="8">
        <v>8.7799999999999994</v>
      </c>
      <c r="E6" s="8">
        <v>9</v>
      </c>
      <c r="F6" s="8">
        <v>12.37</v>
      </c>
      <c r="G6" s="8">
        <v>10.58</v>
      </c>
      <c r="H6" s="8">
        <v>14.81</v>
      </c>
      <c r="I6" s="8">
        <v>13.73</v>
      </c>
      <c r="J6" s="8">
        <v>17.3</v>
      </c>
      <c r="K6" s="8">
        <v>15.48</v>
      </c>
      <c r="L6" s="8">
        <v>15.41</v>
      </c>
      <c r="M6" s="8">
        <v>13.49</v>
      </c>
      <c r="N6" s="8">
        <v>15.57</v>
      </c>
      <c r="O6" s="8">
        <v>11.67</v>
      </c>
      <c r="P6" s="8">
        <v>12.25</v>
      </c>
      <c r="Q6" s="8">
        <v>11.94</v>
      </c>
      <c r="R6" s="8">
        <v>15.29</v>
      </c>
      <c r="S6" s="8"/>
      <c r="T6" s="8"/>
      <c r="U6" s="8"/>
    </row>
    <row r="7" spans="1:43" s="2" customFormat="1" x14ac:dyDescent="0.2">
      <c r="B7" s="2" t="s">
        <v>30</v>
      </c>
      <c r="C7" s="7"/>
      <c r="D7" s="7"/>
      <c r="E7" s="7"/>
      <c r="F7" s="7"/>
      <c r="G7" s="7"/>
      <c r="H7" s="7"/>
      <c r="I7" s="7"/>
      <c r="J7" s="7"/>
      <c r="K7" s="7"/>
      <c r="L7" s="7"/>
      <c r="M7" s="7">
        <v>637.83299999999997</v>
      </c>
      <c r="N7" s="7">
        <v>770.11599999999999</v>
      </c>
      <c r="O7" s="7"/>
      <c r="P7" s="7"/>
      <c r="Q7" s="7">
        <v>701.71600000000001</v>
      </c>
      <c r="R7" s="7">
        <v>899.4</v>
      </c>
      <c r="S7" s="7"/>
      <c r="T7" s="7">
        <v>780.7</v>
      </c>
      <c r="U7" s="7"/>
      <c r="AJ7" s="2">
        <v>1882.5429999999999</v>
      </c>
      <c r="AK7" s="2">
        <v>2725.7060000000001</v>
      </c>
      <c r="AL7" s="2">
        <v>2872.2579999999998</v>
      </c>
    </row>
    <row r="8" spans="1:43" x14ac:dyDescent="0.2">
      <c r="B8" t="s">
        <v>49</v>
      </c>
      <c r="AJ8" s="2"/>
      <c r="AK8" s="2">
        <v>678</v>
      </c>
      <c r="AL8" s="2">
        <v>725</v>
      </c>
    </row>
    <row r="9" spans="1:43" x14ac:dyDescent="0.2">
      <c r="AJ9" s="2"/>
      <c r="AK9" s="2"/>
      <c r="AL9" s="10"/>
    </row>
    <row r="11" spans="1:43" s="9" customFormat="1" x14ac:dyDescent="0.2">
      <c r="B11" s="9" t="s">
        <v>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>
        <v>509.33600000000001</v>
      </c>
      <c r="N11" s="11">
        <v>568.76900000000001</v>
      </c>
      <c r="O11" s="11"/>
      <c r="P11" s="11">
        <v>591.20699999999999</v>
      </c>
      <c r="Q11" s="11">
        <v>517.70699999999999</v>
      </c>
      <c r="R11" s="11">
        <v>579</v>
      </c>
      <c r="S11" s="9">
        <v>655.34400000000005</v>
      </c>
      <c r="T11" s="11">
        <v>680.8</v>
      </c>
      <c r="U11" s="11"/>
      <c r="V11" s="9">
        <v>749.93899999999996</v>
      </c>
      <c r="W11" s="9">
        <v>801.3</v>
      </c>
      <c r="X11" s="9">
        <v>893.54300000000001</v>
      </c>
      <c r="AJ11" s="9">
        <v>923.88499999999999</v>
      </c>
      <c r="AK11" s="9">
        <v>1919.181</v>
      </c>
      <c r="AL11" s="9">
        <v>2225.0520000000001</v>
      </c>
    </row>
    <row r="12" spans="1:43" x14ac:dyDescent="0.2">
      <c r="B12" t="s">
        <v>35</v>
      </c>
      <c r="M12" s="7">
        <v>130.01499999999999</v>
      </c>
      <c r="N12" s="7">
        <v>151.988</v>
      </c>
      <c r="P12" s="7">
        <v>143.15700000000001</v>
      </c>
      <c r="Q12" s="7">
        <v>126.437</v>
      </c>
      <c r="R12" s="7">
        <v>142.43199999999999</v>
      </c>
      <c r="S12" s="2">
        <v>151.84100000000001</v>
      </c>
      <c r="T12" s="7">
        <v>162.029</v>
      </c>
      <c r="V12" s="2">
        <v>171.66399999999999</v>
      </c>
      <c r="W12" s="2">
        <v>178.86600000000001</v>
      </c>
      <c r="X12" s="2">
        <v>198.55699999999999</v>
      </c>
      <c r="AJ12" s="2"/>
      <c r="AK12" s="2">
        <v>496.87</v>
      </c>
      <c r="AL12" s="2">
        <v>547.65800000000002</v>
      </c>
    </row>
    <row r="13" spans="1:43" x14ac:dyDescent="0.2">
      <c r="B13" t="s">
        <v>36</v>
      </c>
      <c r="M13" s="7">
        <v>129.952</v>
      </c>
      <c r="N13" s="7">
        <v>159.71700000000001</v>
      </c>
      <c r="P13" s="7">
        <v>143.148</v>
      </c>
      <c r="Q13" s="7">
        <v>151.47</v>
      </c>
      <c r="R13" s="7">
        <v>182.11500000000001</v>
      </c>
      <c r="S13" s="2">
        <v>182.44</v>
      </c>
      <c r="T13" s="7">
        <v>165.84299999999999</v>
      </c>
      <c r="V13" s="2">
        <v>221.75</v>
      </c>
      <c r="W13" s="2">
        <v>202.405</v>
      </c>
      <c r="X13" s="2">
        <v>208.27</v>
      </c>
      <c r="AJ13" s="2"/>
      <c r="AK13" s="2">
        <v>538.32100000000003</v>
      </c>
      <c r="AL13" s="2">
        <v>623.85500000000002</v>
      </c>
    </row>
    <row r="14" spans="1:43" x14ac:dyDescent="0.2">
      <c r="B14" t="s">
        <v>37</v>
      </c>
      <c r="M14" s="7">
        <v>117.387</v>
      </c>
      <c r="N14" s="7">
        <v>135.989</v>
      </c>
      <c r="P14" s="7">
        <v>158.23500000000001</v>
      </c>
      <c r="Q14" s="7">
        <v>190.98599999999999</v>
      </c>
      <c r="R14" s="7">
        <v>198.505</v>
      </c>
      <c r="S14" s="2">
        <v>211.04400000000001</v>
      </c>
      <c r="T14" s="7">
        <v>225.03899999999999</v>
      </c>
      <c r="V14" s="2">
        <v>223.31</v>
      </c>
      <c r="W14" s="2">
        <v>226.934</v>
      </c>
      <c r="X14" s="2">
        <v>221.06399999999999</v>
      </c>
      <c r="AJ14" s="2"/>
      <c r="AK14" s="2">
        <v>533.20699999999999</v>
      </c>
      <c r="AL14" s="2">
        <v>689.08100000000002</v>
      </c>
    </row>
    <row r="15" spans="1:43" x14ac:dyDescent="0.2">
      <c r="B15" t="s">
        <v>34</v>
      </c>
      <c r="M15" s="7">
        <f>M14+M13+M12</f>
        <v>377.35399999999998</v>
      </c>
      <c r="N15" s="7">
        <f>N14+N13+N12</f>
        <v>447.69400000000002</v>
      </c>
      <c r="P15" s="7">
        <f t="shared" ref="P15" si="2">P14+P13+P12</f>
        <v>444.54000000000008</v>
      </c>
      <c r="Q15" s="7">
        <f>Q14+Q13+Q12</f>
        <v>468.89300000000003</v>
      </c>
      <c r="R15" s="7">
        <f>R14+R13+R12</f>
        <v>523.05200000000002</v>
      </c>
      <c r="S15" s="7">
        <f t="shared" ref="S15" si="3">S14+S13+S12</f>
        <v>545.32500000000005</v>
      </c>
      <c r="T15" s="7">
        <f t="shared" ref="T15" si="4">T14+T13+T12</f>
        <v>552.91099999999994</v>
      </c>
      <c r="V15" s="7">
        <f t="shared" ref="V15" si="5">V14+V13+V12</f>
        <v>616.72399999999993</v>
      </c>
      <c r="W15" s="7">
        <f t="shared" ref="W15:X15" si="6">W14+W13+W12</f>
        <v>608.20500000000004</v>
      </c>
      <c r="X15" s="7">
        <f t="shared" si="6"/>
        <v>627.89099999999996</v>
      </c>
      <c r="AJ15" s="2"/>
      <c r="AK15" s="2">
        <f>+AK12+AK13+AK14</f>
        <v>1568.3980000000001</v>
      </c>
      <c r="AL15" s="2">
        <f>+AL12+AL13+AL14</f>
        <v>1860.5940000000001</v>
      </c>
    </row>
    <row r="16" spans="1:43" x14ac:dyDescent="0.2">
      <c r="B16" t="s">
        <v>33</v>
      </c>
      <c r="M16" s="7">
        <f>M11-M15</f>
        <v>131.98200000000003</v>
      </c>
      <c r="N16" s="7">
        <f>N11-N15</f>
        <v>121.07499999999999</v>
      </c>
      <c r="P16" s="7">
        <f t="shared" ref="P16" si="7">P11-P15</f>
        <v>146.66699999999992</v>
      </c>
      <c r="Q16" s="7">
        <f>Q11-Q15</f>
        <v>48.813999999999965</v>
      </c>
      <c r="R16" s="7">
        <f>R11-R15</f>
        <v>55.947999999999979</v>
      </c>
      <c r="S16" s="7">
        <f t="shared" ref="S16" si="8">S11-S15</f>
        <v>110.01900000000001</v>
      </c>
      <c r="T16" s="7">
        <f t="shared" ref="T16" si="9">T11-T15</f>
        <v>127.88900000000001</v>
      </c>
      <c r="V16" s="7">
        <f t="shared" ref="V16" si="10">V11-V15</f>
        <v>133.21500000000003</v>
      </c>
      <c r="W16" s="7">
        <f t="shared" ref="W16:X16" si="11">W11-W15</f>
        <v>193.09499999999991</v>
      </c>
      <c r="X16" s="7">
        <f t="shared" si="11"/>
        <v>265.65200000000004</v>
      </c>
      <c r="AJ16" s="2"/>
      <c r="AK16" s="2">
        <f>+AK11-AK15</f>
        <v>350.7829999999999</v>
      </c>
      <c r="AL16" s="2">
        <f>+AL11-AL15</f>
        <v>364.45800000000008</v>
      </c>
    </row>
    <row r="17" spans="2:38" x14ac:dyDescent="0.2">
      <c r="B17" t="s">
        <v>38</v>
      </c>
      <c r="M17" s="7">
        <v>138.245</v>
      </c>
      <c r="N17" s="7">
        <v>173.57</v>
      </c>
      <c r="P17" s="12">
        <v>211.75700000000001</v>
      </c>
      <c r="Q17" s="7">
        <v>235.55099999999999</v>
      </c>
      <c r="R17" s="7">
        <v>248.40700000000001</v>
      </c>
      <c r="S17" s="2">
        <v>275.53699999999998</v>
      </c>
      <c r="T17" s="7">
        <v>315.31900000000002</v>
      </c>
      <c r="V17" s="2">
        <v>341.12900000000002</v>
      </c>
      <c r="W17" s="2">
        <v>362.065</v>
      </c>
      <c r="X17" s="2">
        <v>361.68400000000003</v>
      </c>
      <c r="AJ17" s="2"/>
      <c r="AK17" s="2">
        <v>533.20699999999999</v>
      </c>
      <c r="AL17" s="2">
        <v>873.47699999999998</v>
      </c>
    </row>
    <row r="18" spans="2:38" x14ac:dyDescent="0.2">
      <c r="B18" t="s">
        <v>39</v>
      </c>
      <c r="M18" s="7">
        <v>51.584000000000003</v>
      </c>
      <c r="N18" s="7">
        <v>59.383000000000003</v>
      </c>
      <c r="P18" s="12">
        <v>78.676000000000002</v>
      </c>
      <c r="Q18" s="7">
        <v>81.165000000000006</v>
      </c>
      <c r="R18" s="7">
        <v>79.703999999999994</v>
      </c>
      <c r="S18" s="2">
        <v>97.573999999999998</v>
      </c>
      <c r="T18" s="7">
        <v>96.197000000000003</v>
      </c>
      <c r="V18" s="2">
        <v>98.775999999999996</v>
      </c>
      <c r="W18" s="2">
        <v>97.823999999999998</v>
      </c>
      <c r="X18" s="2">
        <v>105.627</v>
      </c>
      <c r="AJ18" s="2"/>
      <c r="AK18" s="2">
        <v>303.02</v>
      </c>
      <c r="AL18" s="2">
        <v>297.31700000000001</v>
      </c>
    </row>
    <row r="19" spans="2:38" x14ac:dyDescent="0.2">
      <c r="B19" t="s">
        <v>40</v>
      </c>
      <c r="M19" s="7">
        <v>19.599</v>
      </c>
      <c r="N19" s="7">
        <v>27.771999999999998</v>
      </c>
      <c r="P19" s="12">
        <v>26.501000000000001</v>
      </c>
      <c r="Q19" s="7">
        <v>32.104999999999997</v>
      </c>
      <c r="R19" s="7">
        <v>29.74</v>
      </c>
      <c r="S19" s="2">
        <v>26.754999999999999</v>
      </c>
      <c r="T19" s="7">
        <v>30.327999999999999</v>
      </c>
      <c r="V19" s="2">
        <v>48.503</v>
      </c>
      <c r="W19" s="2">
        <v>35.533999999999999</v>
      </c>
      <c r="X19" s="2">
        <v>36.29</v>
      </c>
      <c r="AJ19" s="2"/>
      <c r="AK19" s="2">
        <v>86.363</v>
      </c>
      <c r="AL19" s="2">
        <v>117.44799999999999</v>
      </c>
    </row>
    <row r="20" spans="2:38" x14ac:dyDescent="0.2">
      <c r="B20" t="s">
        <v>41</v>
      </c>
      <c r="M20" s="7">
        <f>M19+M18+M17</f>
        <v>209.428</v>
      </c>
      <c r="N20" s="7">
        <f>N19+N18+N17</f>
        <v>260.72500000000002</v>
      </c>
      <c r="P20" s="12">
        <f>P19+P18+P17</f>
        <v>316.93400000000003</v>
      </c>
      <c r="Q20" s="7">
        <f>Q19+Q18+Q17</f>
        <v>348.82100000000003</v>
      </c>
      <c r="R20" s="7">
        <f>R19+R18+R17</f>
        <v>357.851</v>
      </c>
      <c r="S20" s="7">
        <f>S17+S18+S19</f>
        <v>399.86599999999999</v>
      </c>
      <c r="T20" s="7">
        <f>T17+T18+T19</f>
        <v>441.84399999999999</v>
      </c>
      <c r="V20" s="7">
        <f>V17+V18+V19</f>
        <v>488.40800000000002</v>
      </c>
      <c r="W20" s="7">
        <f>W17+W18+W19</f>
        <v>495.423</v>
      </c>
      <c r="X20" s="7">
        <f>X17+X18+X19</f>
        <v>503.60100000000006</v>
      </c>
      <c r="AJ20" s="2"/>
      <c r="AK20" s="2">
        <f>SUM(AK17:AK19)</f>
        <v>922.58999999999992</v>
      </c>
      <c r="AL20" s="2">
        <f>SUM(AL17:AL19)</f>
        <v>1288.242</v>
      </c>
    </row>
    <row r="21" spans="2:38" x14ac:dyDescent="0.2">
      <c r="B21" t="s">
        <v>42</v>
      </c>
      <c r="M21" s="7">
        <f>M16-M20</f>
        <v>-77.44599999999997</v>
      </c>
      <c r="N21" s="7">
        <f>N16-N20</f>
        <v>-139.65000000000003</v>
      </c>
      <c r="P21" s="12">
        <f>P16-P20</f>
        <v>-170.26700000000011</v>
      </c>
      <c r="Q21" s="7">
        <f>Q16-Q20</f>
        <v>-300.00700000000006</v>
      </c>
      <c r="R21" s="7">
        <f>R16-R20</f>
        <v>-301.90300000000002</v>
      </c>
      <c r="S21" s="7">
        <f>S16-S20</f>
        <v>-289.84699999999998</v>
      </c>
      <c r="T21" s="7">
        <f>T16-T20</f>
        <v>-313.95499999999998</v>
      </c>
      <c r="V21" s="7">
        <f>V16-V20</f>
        <v>-355.19299999999998</v>
      </c>
      <c r="W21" s="7">
        <f>W16-W20</f>
        <v>-302.32800000000009</v>
      </c>
      <c r="X21" s="7">
        <f>X16-X20</f>
        <v>-237.94900000000001</v>
      </c>
      <c r="AJ21" s="2"/>
      <c r="AK21" s="2">
        <f>AK16-AK20</f>
        <v>-571.80700000000002</v>
      </c>
      <c r="AL21" s="2">
        <f>AL16-AL20</f>
        <v>-923.78399999999988</v>
      </c>
    </row>
    <row r="22" spans="2:38" x14ac:dyDescent="0.2">
      <c r="B22" t="s">
        <v>32</v>
      </c>
      <c r="S22" s="2"/>
      <c r="V22" s="2"/>
      <c r="W22" s="2"/>
      <c r="X22" s="2"/>
      <c r="AJ22" s="2">
        <v>600.17700000000002</v>
      </c>
      <c r="AK22" s="2">
        <v>673.92600000000004</v>
      </c>
      <c r="AL22" s="2">
        <v>356.45600000000002</v>
      </c>
    </row>
    <row r="23" spans="2:38" x14ac:dyDescent="0.2">
      <c r="B23" t="s">
        <v>43</v>
      </c>
      <c r="S23" s="2">
        <f>-10.012-0.44</f>
        <v>-10.452</v>
      </c>
      <c r="V23" s="2">
        <f>-10.298+0.898</f>
        <v>-9.4</v>
      </c>
      <c r="W23" s="2">
        <f>-10.363-0.346</f>
        <v>-10.709</v>
      </c>
      <c r="X23" s="2">
        <f>-10.204-3.315</f>
        <v>-13.519</v>
      </c>
      <c r="AK23">
        <f>-6.998-1.796</f>
        <v>-8.7940000000000005</v>
      </c>
      <c r="AL23" s="2">
        <f>38.842-39.903-5.744</f>
        <v>-6.8049999999999997</v>
      </c>
    </row>
    <row r="24" spans="2:38" x14ac:dyDescent="0.2">
      <c r="B24" t="s">
        <v>44</v>
      </c>
      <c r="M24" s="7">
        <f>M21+M23</f>
        <v>-77.44599999999997</v>
      </c>
      <c r="N24" s="7">
        <f>N21+N23</f>
        <v>-139.65000000000003</v>
      </c>
      <c r="R24" s="7">
        <f>R21+R23</f>
        <v>-301.90300000000002</v>
      </c>
      <c r="S24" s="2">
        <f>+S21+S23</f>
        <v>-300.29899999999998</v>
      </c>
      <c r="V24" s="2">
        <f>+V21+V23</f>
        <v>-364.59299999999996</v>
      </c>
      <c r="W24" s="2">
        <f>+W21+W23</f>
        <v>-313.03700000000009</v>
      </c>
      <c r="X24" s="2">
        <f>+X21+X23</f>
        <v>-251.46800000000002</v>
      </c>
      <c r="AK24" s="2">
        <f>+AK21+AK23</f>
        <v>-580.601</v>
      </c>
      <c r="AL24" s="2">
        <f>+AL21+AL23</f>
        <v>-930.58899999999983</v>
      </c>
    </row>
    <row r="25" spans="2:38" x14ac:dyDescent="0.2">
      <c r="B25" t="s">
        <v>45</v>
      </c>
      <c r="N25" s="7"/>
      <c r="R25" s="7">
        <f>3.202-1.559</f>
        <v>1.643</v>
      </c>
      <c r="S25" s="2">
        <v>0.73099999999999998</v>
      </c>
      <c r="V25" s="2">
        <v>0.27700000000000002</v>
      </c>
      <c r="W25" s="2">
        <v>0</v>
      </c>
      <c r="X25" s="2">
        <v>0</v>
      </c>
      <c r="AK25">
        <v>-11.829000000000001</v>
      </c>
      <c r="AL25" s="2">
        <f>3.552-9.775</f>
        <v>-6.2230000000000008</v>
      </c>
    </row>
    <row r="26" spans="2:38" x14ac:dyDescent="0.2">
      <c r="B26" t="s">
        <v>46</v>
      </c>
      <c r="M26" s="7">
        <f>M24-M25</f>
        <v>-77.44599999999997</v>
      </c>
      <c r="N26" s="7">
        <f>N24-N25</f>
        <v>-139.65000000000003</v>
      </c>
      <c r="R26" s="7">
        <f>R24-R25</f>
        <v>-303.54599999999999</v>
      </c>
      <c r="S26" s="2">
        <f>+S24-S25</f>
        <v>-301.02999999999997</v>
      </c>
      <c r="V26" s="2">
        <f>+V24-V25</f>
        <v>-364.86999999999995</v>
      </c>
      <c r="W26" s="2">
        <f>+W24-W25</f>
        <v>-313.03700000000009</v>
      </c>
      <c r="X26" s="2">
        <f>+X24-X25</f>
        <v>-251.46800000000002</v>
      </c>
      <c r="AK26" s="2">
        <f>+AK24-AK25</f>
        <v>-568.77200000000005</v>
      </c>
      <c r="AL26" s="2">
        <f>+AL24-AL25</f>
        <v>-924.36599999999987</v>
      </c>
    </row>
    <row r="27" spans="2:38" x14ac:dyDescent="0.2">
      <c r="B27" t="s">
        <v>47</v>
      </c>
      <c r="M27" s="8">
        <f>M26/M28</f>
        <v>-0.13447073612857069</v>
      </c>
      <c r="N27" s="8">
        <f>N26/N28</f>
        <v>-0.24014031829554547</v>
      </c>
      <c r="R27" s="8">
        <f>R26/R28</f>
        <v>-0.50434736375131051</v>
      </c>
      <c r="S27" s="1">
        <f>+S26/S28</f>
        <v>-0.49622756277642149</v>
      </c>
      <c r="V27" s="1">
        <f>+V26/V28</f>
        <v>-0.58209971969490293</v>
      </c>
      <c r="W27" s="1">
        <f>+W26/W28</f>
        <v>-0.49295612736606736</v>
      </c>
      <c r="X27" s="1">
        <f>+X26/X28</f>
        <v>-0.39119869822374753</v>
      </c>
      <c r="AK27" s="1">
        <f>+AK26/AK28</f>
        <v>-1.1243708708768074</v>
      </c>
      <c r="AL27" s="1">
        <f>+AL26/AL28</f>
        <v>-1.5520981128653919</v>
      </c>
    </row>
    <row r="28" spans="2:38" x14ac:dyDescent="0.2">
      <c r="B28" t="s">
        <v>1</v>
      </c>
      <c r="M28" s="7">
        <v>575.93200000000002</v>
      </c>
      <c r="N28" s="7">
        <v>581.53499999999997</v>
      </c>
      <c r="R28" s="7">
        <v>601.85900000000004</v>
      </c>
      <c r="S28" s="2">
        <v>606.63699999999994</v>
      </c>
      <c r="V28" s="2">
        <v>626.81700000000001</v>
      </c>
      <c r="W28" s="2">
        <v>635.02</v>
      </c>
      <c r="X28" s="2">
        <v>642.81399999999996</v>
      </c>
      <c r="AK28" s="2">
        <v>505.858</v>
      </c>
      <c r="AL28" s="2">
        <v>595.55899999999997</v>
      </c>
    </row>
    <row r="29" spans="2:38" x14ac:dyDescent="0.2">
      <c r="S29"/>
    </row>
    <row r="30" spans="2:38" x14ac:dyDescent="0.2">
      <c r="B30" t="s">
        <v>48</v>
      </c>
      <c r="Q30" s="5">
        <f t="shared" ref="Q30" si="12">Q11/M11-1</f>
        <v>1.6435123376317362E-2</v>
      </c>
      <c r="R30" s="5">
        <f>R11/N11-1</f>
        <v>1.798797051175427E-2</v>
      </c>
      <c r="S30" s="5" t="e">
        <f>S11/O11-1</f>
        <v>#DIV/0!</v>
      </c>
      <c r="V30" s="5">
        <f>V11/R11-1</f>
        <v>0.29523143350604486</v>
      </c>
      <c r="W30" s="5">
        <f>W11/S11-1</f>
        <v>0.22271661905808227</v>
      </c>
      <c r="X30" s="5">
        <f>X11/T11-1</f>
        <v>0.31248971797884861</v>
      </c>
      <c r="AK30" s="10">
        <f>+AK11/AJ11-1</f>
        <v>1.0772942519902369</v>
      </c>
      <c r="AL30" s="10">
        <f>+AL11/AK11-1</f>
        <v>0.15937579623808285</v>
      </c>
    </row>
    <row r="31" spans="2:38" x14ac:dyDescent="0.2">
      <c r="B31" t="s">
        <v>71</v>
      </c>
      <c r="Q31" s="5">
        <f t="shared" ref="Q31" si="13">Q7/M7-1</f>
        <v>0.10015631050760931</v>
      </c>
      <c r="R31" s="5">
        <f>R7/N7-1</f>
        <v>0.16787600828966021</v>
      </c>
      <c r="AK31" s="10"/>
      <c r="AL31" s="10"/>
    </row>
    <row r="32" spans="2:38" x14ac:dyDescent="0.2">
      <c r="B32" t="s">
        <v>26</v>
      </c>
      <c r="G32" s="5">
        <f t="shared" ref="G32:Q32" si="14">+G3/C3-1</f>
        <v>0.49367088607594933</v>
      </c>
      <c r="H32" s="5">
        <f t="shared" si="14"/>
        <v>0.95321637426900563</v>
      </c>
      <c r="I32" s="5">
        <f t="shared" si="14"/>
        <v>0.96739130434782639</v>
      </c>
      <c r="J32" s="5">
        <f t="shared" si="14"/>
        <v>0.94240837696335067</v>
      </c>
      <c r="K32" s="5">
        <f t="shared" si="14"/>
        <v>0.78389830508474567</v>
      </c>
      <c r="L32" s="5">
        <f t="shared" si="14"/>
        <v>0.29341317365269481</v>
      </c>
      <c r="M32" s="5">
        <f t="shared" si="14"/>
        <v>0.30662983425414336</v>
      </c>
      <c r="N32" s="5">
        <f t="shared" si="14"/>
        <v>0.33423180592991919</v>
      </c>
      <c r="O32" s="5">
        <f t="shared" si="14"/>
        <v>0.28503562945368177</v>
      </c>
      <c r="P32" s="5">
        <f t="shared" si="14"/>
        <v>0.20833333333333326</v>
      </c>
      <c r="Q32" s="5">
        <f t="shared" si="14"/>
        <v>0.24312896405919671</v>
      </c>
      <c r="R32" s="5">
        <f>+R3/N3-1</f>
        <v>0.18787878787878776</v>
      </c>
      <c r="S32" s="5"/>
      <c r="T32" s="5"/>
      <c r="U32" s="5"/>
      <c r="AK32" s="10">
        <f>AK3/AJ3-1</f>
        <v>0.33423180592991919</v>
      </c>
      <c r="AL32" s="10">
        <f>AL3/AK3-1</f>
        <v>0.18787878787878776</v>
      </c>
    </row>
    <row r="34" spans="2:38" x14ac:dyDescent="0.2">
      <c r="B34" t="s">
        <v>65</v>
      </c>
      <c r="R34" s="2">
        <f>R35-R50</f>
        <v>1988.4900000000002</v>
      </c>
      <c r="W34" s="2"/>
      <c r="X34" s="2"/>
      <c r="AL34" s="2">
        <f>AL35-AL50</f>
        <v>1988.4900000000002</v>
      </c>
    </row>
    <row r="35" spans="2:38" x14ac:dyDescent="0.2">
      <c r="B35" t="s">
        <v>3</v>
      </c>
      <c r="R35" s="2">
        <v>2977.4740000000002</v>
      </c>
      <c r="W35" s="2">
        <f>866.414+1543.819+1059.246</f>
        <v>3469.4790000000003</v>
      </c>
      <c r="X35" s="2"/>
      <c r="AL35" s="2">
        <v>2977.4740000000002</v>
      </c>
    </row>
    <row r="36" spans="2:38" x14ac:dyDescent="0.2">
      <c r="B36" t="s">
        <v>51</v>
      </c>
      <c r="R36" s="2">
        <v>379.35300000000001</v>
      </c>
      <c r="W36" s="2">
        <v>331.67700000000002</v>
      </c>
      <c r="X36" s="2"/>
      <c r="AL36" s="2">
        <v>379.35300000000001</v>
      </c>
    </row>
    <row r="37" spans="2:38" x14ac:dyDescent="0.2">
      <c r="B37" t="s">
        <v>52</v>
      </c>
      <c r="R37" s="2">
        <v>61.640999999999998</v>
      </c>
      <c r="W37" s="2">
        <v>88.537000000000006</v>
      </c>
      <c r="X37" s="2"/>
      <c r="AL37" s="2">
        <v>61.640999999999998</v>
      </c>
    </row>
    <row r="38" spans="2:38" x14ac:dyDescent="0.2">
      <c r="B38" t="s">
        <v>53</v>
      </c>
      <c r="R38" s="2">
        <f>420.136+225.132</f>
        <v>645.26800000000003</v>
      </c>
      <c r="W38" s="2">
        <f>525.57+292.509</f>
        <v>818.07900000000006</v>
      </c>
      <c r="X38" s="2"/>
      <c r="AL38" s="2">
        <f>420.136+225.132</f>
        <v>645.26800000000003</v>
      </c>
    </row>
    <row r="39" spans="2:38" x14ac:dyDescent="0.2">
      <c r="B39" t="s">
        <v>54</v>
      </c>
      <c r="R39" s="2">
        <v>592.346</v>
      </c>
      <c r="W39" s="2">
        <v>691.29200000000003</v>
      </c>
      <c r="X39" s="2"/>
      <c r="AL39" s="2">
        <v>592.346</v>
      </c>
    </row>
    <row r="40" spans="2:38" x14ac:dyDescent="0.2">
      <c r="B40" t="s">
        <v>56</v>
      </c>
      <c r="R40" s="2">
        <v>526.03</v>
      </c>
      <c r="W40" s="2">
        <v>715.50099999999998</v>
      </c>
      <c r="X40" s="2"/>
      <c r="AL40" s="2">
        <v>526.03</v>
      </c>
    </row>
    <row r="41" spans="2:38" x14ac:dyDescent="0.2">
      <c r="B41" t="s">
        <v>55</v>
      </c>
      <c r="R41" s="2">
        <f>54.717+134.335</f>
        <v>189.05200000000002</v>
      </c>
      <c r="W41" s="2">
        <f>47.938+141.956</f>
        <v>189.89400000000001</v>
      </c>
      <c r="X41" s="2"/>
      <c r="AL41" s="2">
        <f>54.717+134.335</f>
        <v>189.05200000000002</v>
      </c>
    </row>
    <row r="42" spans="2:38" x14ac:dyDescent="0.2">
      <c r="B42" t="s">
        <v>57</v>
      </c>
      <c r="R42" s="2">
        <v>4.3230000000000004</v>
      </c>
      <c r="W42" s="2">
        <v>10.212</v>
      </c>
      <c r="X42" s="2"/>
      <c r="AL42" s="2">
        <v>4.3230000000000004</v>
      </c>
    </row>
    <row r="43" spans="2:38" x14ac:dyDescent="0.2">
      <c r="B43" t="s">
        <v>50</v>
      </c>
      <c r="R43" s="2">
        <f>SUM(R35:R42)</f>
        <v>5375.4870000000001</v>
      </c>
      <c r="S43" s="2">
        <f t="shared" ref="S43:X43" si="15">SUM(S35:S42)</f>
        <v>0</v>
      </c>
      <c r="T43" s="2">
        <f t="shared" si="15"/>
        <v>0</v>
      </c>
      <c r="U43" s="2">
        <f t="shared" si="15"/>
        <v>0</v>
      </c>
      <c r="V43" s="2">
        <f t="shared" si="15"/>
        <v>0</v>
      </c>
      <c r="W43" s="2">
        <f t="shared" si="15"/>
        <v>6314.6710000000012</v>
      </c>
      <c r="X43" s="2">
        <f t="shared" si="15"/>
        <v>0</v>
      </c>
      <c r="AL43" s="2">
        <f>SUM(AL35:AL42)</f>
        <v>5375.4870000000001</v>
      </c>
    </row>
    <row r="44" spans="2:38" x14ac:dyDescent="0.2">
      <c r="R44"/>
      <c r="W44" s="2"/>
      <c r="X44" s="2"/>
    </row>
    <row r="45" spans="2:38" x14ac:dyDescent="0.2">
      <c r="B45" t="s">
        <v>58</v>
      </c>
      <c r="R45" s="2">
        <v>71.182000000000002</v>
      </c>
      <c r="W45" s="2">
        <v>49.078000000000003</v>
      </c>
      <c r="X45" s="2"/>
      <c r="AL45" s="2">
        <v>71.182000000000002</v>
      </c>
    </row>
    <row r="46" spans="2:38" x14ac:dyDescent="0.2">
      <c r="B46" t="s">
        <v>59</v>
      </c>
      <c r="R46" s="2">
        <v>236.006</v>
      </c>
      <c r="W46" s="2">
        <v>273.649</v>
      </c>
      <c r="X46" s="2"/>
      <c r="AL46" s="2">
        <v>236.006</v>
      </c>
    </row>
    <row r="47" spans="2:38" x14ac:dyDescent="0.2">
      <c r="B47" t="s">
        <v>36</v>
      </c>
      <c r="R47" s="2">
        <v>231.70400000000001</v>
      </c>
      <c r="W47" s="2">
        <v>292.67599999999999</v>
      </c>
      <c r="X47" s="2"/>
      <c r="AL47" s="2">
        <v>231.70400000000001</v>
      </c>
    </row>
    <row r="48" spans="2:38" x14ac:dyDescent="0.2">
      <c r="B48" t="s">
        <v>60</v>
      </c>
      <c r="R48" s="2">
        <f>1941.943+1095.291</f>
        <v>3037.2339999999999</v>
      </c>
      <c r="W48" s="2">
        <f>2513.339+1393.807</f>
        <v>3907.1459999999997</v>
      </c>
      <c r="X48" s="2"/>
      <c r="AL48" s="2">
        <f>1941.943+1095.291</f>
        <v>3037.2339999999999</v>
      </c>
    </row>
    <row r="49" spans="2:38" x14ac:dyDescent="0.2">
      <c r="B49" t="s">
        <v>61</v>
      </c>
      <c r="R49" s="2">
        <v>494.59</v>
      </c>
      <c r="W49" s="2">
        <v>693.81500000000005</v>
      </c>
      <c r="X49" s="2"/>
      <c r="AL49" s="2">
        <v>494.59</v>
      </c>
    </row>
    <row r="50" spans="2:38" x14ac:dyDescent="0.2">
      <c r="B50" t="s">
        <v>4</v>
      </c>
      <c r="R50" s="2">
        <v>988.98400000000004</v>
      </c>
      <c r="W50" s="2">
        <v>1005.338</v>
      </c>
      <c r="X50" s="2"/>
      <c r="AL50" s="2">
        <v>988.98400000000004</v>
      </c>
    </row>
    <row r="51" spans="2:38" x14ac:dyDescent="0.2">
      <c r="B51" t="s">
        <v>62</v>
      </c>
      <c r="R51" s="2">
        <v>10.752000000000001</v>
      </c>
      <c r="W51" s="2">
        <v>30.282</v>
      </c>
      <c r="X51" s="2"/>
      <c r="AL51" s="2">
        <v>10.752000000000001</v>
      </c>
    </row>
    <row r="52" spans="2:38" x14ac:dyDescent="0.2">
      <c r="B52" t="s">
        <v>63</v>
      </c>
      <c r="R52" s="2">
        <v>305.03500000000003</v>
      </c>
      <c r="W52" s="2">
        <v>62.686999999999998</v>
      </c>
      <c r="X52" s="2"/>
      <c r="AL52" s="2">
        <v>305.03500000000003</v>
      </c>
    </row>
    <row r="53" spans="2:38" x14ac:dyDescent="0.2">
      <c r="B53" t="s">
        <v>64</v>
      </c>
      <c r="R53" s="2">
        <f>SUM(R45:R52)</f>
        <v>5375.487000000001</v>
      </c>
      <c r="W53" s="2">
        <f>SUM(W45:W52)</f>
        <v>6314.6709999999994</v>
      </c>
      <c r="X53" s="2"/>
      <c r="AL53" s="2">
        <f>SUM(AL45:AL52)</f>
        <v>5375.487000000001</v>
      </c>
    </row>
    <row r="54" spans="2:38" x14ac:dyDescent="0.2">
      <c r="R54"/>
      <c r="W54" s="2"/>
      <c r="X54" s="2"/>
    </row>
    <row r="55" spans="2:38" x14ac:dyDescent="0.2">
      <c r="B55" t="s">
        <v>77</v>
      </c>
      <c r="R55"/>
      <c r="W55" s="2"/>
      <c r="X55" s="2"/>
    </row>
    <row r="56" spans="2:38" x14ac:dyDescent="0.2">
      <c r="R56"/>
      <c r="W56" s="2"/>
      <c r="X56" s="2"/>
    </row>
    <row r="57" spans="2:38" x14ac:dyDescent="0.2">
      <c r="R57"/>
      <c r="W57" s="2"/>
      <c r="X57" s="2"/>
    </row>
    <row r="58" spans="2:38" x14ac:dyDescent="0.2">
      <c r="R58"/>
      <c r="W58" s="2"/>
      <c r="X58" s="2"/>
    </row>
    <row r="59" spans="2:38" x14ac:dyDescent="0.2">
      <c r="B59" t="s">
        <v>66</v>
      </c>
      <c r="R59" s="2">
        <v>369.29599999999999</v>
      </c>
      <c r="W59" s="2">
        <v>238.946</v>
      </c>
      <c r="X59" s="2">
        <f>390.395-W59</f>
        <v>151.44899999999998</v>
      </c>
      <c r="AJ59" s="2">
        <v>524.34</v>
      </c>
      <c r="AK59" s="2">
        <v>659.10900000000004</v>
      </c>
      <c r="AL59" s="2">
        <v>369.29599999999999</v>
      </c>
    </row>
    <row r="60" spans="2:38" x14ac:dyDescent="0.2">
      <c r="B60" t="s">
        <v>78</v>
      </c>
      <c r="R60" s="2"/>
      <c r="W60" s="2">
        <v>46.68</v>
      </c>
      <c r="X60" s="2">
        <v>86.381</v>
      </c>
      <c r="AJ60" s="2"/>
      <c r="AK60" s="2"/>
      <c r="AL60" s="2"/>
    </row>
    <row r="61" spans="2:38" x14ac:dyDescent="0.2">
      <c r="B61" t="s">
        <v>79</v>
      </c>
      <c r="W61" s="2">
        <f>+W59-W60</f>
        <v>192.26599999999999</v>
      </c>
      <c r="X61" s="2">
        <f>+X59-X60</f>
        <v>65.067999999999984</v>
      </c>
    </row>
    <row r="63" spans="2:38" x14ac:dyDescent="0.2">
      <c r="B63" t="s">
        <v>72</v>
      </c>
      <c r="K63" s="12">
        <f>53.587302+516.244161</f>
        <v>569.83146299999999</v>
      </c>
    </row>
    <row r="64" spans="2:38" x14ac:dyDescent="0.2">
      <c r="B64" t="s">
        <v>0</v>
      </c>
      <c r="K64" s="4">
        <v>67.34</v>
      </c>
    </row>
    <row r="65" spans="2:11" x14ac:dyDescent="0.2">
      <c r="B65" t="s">
        <v>2</v>
      </c>
      <c r="K65" s="7">
        <f>K63*K64</f>
        <v>38372.450718419997</v>
      </c>
    </row>
  </sheetData>
  <hyperlinks>
    <hyperlink ref="A1" location="Main!A1" display="Main" xr:uid="{DD6A30B0-9533-4FBD-B01E-5A5763B1296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2023-03-02T17:06:21Z</dcterms:created>
  <dcterms:modified xsi:type="dcterms:W3CDTF">2024-10-08T13:41:07Z</dcterms:modified>
</cp:coreProperties>
</file>