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hkre\code\models\"/>
    </mc:Choice>
  </mc:AlternateContent>
  <xr:revisionPtr revIDLastSave="0" documentId="13_ncr:1_{0472CA17-B440-44EE-AB33-A98FA8276240}" xr6:coauthVersionLast="47" xr6:coauthVersionMax="47" xr10:uidLastSave="{00000000-0000-0000-0000-000000000000}"/>
  <bookViews>
    <workbookView xWindow="-25665" yWindow="495" windowWidth="23865" windowHeight="19950" activeTab="1" xr2:uid="{A60D6F5D-C7AD-4CE4-9596-6485E651EC61}"/>
  </bookViews>
  <sheets>
    <sheet name="Main" sheetId="1" r:id="rId1"/>
    <sheet name="Model" sheetId="9" r:id="rId2"/>
    <sheet name="Dupixent" sheetId="8" r:id="rId3"/>
    <sheet name="Eylea" sheetId="3" r:id="rId4"/>
    <sheet name="Arcalyst" sheetId="2" r:id="rId5"/>
    <sheet name="Zaltrap" sheetId="4" r:id="rId6"/>
    <sheet name="VEGF Trap" sheetId="5" r:id="rId7"/>
    <sheet name="Praluent" sheetId="6" r:id="rId8"/>
    <sheet name="Kevzara" sheetId="7"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33" i="9" l="1"/>
  <c r="N32" i="9" s="1"/>
  <c r="N31" i="9"/>
  <c r="N30" i="9"/>
  <c r="N29" i="9"/>
  <c r="N28" i="9"/>
  <c r="N27" i="9"/>
  <c r="N26" i="9"/>
  <c r="N25" i="9"/>
  <c r="N24" i="9"/>
  <c r="N23" i="9"/>
  <c r="N22" i="9"/>
  <c r="N21" i="9"/>
  <c r="N20" i="9"/>
  <c r="N18" i="9"/>
  <c r="N10" i="9"/>
  <c r="N9" i="9"/>
  <c r="N3" i="9"/>
  <c r="M32" i="9"/>
  <c r="M31" i="9"/>
  <c r="M29" i="9"/>
  <c r="M27" i="9"/>
  <c r="M26" i="9"/>
  <c r="M23" i="9"/>
  <c r="M22" i="9"/>
  <c r="M20" i="9"/>
  <c r="M21" i="9" s="1"/>
  <c r="K26" i="9"/>
  <c r="K23" i="9"/>
  <c r="K20" i="9"/>
  <c r="J33" i="9"/>
  <c r="J32" i="9" s="1"/>
  <c r="J31" i="9"/>
  <c r="J30" i="9"/>
  <c r="J29" i="9"/>
  <c r="J28" i="9"/>
  <c r="J27" i="9"/>
  <c r="J26" i="9"/>
  <c r="J25" i="9"/>
  <c r="J24" i="9"/>
  <c r="J23" i="9"/>
  <c r="J22" i="9"/>
  <c r="F33" i="9"/>
  <c r="F32" i="9" s="1"/>
  <c r="F30" i="9"/>
  <c r="F28" i="9"/>
  <c r="F25" i="9"/>
  <c r="F24" i="9"/>
  <c r="F22" i="9"/>
  <c r="BM20" i="9"/>
  <c r="BM18" i="9"/>
  <c r="BN18" i="9"/>
  <c r="BN10" i="9"/>
  <c r="BM10" i="9"/>
  <c r="J20" i="9"/>
  <c r="F20" i="9"/>
  <c r="J18" i="9"/>
  <c r="F18" i="9"/>
  <c r="J10" i="9"/>
  <c r="F10" i="9"/>
  <c r="BN9" i="9"/>
  <c r="BM9" i="9"/>
  <c r="F9" i="9"/>
  <c r="J9" i="9"/>
  <c r="BN3" i="9"/>
  <c r="J3" i="9"/>
  <c r="BM3" i="9"/>
  <c r="BL31" i="9"/>
  <c r="BL32" i="9" s="1"/>
  <c r="BM26" i="9"/>
  <c r="BN26" i="9"/>
  <c r="I23" i="9"/>
  <c r="I31" i="9"/>
  <c r="I32" i="9" s="1"/>
  <c r="I26" i="9"/>
  <c r="I27" i="9" s="1"/>
  <c r="I29" i="9" s="1"/>
  <c r="E20" i="9"/>
  <c r="I20" i="9"/>
  <c r="D32" i="9"/>
  <c r="D28" i="9"/>
  <c r="D20" i="9"/>
  <c r="K27" i="9" l="1"/>
  <c r="K29" i="9" s="1"/>
  <c r="K31" i="9" s="1"/>
  <c r="K32" i="9" s="1"/>
  <c r="BV3" i="9"/>
  <c r="BQ28" i="9"/>
  <c r="BQ26" i="9"/>
  <c r="BQ22" i="9"/>
  <c r="BO28" i="9"/>
  <c r="BO22" i="9"/>
  <c r="BO26" i="9"/>
  <c r="BP28" i="9"/>
  <c r="BP26" i="9"/>
  <c r="BP22" i="9"/>
  <c r="BU21" i="9"/>
  <c r="BT21" i="9"/>
  <c r="BS21" i="9"/>
  <c r="BR21" i="9"/>
  <c r="BQ21" i="9"/>
  <c r="BQ23" i="9" s="1"/>
  <c r="BQ27" i="9" s="1"/>
  <c r="BQ29" i="9" s="1"/>
  <c r="BQ31" i="9" s="1"/>
  <c r="BQ32" i="9" s="1"/>
  <c r="BP21" i="9"/>
  <c r="BO21" i="9"/>
  <c r="BN21" i="9"/>
  <c r="BN23" i="9" s="1"/>
  <c r="BN27" i="9" s="1"/>
  <c r="BN29" i="9" s="1"/>
  <c r="BN31" i="9" s="1"/>
  <c r="BN32" i="9" s="1"/>
  <c r="BM21" i="9"/>
  <c r="BM23" i="9" s="1"/>
  <c r="BM27" i="9" s="1"/>
  <c r="BM29" i="9" s="1"/>
  <c r="BM31" i="9" s="1"/>
  <c r="BM32" i="9" s="1"/>
  <c r="BL21" i="9"/>
  <c r="L26" i="9"/>
  <c r="L22" i="9"/>
  <c r="H20" i="9"/>
  <c r="L20" i="9"/>
  <c r="L21" i="9" s="1"/>
  <c r="L23" i="9" s="1"/>
  <c r="K21" i="9"/>
  <c r="J21" i="9"/>
  <c r="I21" i="9"/>
  <c r="H21" i="9"/>
  <c r="H23" i="9" s="1"/>
  <c r="F21" i="9"/>
  <c r="F23" i="9" s="1"/>
  <c r="E21" i="9"/>
  <c r="E23" i="9" s="1"/>
  <c r="D21" i="9"/>
  <c r="D23" i="9" s="1"/>
  <c r="C21" i="9"/>
  <c r="C23" i="9" s="1"/>
  <c r="C26" i="9"/>
  <c r="C20" i="9"/>
  <c r="G20" i="9"/>
  <c r="G21" i="9" s="1"/>
  <c r="G23" i="9" s="1"/>
  <c r="G26" i="9"/>
  <c r="F26" i="9"/>
  <c r="E26" i="9"/>
  <c r="D26" i="9"/>
  <c r="H26" i="9"/>
  <c r="BD38" i="9"/>
  <c r="BC38" i="9"/>
  <c r="BD37" i="9"/>
  <c r="BC37" i="9"/>
  <c r="BD36" i="9"/>
  <c r="BC36" i="9"/>
  <c r="BD26" i="9"/>
  <c r="BC26" i="9"/>
  <c r="BD21" i="9"/>
  <c r="BD23" i="9" s="1"/>
  <c r="BD40" i="9" s="1"/>
  <c r="BC21" i="9"/>
  <c r="BC23" i="9" s="1"/>
  <c r="BC40" i="9" s="1"/>
  <c r="AX59" i="9"/>
  <c r="AX64" i="9" s="1"/>
  <c r="AX47" i="9"/>
  <c r="AX55" i="9" s="1"/>
  <c r="AX28" i="9"/>
  <c r="AX25" i="9"/>
  <c r="BB25" i="9" s="1"/>
  <c r="BB26" i="9" s="1"/>
  <c r="AX24" i="9"/>
  <c r="AX22" i="9"/>
  <c r="AX38" i="9"/>
  <c r="AX36" i="9"/>
  <c r="AX10" i="9"/>
  <c r="AX37" i="9" s="1"/>
  <c r="AX5" i="9"/>
  <c r="BX33" i="9"/>
  <c r="BW33" i="9"/>
  <c r="BV33" i="9"/>
  <c r="BW30" i="9"/>
  <c r="BV30" i="9"/>
  <c r="BY28" i="9"/>
  <c r="BW25" i="9"/>
  <c r="BY24" i="9"/>
  <c r="BW24" i="9"/>
  <c r="BV24" i="9"/>
  <c r="BY16" i="9"/>
  <c r="BY15" i="9"/>
  <c r="BY14" i="9"/>
  <c r="BY13" i="9"/>
  <c r="BY12" i="9"/>
  <c r="BY11" i="9"/>
  <c r="BY9" i="9"/>
  <c r="BX20" i="9"/>
  <c r="BX19" i="9"/>
  <c r="BX18" i="9"/>
  <c r="BX16" i="9"/>
  <c r="BX15" i="9"/>
  <c r="BX14" i="9"/>
  <c r="BX12" i="9"/>
  <c r="BX11" i="9"/>
  <c r="BX9" i="9"/>
  <c r="BX8" i="9"/>
  <c r="BX7" i="9"/>
  <c r="BX6" i="9"/>
  <c r="BX3" i="9"/>
  <c r="BW20" i="9"/>
  <c r="BW19" i="9"/>
  <c r="BW18" i="9"/>
  <c r="BW16" i="9"/>
  <c r="BW15" i="9"/>
  <c r="BW14" i="9"/>
  <c r="BW12" i="9"/>
  <c r="BW11" i="9"/>
  <c r="BW9" i="9"/>
  <c r="BW8" i="9"/>
  <c r="BW7" i="9"/>
  <c r="BW6" i="9"/>
  <c r="BW5" i="9"/>
  <c r="BW3" i="9"/>
  <c r="BV20" i="9"/>
  <c r="BV19" i="9"/>
  <c r="BV18" i="9"/>
  <c r="BV16" i="9"/>
  <c r="BV15" i="9"/>
  <c r="BV14" i="9"/>
  <c r="BV12" i="9"/>
  <c r="BV11" i="9"/>
  <c r="BV9" i="9"/>
  <c r="BV8" i="9"/>
  <c r="BV7" i="9"/>
  <c r="BV6" i="9"/>
  <c r="BV5" i="9"/>
  <c r="AM28" i="9"/>
  <c r="AM25" i="9"/>
  <c r="BV25" i="9" s="1"/>
  <c r="AM22" i="9"/>
  <c r="AM13" i="9"/>
  <c r="AM10" i="9" s="1"/>
  <c r="AJ10" i="9"/>
  <c r="AJ21" i="9" s="1"/>
  <c r="AI10" i="9"/>
  <c r="AI21" i="9" s="1"/>
  <c r="AQ38" i="9"/>
  <c r="AQ36" i="9"/>
  <c r="AN28" i="9"/>
  <c r="AN26" i="9"/>
  <c r="AN22" i="9"/>
  <c r="AN13" i="9"/>
  <c r="AN10" i="9" s="1"/>
  <c r="AR38" i="9"/>
  <c r="AR36" i="9"/>
  <c r="AW36" i="9"/>
  <c r="AV36" i="9"/>
  <c r="AU36" i="9"/>
  <c r="AT36" i="9"/>
  <c r="AS36" i="9"/>
  <c r="BB38" i="9"/>
  <c r="BA38" i="9"/>
  <c r="AZ38" i="9"/>
  <c r="AY38" i="9"/>
  <c r="BA3" i="9"/>
  <c r="BA36" i="9" s="1"/>
  <c r="AZ36" i="9"/>
  <c r="AY36" i="9"/>
  <c r="BA7" i="9"/>
  <c r="BB7" i="9" s="1"/>
  <c r="BA18" i="9"/>
  <c r="BB18" i="9"/>
  <c r="BA25" i="9"/>
  <c r="BA26" i="9" s="1"/>
  <c r="AY26" i="9"/>
  <c r="AW10" i="9"/>
  <c r="BA10" i="9" s="1"/>
  <c r="BA37" i="9" s="1"/>
  <c r="AW5" i="9"/>
  <c r="BM2" i="9"/>
  <c r="BN2" i="9" s="1"/>
  <c r="BO2" i="9" s="1"/>
  <c r="BP2" i="9" s="1"/>
  <c r="BQ2" i="9" s="1"/>
  <c r="BR2" i="9" s="1"/>
  <c r="BS2" i="9" s="1"/>
  <c r="BT2" i="9" s="1"/>
  <c r="BU2" i="9" s="1"/>
  <c r="BV2" i="9" s="1"/>
  <c r="BW2" i="9" s="1"/>
  <c r="BX2" i="9" s="1"/>
  <c r="BY2" i="9" s="1"/>
  <c r="BZ2" i="9" s="1"/>
  <c r="CA2" i="9" s="1"/>
  <c r="CB2" i="9" s="1"/>
  <c r="CC2" i="9" s="1"/>
  <c r="CD2" i="9" s="1"/>
  <c r="CE2" i="9" s="1"/>
  <c r="CF2" i="9" s="1"/>
  <c r="CG2" i="9" s="1"/>
  <c r="CH2" i="9" s="1"/>
  <c r="CI2" i="9" s="1"/>
  <c r="CJ2" i="9" s="1"/>
  <c r="CK2" i="9" s="1"/>
  <c r="CL2" i="9" s="1"/>
  <c r="CM2" i="9" s="1"/>
  <c r="CN2" i="9" s="1"/>
  <c r="CO2" i="9" s="1"/>
  <c r="CP2" i="9" s="1"/>
  <c r="CQ2" i="9" s="1"/>
  <c r="CR2" i="9" s="1"/>
  <c r="CS2" i="9" s="1"/>
  <c r="CT2" i="9" s="1"/>
  <c r="AY33" i="9"/>
  <c r="AZ33" i="9" s="1"/>
  <c r="AW26" i="9"/>
  <c r="AW38" i="9"/>
  <c r="AV38" i="9"/>
  <c r="AU38" i="9"/>
  <c r="AT38" i="9"/>
  <c r="AS38" i="9"/>
  <c r="AO13" i="9"/>
  <c r="AO10" i="9" s="1"/>
  <c r="AO21" i="9" s="1"/>
  <c r="AO23" i="9" s="1"/>
  <c r="AO40" i="9" s="1"/>
  <c r="AS13" i="9"/>
  <c r="AS10" i="9" s="1"/>
  <c r="AS26" i="9"/>
  <c r="AR26" i="9"/>
  <c r="AQ26" i="9"/>
  <c r="AP26" i="9"/>
  <c r="AO26" i="9"/>
  <c r="BA8" i="9"/>
  <c r="BB8" i="9" s="1"/>
  <c r="BA6" i="9"/>
  <c r="BB6" i="9" s="1"/>
  <c r="BB3" i="9"/>
  <c r="BB36" i="9" s="1"/>
  <c r="AT28" i="9"/>
  <c r="AP22" i="9"/>
  <c r="AT22" i="9"/>
  <c r="AP13" i="9"/>
  <c r="AP10" i="9" s="1"/>
  <c r="AP21" i="9" s="1"/>
  <c r="AT13" i="9"/>
  <c r="AT10" i="9" s="1"/>
  <c r="AT26" i="9"/>
  <c r="AQ13" i="9"/>
  <c r="AQ10" i="9" s="1"/>
  <c r="AQ21" i="9" s="1"/>
  <c r="AU13" i="9"/>
  <c r="AU10" i="9" s="1"/>
  <c r="AU21" i="9" s="1"/>
  <c r="AQ28" i="9"/>
  <c r="AQ22" i="9"/>
  <c r="AU28" i="9"/>
  <c r="AU26" i="9"/>
  <c r="AU22" i="9"/>
  <c r="AR13" i="9"/>
  <c r="AR10" i="9" s="1"/>
  <c r="AV13" i="9"/>
  <c r="AV10" i="9" s="1"/>
  <c r="AV21" i="9" s="1"/>
  <c r="AV25" i="9"/>
  <c r="AZ26" i="9" s="1"/>
  <c r="AV24" i="9"/>
  <c r="AR28" i="9"/>
  <c r="AR22" i="9"/>
  <c r="AV28" i="9"/>
  <c r="AV22" i="9"/>
  <c r="BO23" i="9" l="1"/>
  <c r="BP23" i="9"/>
  <c r="BP27" i="9" s="1"/>
  <c r="BP29" i="9" s="1"/>
  <c r="BP31" i="9" s="1"/>
  <c r="BP32" i="9" s="1"/>
  <c r="H27" i="9"/>
  <c r="H29" i="9" s="1"/>
  <c r="H31" i="9" s="1"/>
  <c r="H32" i="9" s="1"/>
  <c r="F27" i="9"/>
  <c r="F29" i="9" s="1"/>
  <c r="F31" i="9" s="1"/>
  <c r="L27" i="9"/>
  <c r="L29" i="9" s="1"/>
  <c r="L31" i="9" s="1"/>
  <c r="L32" i="9" s="1"/>
  <c r="E27" i="9"/>
  <c r="E29" i="9" s="1"/>
  <c r="E31" i="9" s="1"/>
  <c r="E32" i="9" s="1"/>
  <c r="G27" i="9"/>
  <c r="G29" i="9" s="1"/>
  <c r="G31" i="9" s="1"/>
  <c r="G32" i="9" s="1"/>
  <c r="D27" i="9"/>
  <c r="D29" i="9" s="1"/>
  <c r="D31" i="9" s="1"/>
  <c r="BO27" i="9"/>
  <c r="BO29" i="9" s="1"/>
  <c r="BO31" i="9" s="1"/>
  <c r="BO32" i="9" s="1"/>
  <c r="C27" i="9"/>
  <c r="C29" i="9" s="1"/>
  <c r="C31" i="9" s="1"/>
  <c r="C32" i="9" s="1"/>
  <c r="BY18" i="9"/>
  <c r="AP23" i="9"/>
  <c r="AP40" i="9" s="1"/>
  <c r="BC27" i="9"/>
  <c r="BC29" i="9" s="1"/>
  <c r="BC31" i="9" s="1"/>
  <c r="BD27" i="9"/>
  <c r="BD29" i="9" s="1"/>
  <c r="BD31" i="9" s="1"/>
  <c r="BW28" i="9"/>
  <c r="AU35" i="9"/>
  <c r="BA5" i="9"/>
  <c r="BB5" i="9" s="1"/>
  <c r="BX24" i="9"/>
  <c r="BW13" i="9"/>
  <c r="BW26" i="9"/>
  <c r="BX25" i="9"/>
  <c r="BV28" i="9"/>
  <c r="AX26" i="9"/>
  <c r="BV26" i="9"/>
  <c r="BX28" i="9"/>
  <c r="BV22" i="9"/>
  <c r="BX13" i="9"/>
  <c r="BW22" i="9"/>
  <c r="BX5" i="9"/>
  <c r="BY7" i="9"/>
  <c r="BV10" i="9"/>
  <c r="BV21" i="9" s="1"/>
  <c r="BX10" i="9"/>
  <c r="BY3" i="9"/>
  <c r="BV13" i="9"/>
  <c r="BW10" i="9"/>
  <c r="BW21" i="9" s="1"/>
  <c r="BY8" i="9"/>
  <c r="AM26" i="9"/>
  <c r="BY25" i="9"/>
  <c r="BY26" i="9" s="1"/>
  <c r="BY6" i="9"/>
  <c r="AQ37" i="9"/>
  <c r="AM21" i="9"/>
  <c r="AR37" i="9"/>
  <c r="AN21" i="9"/>
  <c r="AV37" i="9"/>
  <c r="AW37" i="9"/>
  <c r="AS37" i="9"/>
  <c r="AY37" i="9"/>
  <c r="AU37" i="9"/>
  <c r="BB10" i="9"/>
  <c r="AT37" i="9"/>
  <c r="AZ37" i="9"/>
  <c r="AY21" i="9"/>
  <c r="BA20" i="9"/>
  <c r="BA33" i="9"/>
  <c r="AU23" i="9"/>
  <c r="AU40" i="9" s="1"/>
  <c r="AT21" i="9"/>
  <c r="AX21" i="9"/>
  <c r="AS21" i="9"/>
  <c r="AS35" i="9" s="1"/>
  <c r="AR21" i="9"/>
  <c r="AV35" i="9" s="1"/>
  <c r="AO27" i="9"/>
  <c r="AO29" i="9" s="1"/>
  <c r="AO31" i="9" s="1"/>
  <c r="AO32" i="9" s="1"/>
  <c r="AP27" i="9"/>
  <c r="AP29" i="9" s="1"/>
  <c r="AP31" i="9" s="1"/>
  <c r="AP32" i="9" s="1"/>
  <c r="AW21" i="9"/>
  <c r="AW23" i="9" s="1"/>
  <c r="AQ23" i="9"/>
  <c r="AQ40" i="9" s="1"/>
  <c r="AV23" i="9"/>
  <c r="AV40" i="9" s="1"/>
  <c r="AV26" i="9"/>
  <c r="J4" i="1"/>
  <c r="BA21" i="9" l="1"/>
  <c r="BY5" i="9"/>
  <c r="BX26" i="9"/>
  <c r="AY35" i="9"/>
  <c r="BC35" i="9"/>
  <c r="AX35" i="9"/>
  <c r="BX21" i="9"/>
  <c r="BV23" i="9"/>
  <c r="BV27" i="9" s="1"/>
  <c r="BV29" i="9" s="1"/>
  <c r="BV31" i="9" s="1"/>
  <c r="BV32" i="9" s="1"/>
  <c r="BW23" i="9"/>
  <c r="BW27" i="9" s="1"/>
  <c r="BW29" i="9" s="1"/>
  <c r="BW31" i="9" s="1"/>
  <c r="BW32" i="9" s="1"/>
  <c r="AQ35" i="9"/>
  <c r="AM23" i="9"/>
  <c r="AM40" i="9" s="1"/>
  <c r="AX23" i="9"/>
  <c r="AR35" i="9"/>
  <c r="AN23" i="9"/>
  <c r="AS23" i="9"/>
  <c r="AS27" i="9" s="1"/>
  <c r="AS29" i="9" s="1"/>
  <c r="AS31" i="9" s="1"/>
  <c r="AS32" i="9" s="1"/>
  <c r="BB20" i="9"/>
  <c r="AZ21" i="9"/>
  <c r="BD35" i="9" s="1"/>
  <c r="BB37" i="9"/>
  <c r="BY10" i="9"/>
  <c r="AU27" i="9"/>
  <c r="AU29" i="9" s="1"/>
  <c r="AU31" i="9" s="1"/>
  <c r="AU32" i="9" s="1"/>
  <c r="AR23" i="9"/>
  <c r="AR40" i="9" s="1"/>
  <c r="BX22" i="9"/>
  <c r="BX23" i="9" s="1"/>
  <c r="BX27" i="9" s="1"/>
  <c r="BX29" i="9" s="1"/>
  <c r="BA35" i="9"/>
  <c r="BB33" i="9"/>
  <c r="AW27" i="9"/>
  <c r="AW29" i="9" s="1"/>
  <c r="AW31" i="9" s="1"/>
  <c r="AW32" i="9" s="1"/>
  <c r="AT23" i="9"/>
  <c r="AT35" i="9"/>
  <c r="AW35" i="9"/>
  <c r="AQ27" i="9"/>
  <c r="AQ29" i="9" s="1"/>
  <c r="AQ31" i="9" s="1"/>
  <c r="AQ32" i="9" s="1"/>
  <c r="J7" i="1"/>
  <c r="AV27" i="9"/>
  <c r="AV29" i="9" s="1"/>
  <c r="AV31" i="9" s="1"/>
  <c r="AV32" i="9" s="1"/>
  <c r="AM27" i="9" l="1"/>
  <c r="AM29" i="9" s="1"/>
  <c r="AM31" i="9" s="1"/>
  <c r="AM32" i="9" s="1"/>
  <c r="BY33" i="9"/>
  <c r="BC33" i="9"/>
  <c r="AS40" i="9"/>
  <c r="BY20" i="9"/>
  <c r="BB21" i="9"/>
  <c r="BB35" i="9" s="1"/>
  <c r="AZ35" i="9"/>
  <c r="AZ23" i="9"/>
  <c r="AN40" i="9"/>
  <c r="AN27" i="9"/>
  <c r="AN29" i="9" s="1"/>
  <c r="AN31" i="9" s="1"/>
  <c r="AN32" i="9" s="1"/>
  <c r="AX40" i="9"/>
  <c r="AX27" i="9"/>
  <c r="AX29" i="9" s="1"/>
  <c r="AR27" i="9"/>
  <c r="AR29" i="9" s="1"/>
  <c r="AR31" i="9" s="1"/>
  <c r="AR32" i="9" s="1"/>
  <c r="BY19" i="9"/>
  <c r="BY21" i="9" s="1"/>
  <c r="BA23" i="9"/>
  <c r="AW40" i="9"/>
  <c r="AT40" i="9"/>
  <c r="AT27" i="9"/>
  <c r="AT29" i="9" s="1"/>
  <c r="AT31" i="9" s="1"/>
  <c r="AT32" i="9" s="1"/>
  <c r="BB23" i="9" l="1"/>
  <c r="BB22" i="9" s="1"/>
  <c r="BD33" i="9"/>
  <c r="BD32" i="9" s="1"/>
  <c r="BC32" i="9"/>
  <c r="AZ27" i="9"/>
  <c r="AZ29" i="9" s="1"/>
  <c r="AZ30" i="9" s="1"/>
  <c r="AZ31" i="9" s="1"/>
  <c r="AZ32" i="9" s="1"/>
  <c r="AZ40" i="9"/>
  <c r="BA27" i="9"/>
  <c r="BA29" i="9" s="1"/>
  <c r="BA30" i="9" s="1"/>
  <c r="BA31" i="9" s="1"/>
  <c r="BA32" i="9" s="1"/>
  <c r="BA40" i="9"/>
  <c r="AX31" i="9"/>
  <c r="AX32" i="9" s="1"/>
  <c r="BX30" i="9"/>
  <c r="BX31" i="9" s="1"/>
  <c r="BX32" i="9" s="1"/>
  <c r="BA22" i="9"/>
  <c r="BB40" i="9" l="1"/>
  <c r="BB27" i="9"/>
  <c r="BB29" i="9" s="1"/>
  <c r="BB30" i="9" s="1"/>
  <c r="BB31" i="9"/>
  <c r="BB32" i="9" s="1"/>
  <c r="BY22" i="9" l="1"/>
  <c r="BY23" i="9" s="1"/>
  <c r="BY27" i="9" s="1"/>
  <c r="BY29" i="9" s="1"/>
  <c r="AY23" i="9"/>
  <c r="AY27" i="9" s="1"/>
  <c r="AY29" i="9" s="1"/>
  <c r="AY30" i="9" s="1"/>
  <c r="BY30" i="9" s="1"/>
  <c r="AY40" i="9" l="1"/>
  <c r="BY31" i="9"/>
  <c r="BY32" i="9" s="1"/>
  <c r="AY31" i="9"/>
  <c r="AY32"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tc={CFF3BC2E-892D-4995-B558-D2A9395BF1AF}</author>
    <author>tc={E621A5CA-53E8-48F9-80F2-12D076620DD9}</author>
  </authors>
  <commentList>
    <comment ref="AP31" authorId="0" shapeId="0" xr:uid="{CFF3BC2E-892D-4995-B558-D2A9395BF1AF}">
      <text>
        <t>[Threaded comment]
Your version of Excel allows you to read this threaded comment; however, any edits to it will get removed if the file is opened in a newer version of Excel. Learn more: https://go.microsoft.com/fwlink/?linkid=870924
Comment:
    NGNI 1080.2</t>
      </text>
    </comment>
    <comment ref="AT31" authorId="1" shapeId="0" xr:uid="{E621A5CA-53E8-48F9-80F2-12D076620DD9}">
      <text>
        <t>[Threaded comment]
Your version of Excel allows you to read this threaded comment; however, any edits to it will get removed if the file is opened in a newer version of Excel. Learn more: https://go.microsoft.com/fwlink/?linkid=870924
Comment:
    NGNI 2711.5</t>
      </text>
    </comment>
  </commentList>
</comments>
</file>

<file path=xl/sharedStrings.xml><?xml version="1.0" encoding="utf-8"?>
<sst xmlns="http://schemas.openxmlformats.org/spreadsheetml/2006/main" count="472" uniqueCount="374">
  <si>
    <t>Nov. 11:  Eylea approved. Priced at $1,700/injection.</t>
  </si>
  <si>
    <t>2012: final results for Ph3 VENICE study of ZALTRAP in prostate cancer</t>
  </si>
  <si>
    <t>2012: Bayer will submit application for regulatory approval of VEGF-Trap in CRVO</t>
  </si>
  <si>
    <t>2H11: results fr Ph2 AFFIRM study of ZALTRAP plus FOLFOX in first-line mCRC</t>
  </si>
  <si>
    <t>2H11: plan to initiate another DME study of VEGF-Trap in US</t>
  </si>
  <si>
    <t>2H11: plan to submit regulatory application for ZALTRAP in second-line mCRC to FDA &amp; EMA</t>
  </si>
  <si>
    <t>Aug 20, 2011: PDUFA for VEGF-Trap for wet AMD</t>
  </si>
  <si>
    <t>mid-'11: submit sBLA for Arcalyst in gout to FDA</t>
  </si>
  <si>
    <t>mid-'11: interim analysis of Ph3 VENICE study of ZALTRAP as first-line tx for hormone-refractory prostate cancer in combo w docetaxel/prednisone</t>
  </si>
  <si>
    <t>1H11: plan to submit application for marketing approval of VEGF-Trap in CRVO in the US</t>
  </si>
  <si>
    <t>1H11: Bayer will submit application for VEGF-Trap in EU</t>
  </si>
  <si>
    <t>Apr 2011: announced positive Ph3 VELOUR study of ZALTRAP plus FOLFIRI in second-line mCRC</t>
  </si>
  <si>
    <t>Apr 2011: Bayer initiated Ph3 VIVID-DME study ex-US</t>
  </si>
  <si>
    <t>Apr 2011: BLA for VEGF-Trap accepted and granted Priority Review</t>
  </si>
  <si>
    <t>Apr 2011: announced positive GALILEO study of VEGF-Trap inCRVO (Bayer-led)</t>
  </si>
  <si>
    <t>Feb 2011: BLA for VEGF-Trap submitted to FDA</t>
  </si>
  <si>
    <t>Feb 2011: announced positive results of PRE-SURGE 2 and RE-SURGE of Arcalyst in gout</t>
  </si>
  <si>
    <t>Dec 2010: announced positive COPERNICUS study of VEGF-Trap for CRVO</t>
  </si>
  <si>
    <t>Nov 2010: announced positive VIEW 1 &amp; 2 results of VEGF-Trap in wet AMD</t>
  </si>
  <si>
    <t>Jun 2010: announced positive results of PRE-SURGE 1 of Arcalyst in gout prevention</t>
  </si>
  <si>
    <t>Sanofi</t>
  </si>
  <si>
    <t>NGF</t>
  </si>
  <si>
    <t>I (on hold)</t>
  </si>
  <si>
    <t>Pain</t>
  </si>
  <si>
    <t>fasinumab (REGN475)</t>
  </si>
  <si>
    <t>RA</t>
  </si>
  <si>
    <t>EV</t>
  </si>
  <si>
    <t>Phase</t>
  </si>
  <si>
    <t>Q222</t>
  </si>
  <si>
    <t>Debt</t>
  </si>
  <si>
    <t>Antibody</t>
  </si>
  <si>
    <t>AMD</t>
  </si>
  <si>
    <t>Eylea</t>
  </si>
  <si>
    <t>Cash</t>
  </si>
  <si>
    <t>Dupixent (dupilumab)</t>
  </si>
  <si>
    <t>MC</t>
  </si>
  <si>
    <t>Colorectal cancer</t>
  </si>
  <si>
    <t>Zaltrap</t>
  </si>
  <si>
    <t>Shares</t>
  </si>
  <si>
    <t>IL-1</t>
  </si>
  <si>
    <t>CAPS</t>
  </si>
  <si>
    <t>Arcalyst (rilonacept)</t>
  </si>
  <si>
    <t>Price</t>
  </si>
  <si>
    <t>IP</t>
  </si>
  <si>
    <t>Mechanism</t>
  </si>
  <si>
    <t>Economics</t>
  </si>
  <si>
    <t>Competition</t>
  </si>
  <si>
    <t>Approved</t>
  </si>
  <si>
    <t>Indication</t>
  </si>
  <si>
    <t>Name</t>
  </si>
  <si>
    <t>sBLA expected to be filed in 2011.</t>
  </si>
  <si>
    <t>Would be used when patients start on urate inhibitors, but just be used short term.  REGN estimates ~750K/year in US.</t>
  </si>
  <si>
    <t>Drug appears to reduce gout flares, which occur even with urate inhibitors.</t>
  </si>
  <si>
    <t># gout flares</t>
  </si>
  <si>
    <t>160 mg Artcalyst</t>
  </si>
  <si>
    <t>80 mg Arcalyst</t>
  </si>
  <si>
    <t>PBO</t>
  </si>
  <si>
    <t>16 week study, Arcalyst dosed SC.</t>
  </si>
  <si>
    <t>Phase 3 gout study (n = 248)</t>
  </si>
  <si>
    <t>The senior investigators in this study are Raphaela Goldbach-Mansky, M.D., Staff Clinician with NIAMS, and Daniel Kastner, M.D., Ph.D., Chief, Genetics and Genomics Branch with NIAMS</t>
  </si>
  <si>
    <t xml:space="preserve">the study was conducted with the National Institute of Arthriits and Musculoskeletal and Skin Diseases </t>
  </si>
  <si>
    <t xml:space="preserve">this includes a sizable reduction in daily patient diary scores and acute phase reactant levels </t>
  </si>
  <si>
    <t>all 4 patients enrolled to date experienced a positive response to a subcutaneous loading dose regimen</t>
  </si>
  <si>
    <t>(a family of autoinflammitory diseases)</t>
  </si>
  <si>
    <t xml:space="preserve">preliminary results from once weekly dosing of interleukin-1 trap in patients with cias1 associated periodic syndrome (caps) </t>
  </si>
  <si>
    <t>6/10/2005 - Phase II results</t>
  </si>
  <si>
    <t>Clinical Trials</t>
  </si>
  <si>
    <t>Once attached to the trap, IL1 cannot bind to the cell surface and is flushed from the body together with the trap</t>
  </si>
  <si>
    <t>The Il 1 trap is designed to attach to and neutralize IL1 in the bloodstream before it can generate signals that can trigger disease activity</t>
  </si>
  <si>
    <t>In excess it is harmful and has been linked to a variety of inflammitory diseases</t>
  </si>
  <si>
    <t>acts as a messenger to help regulate immune and inflammitory responses by attaching to cell surface receptors in cells that participate in the immune system</t>
  </si>
  <si>
    <t>IL1 is a Protein secreted naturally by the body</t>
  </si>
  <si>
    <t>IL-1 receptor.</t>
  </si>
  <si>
    <t>1000 patients WW</t>
  </si>
  <si>
    <t>Gout and CAPS (CIAS1-associated periodic syndrome, Cryopyrin-Associated Periodic Syndromes).</t>
  </si>
  <si>
    <t>rilonacept</t>
  </si>
  <si>
    <t>Generic Name</t>
  </si>
  <si>
    <t>Arcalyst, fka IL-1 TRAP</t>
  </si>
  <si>
    <t>Brand Name</t>
  </si>
  <si>
    <t>Main</t>
  </si>
  <si>
    <t>additional patients are now being tested at the 4mg level</t>
  </si>
  <si>
    <t>maximum tolerated dose has not yet been reached, and no evidence of ocular inflamation</t>
  </si>
  <si>
    <t>patients received a single dose of VEGF trap at levels up to 2mg intravitreally</t>
  </si>
  <si>
    <t>patients demonstrated rapid, substantial and prolonged (up to 6 week) reductions in retinal thickness as measured by optical coherene topography. Lucentis only stabilizes retinal lesions.</t>
  </si>
  <si>
    <t xml:space="preserve">18 patients with the neovascular form of wet amd </t>
  </si>
  <si>
    <t xml:space="preserve">  This compares favorably with 0.5 letter and 2.0 letter improvement at 52 weeks for 0.3mg and 0.5mg of Lucentis in SAILOR.</t>
  </si>
  <si>
    <t>5.4 letter improvement and 9.0 letter improvement at 52 weeks at 0.5mg and 2.0mg.</t>
  </si>
  <si>
    <t>5.9 letter improvement.</t>
  </si>
  <si>
    <t>Phase II in AMD - March 2007</t>
  </si>
  <si>
    <t>97% did not require additional dose at week 16.</t>
  </si>
  <si>
    <t>Phase II in AMD - monthly dosing for 12 weeks - ARVO 2008 32-week update</t>
  </si>
  <si>
    <r>
      <t xml:space="preserve">An editorial by Rosenfeld in </t>
    </r>
    <r>
      <rPr>
        <i/>
        <sz val="10"/>
        <rFont val="Arial"/>
        <family val="2"/>
      </rPr>
      <t>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1966) suggested that even in the absence of long term safety data there is no reason not to use Avastin, and challenges that healthcare rpvodiers will need to justify uise of the more expensive Lucentis.</t>
    </r>
  </si>
  <si>
    <t>Average # of injections/ year is &lt;7.</t>
  </si>
  <si>
    <t>Given as needed, Lucentis afforded improvement of 6.8 letters, compared to 5.9 for Avastin (p = 0.45).</t>
  </si>
  <si>
    <t>Dosing as needed was equivalent to monthly dosing for both.</t>
  </si>
  <si>
    <t>No stat sig differecnes in AEs</t>
  </si>
  <si>
    <t>Monthly, 2 were equivalent in visual acquity.</t>
  </si>
  <si>
    <t>Dosing was monthly or as needed, primary endpoint was change in visual acquity at 1 year.</t>
  </si>
  <si>
    <t>n = 1208, single blind, non-inferiority study</t>
  </si>
  <si>
    <r>
      <rPr>
        <i/>
        <sz val="10"/>
        <rFont val="Arial"/>
        <family val="2"/>
      </rPr>
      <t>Martin</t>
    </r>
    <r>
      <rPr>
        <sz val="10"/>
        <rFont val="Arial"/>
        <family val="2"/>
      </rPr>
      <t xml:space="preserve"> et al.</t>
    </r>
    <r>
      <rPr>
        <i/>
        <sz val="10"/>
        <rFont val="Arial"/>
        <family val="2"/>
      </rPr>
      <t>, NEJM</t>
    </r>
    <r>
      <rPr>
        <sz val="10"/>
        <rFont val="Arial"/>
        <family val="2"/>
      </rPr>
      <t xml:space="preserve">, </t>
    </r>
    <r>
      <rPr>
        <b/>
        <sz val="10"/>
        <rFont val="Arial"/>
        <family val="2"/>
      </rPr>
      <t>2011</t>
    </r>
    <r>
      <rPr>
        <sz val="10"/>
        <rFont val="Arial"/>
        <family val="2"/>
      </rPr>
      <t xml:space="preserve">, </t>
    </r>
    <r>
      <rPr>
        <i/>
        <sz val="10"/>
        <rFont val="Arial"/>
        <family val="2"/>
      </rPr>
      <t>364</t>
    </r>
    <r>
      <rPr>
        <sz val="10"/>
        <rFont val="Arial"/>
        <family val="2"/>
      </rPr>
      <t>, 1897.</t>
    </r>
  </si>
  <si>
    <t>CATT study, Lucentis comparison with Avastin</t>
  </si>
  <si>
    <t>Aug 2011, PDUFA date extended to Nov. 18, 2011, based on responses to questions on CMC section tha FDA considered major amendements.</t>
  </si>
  <si>
    <t>June 2011, Ad Panel voted unanimously (10 to 0) to approve Eylea for wet AMD at the 2 mg/q8 week dose, following 3 initial doses given q4 weeks.</t>
  </si>
  <si>
    <t>Filed BLA Feb 2011, and receive priority review.  PDUFA date of Aug. 28, 2011.</t>
  </si>
  <si>
    <t>FDA action</t>
  </si>
  <si>
    <r>
      <t xml:space="preserve">% gaining </t>
    </r>
    <r>
      <rPr>
        <u/>
        <sz val="10"/>
        <rFont val="Arial"/>
        <family val="2"/>
      </rPr>
      <t>&gt;</t>
    </r>
    <r>
      <rPr>
        <sz val="10"/>
        <rFont val="Arial"/>
        <family val="2"/>
      </rPr>
      <t>15 letters</t>
    </r>
  </si>
  <si>
    <t>* p = NS vs luc</t>
  </si>
  <si>
    <t>8.9*</t>
  </si>
  <si>
    <t>9.7*</t>
  </si>
  <si>
    <t>7.6*</t>
  </si>
  <si>
    <t>Change vis acquity 1 yr</t>
  </si>
  <si>
    <t>Vision maint at 1 yr</t>
  </si>
  <si>
    <t>ETDRS BCVA</t>
  </si>
  <si>
    <t>Female</t>
  </si>
  <si>
    <t>2mg/q8wk Eyl</t>
  </si>
  <si>
    <t>Age</t>
  </si>
  <si>
    <t>0.5mg/q4wk Eyl</t>
  </si>
  <si>
    <t>n</t>
  </si>
  <si>
    <t>2mg/q4wk Eyl</t>
  </si>
  <si>
    <t>Luc</t>
  </si>
  <si>
    <t xml:space="preserve">Luc: </t>
  </si>
  <si>
    <t>% completing 52 weeks</t>
  </si>
  <si>
    <t>Secondary endpoint was mean change in BCVA.</t>
  </si>
  <si>
    <t>Primary endpoint was vision maintenance at 1 year, measured by letters readable.</t>
  </si>
  <si>
    <t>4 groups.  Eylea 2 mg/q4 weeks, 0.5 mg/q4 weeks, 2 mg/8 weeks, Lucentis 0.5 mg/q4 weeks.</t>
  </si>
  <si>
    <t>n = 1240, double blinded, radomized, Lucentis control</t>
  </si>
  <si>
    <t xml:space="preserve">Phase 3 - VIEW-2 </t>
  </si>
  <si>
    <t>7.9*</t>
  </si>
  <si>
    <t>6.9*</t>
  </si>
  <si>
    <t>Female %</t>
  </si>
  <si>
    <t>n = 1217, double blinded, radomized, Lucentis control</t>
  </si>
  <si>
    <t xml:space="preserve">Phase 3 - VIEW-1 </t>
  </si>
  <si>
    <t>Phase III head-to-head vs Lucentis in 1H07?</t>
  </si>
  <si>
    <t>Uses a direct formulation specifically designed for direct injection into a patients eye</t>
  </si>
  <si>
    <t>Administration</t>
  </si>
  <si>
    <t>Bayer 50/50 outside US, all Regeneron in the US.</t>
  </si>
  <si>
    <t>Lucentis, Avastin, Macugen.</t>
  </si>
  <si>
    <t>VEGF A/B trap.  Intraocular half life estimated to be 65% longer than Lucentis, but on par with Avastin.</t>
  </si>
  <si>
    <t xml:space="preserve">aflibercept </t>
  </si>
  <si>
    <t>Did not improve OS</t>
  </si>
  <si>
    <t>n = 913, in combination with Docetaxel</t>
  </si>
  <si>
    <t>Phase 3, 2nd line NSCLC</t>
  </si>
  <si>
    <t>Not clear why this drug would garner much market share</t>
  </si>
  <si>
    <t>Expect BLA filing by end of year.</t>
  </si>
  <si>
    <t>Median OS (mths)</t>
  </si>
  <si>
    <t>Median PFS (mths)</t>
  </si>
  <si>
    <t>ORR</t>
  </si>
  <si>
    <t>ZAL + FOL</t>
  </si>
  <si>
    <t>FOLFIRI</t>
  </si>
  <si>
    <t>AV + Folfox</t>
  </si>
  <si>
    <t>FOLFOX</t>
  </si>
  <si>
    <t>Velour</t>
  </si>
  <si>
    <t>ECOG 3200</t>
  </si>
  <si>
    <t>Phase 3 Refractory metastatic colorectal cancer (VELOUR)'</t>
  </si>
  <si>
    <t>IV</t>
  </si>
  <si>
    <t>50/50 with SNY</t>
  </si>
  <si>
    <t xml:space="preserve">VEGF A/B trap. </t>
  </si>
  <si>
    <t>Abstract: Background: Vascular endothelial growth factor (VEGF) is an important target in MCRC. Aflibercept (VEGF Trap) is a recombinant fusion protein of the human VEGFR1 and R2 extracellular domains and the Fc portion of human IgG1. Methods: This is an open-label, multi-centre, 2-stage phase II trial in pts with MCRC. Eligibility criteria: &gt;1 prior systemic therapy for MCRC, ECOG &lt; 2. Exclusion criteria: prior treatment with a VEGF or VEGFR inhibitor other than bevacizumab (BEV). IV VEGF Trap (4 mg/kg) was administered every 2 weeks (1 cycle). The primary endpoint was RR and 4-month PFS. Pts were enrolled in two cohorts: BEV naïve and prior BEV. Planned sample size in each cohort was 40 pts. Results: In total, 51 pts were enrolled (BEV naive = 24 pts; prior BEV = 27; median age=59, range 39-80; M:F = 30:21; ECOG 0:1:2 = 21:27:3; median # prior regimens for MCRC = 2, range 1-6). After 287 cycles of therapy, most common treatment adverse events (TAEs) of any grade were (#pts): fatigue (40), hypertension (28), proteinuria (25), headache (22), voice alteration (16), anorexia (12), and joint pain (9). Grade 3+ TAEs in &gt; 1 pt were (#pts): hypertension (4), proteinuria (4), fatigue (3), headache (3). One pt died on treatment due to PD. In the BEV naïve cohort (n=24), 4 pts were inevaluable: 7 pts maintained 4-mo PFS, disease control rate (PR + SD &gt; 16 wks) = 29% [95% CI 13-51%], and median PFS was 2.0 mo [95% CI 1.7- not reached(NR)]. In the prior BEV cohort (n=27), 1 pt was inevaluable. There was 1 confirmed PR and 7 pts maintained 4-mo PFS, disease control rate 30% [95% CI 14-50%], and median PFS was 3.4 mo [95% CI 1.9-NR]. Conclusions: Aflibercept (VEGF Trap) is well tolerated in pretreated pts with MCRC. Single agent activity has been observed in the prior BEV cohort, and accrual is ongoing in this stratum. Based on the study results, studies of aflibercept as single agent or in combination should be explored.</t>
  </si>
  <si>
    <t xml:space="preserve">Phase II trial of aflibercept (VEGF Trap) in previously treated patients with metastatic colorectal cancer (MCRC): A PMH phase II consortium trial. </t>
  </si>
  <si>
    <t>n=215 failed to demonstrate &gt;5% RR with ORR of 4.6% to 0.9%.</t>
  </si>
  <si>
    <t>Phase II mOC - Failed</t>
  </si>
  <si>
    <t xml:space="preserve">32% RR update? </t>
  </si>
  <si>
    <t>30% RR, 3% 6-month PFS vs 43% with Avastin. Lower PFS was a function of patient advancement.</t>
  </si>
  <si>
    <t>Phase II GBM - AAN 2008, ASCO 2008</t>
  </si>
  <si>
    <t>Final data expected in 1H09 and may support approval - Birchenough.</t>
  </si>
  <si>
    <t>77.5% response rate, 80% rate of doubling in time to paracentesis in symptomatic malignant ascites.</t>
  </si>
  <si>
    <t>Phase II malignant ascites</t>
  </si>
  <si>
    <t>Phase III mPC n=650 "VANILLA"? - terminated</t>
  </si>
  <si>
    <t>Phase III mCRC 2L n=1200 - IFL combination - 2010 data? "VELOUR"?</t>
  </si>
  <si>
    <t>Phase III mNSCLC 2L n=900 - Taxotere combination - 2010 data? "VITAL"?</t>
  </si>
  <si>
    <t>Phase III HRPC n=1200 - Taxotere combination - 2009 data? "VENICE"?</t>
  </si>
  <si>
    <t>WW collaboration with SNY who pays 100% of expenses. REGN repays 50% of dev costs paid by SNY out of VEGF trap profits.</t>
  </si>
  <si>
    <t>VEGF and PLGF binder.</t>
  </si>
  <si>
    <t>Cancer</t>
  </si>
  <si>
    <t>afilbercept</t>
  </si>
  <si>
    <t>ZALTRAP</t>
  </si>
  <si>
    <t>at highest dose tested (at the time), in 11 pts, a single dose achieved ~40% max mean add'l reduction of LDL fr baseline</t>
  </si>
  <si>
    <t>dose-escalating, randomized, double-blind, on pts on stalbe doses of statins whose LDL levels were &gt;100 mg/dL</t>
  </si>
  <si>
    <t>Phase 1 in hyperlipidemic pts (familial &amp; non-familial hypercholesterolemia) -- July 2010 interim analyses</t>
  </si>
  <si>
    <t>at highest SC dose, single dose achieved &gt;60% mas mean reduction of LDL fr baseline that lasted for &gt;2 wks</t>
  </si>
  <si>
    <t>at highest IV dose, single dose achieved &gt;60% max mean reduction of LDL fr baseline that lasted for &gt;1 mo</t>
  </si>
  <si>
    <t>July 2010 further data presented</t>
  </si>
  <si>
    <t>dose-escalating, randomized, double-blind, each dosing cohort consisted of 6 tx and 2 placebo pts</t>
  </si>
  <si>
    <t>Phase 1 in healthy volunteers -- May 2010 announced interim analyses of Ph1 healthy volunteer study</t>
  </si>
  <si>
    <t>Phase 2 in hypercholesterolemia pts in combo w statin tx -- started in early 2011</t>
  </si>
  <si>
    <t>IV, SC</t>
  </si>
  <si>
    <t>statins</t>
  </si>
  <si>
    <t>reduce LDL</t>
  </si>
  <si>
    <t>fully human monoclonal antibody against PCSK9 antibody (proprotein convertase subtilisin/kexin type 9)</t>
  </si>
  <si>
    <t>REGN727</t>
  </si>
  <si>
    <t>dose-related reductions in biomarkers of inflammation</t>
  </si>
  <si>
    <t>Phase 1 data from EULAR 2010 and ACR 2010</t>
  </si>
  <si>
    <t>Phase 2 in ankylosing spondylitis -- initial results expected mid-2011</t>
  </si>
  <si>
    <t>Phase 2/3 in RA -- initial results expected mid-2011</t>
  </si>
  <si>
    <t>Actemra (IL-6R antibody tocilizumab fr DNA), TNFs, etc</t>
  </si>
  <si>
    <t>RA, ankylosing spondylitis</t>
  </si>
  <si>
    <t>fully human monoclonal antibody against IL-R6</t>
  </si>
  <si>
    <t>REGN88</t>
  </si>
  <si>
    <t>Phase 1 in asthma</t>
  </si>
  <si>
    <t>Phase 2 in eosinophilic asthma</t>
  </si>
  <si>
    <t>allergic and immune conditions</t>
  </si>
  <si>
    <t>IR-4R antibody</t>
  </si>
  <si>
    <t>Dupixent, fka REGN668</t>
  </si>
  <si>
    <t>dupilumab</t>
  </si>
  <si>
    <t>Q120</t>
  </si>
  <si>
    <t>Q220</t>
  </si>
  <si>
    <t>Q320</t>
  </si>
  <si>
    <t>Q420</t>
  </si>
  <si>
    <t>Q121</t>
  </si>
  <si>
    <t>Q221</t>
  </si>
  <si>
    <t>Q321</t>
  </si>
  <si>
    <t>Q421</t>
  </si>
  <si>
    <t>Q122</t>
  </si>
  <si>
    <t>Q322</t>
  </si>
  <si>
    <t>Q422</t>
  </si>
  <si>
    <t>Libtayo</t>
  </si>
  <si>
    <t>Praluent</t>
  </si>
  <si>
    <t>Evkeeza</t>
  </si>
  <si>
    <t>Bayer</t>
  </si>
  <si>
    <t>Roche</t>
  </si>
  <si>
    <t>Other</t>
  </si>
  <si>
    <t>Revenue</t>
  </si>
  <si>
    <t>COGS</t>
  </si>
  <si>
    <t>Gross Margin</t>
  </si>
  <si>
    <t>R&amp;D</t>
  </si>
  <si>
    <t>SG&amp;A</t>
  </si>
  <si>
    <t>OpEx</t>
  </si>
  <si>
    <t>OpInc</t>
  </si>
  <si>
    <t>Interest Expense</t>
  </si>
  <si>
    <t>Pretax Income</t>
  </si>
  <si>
    <t>Taxes</t>
  </si>
  <si>
    <t>Net Income</t>
  </si>
  <si>
    <t>EPS</t>
  </si>
  <si>
    <t xml:space="preserve">  P&amp;L Share</t>
  </si>
  <si>
    <t xml:space="preserve">  Reimbursement</t>
  </si>
  <si>
    <t xml:space="preserve">  Other</t>
  </si>
  <si>
    <t xml:space="preserve">  Dupixent</t>
  </si>
  <si>
    <t xml:space="preserve">  Praluent</t>
  </si>
  <si>
    <t xml:space="preserve">  Kevzara</t>
  </si>
  <si>
    <t>Arcalyst</t>
  </si>
  <si>
    <t>mCRC</t>
  </si>
  <si>
    <t>SNY</t>
  </si>
  <si>
    <t>IL-4</t>
  </si>
  <si>
    <t>Asthma, AD</t>
  </si>
  <si>
    <t>Libtayo (cemiplimab)</t>
  </si>
  <si>
    <t>PD-1</t>
  </si>
  <si>
    <t>VEGF</t>
  </si>
  <si>
    <t>100%?</t>
  </si>
  <si>
    <t>pozelimab</t>
  </si>
  <si>
    <t>Revenue y/y</t>
  </si>
  <si>
    <t>Sanofi y/y</t>
  </si>
  <si>
    <t>Dupixent y/y</t>
  </si>
  <si>
    <t>Q123</t>
  </si>
  <si>
    <t>Q223</t>
  </si>
  <si>
    <t>Q323</t>
  </si>
  <si>
    <t>Q423</t>
  </si>
  <si>
    <t>Inmazeb/REGEN-COV</t>
  </si>
  <si>
    <t>Eylea y/y</t>
  </si>
  <si>
    <t>Q119</t>
  </si>
  <si>
    <t>Q219</t>
  </si>
  <si>
    <t>Q319</t>
  </si>
  <si>
    <t>Q419</t>
  </si>
  <si>
    <t>Praluent (alirocumab)</t>
  </si>
  <si>
    <t>Hypercholesterolemia</t>
  </si>
  <si>
    <t>PCSK9</t>
  </si>
  <si>
    <t>Kevzara (sarilumab)</t>
  </si>
  <si>
    <t>IL-6R</t>
  </si>
  <si>
    <t>BAY</t>
  </si>
  <si>
    <t>NSCLC</t>
  </si>
  <si>
    <t>Kevzara</t>
  </si>
  <si>
    <t>CHAPLE</t>
  </si>
  <si>
    <t>C5</t>
  </si>
  <si>
    <t>Filed</t>
  </si>
  <si>
    <t>fianlimab</t>
  </si>
  <si>
    <t>odronextamab</t>
  </si>
  <si>
    <t>CD20xCD3</t>
  </si>
  <si>
    <t>III</t>
  </si>
  <si>
    <t>DLBCL</t>
  </si>
  <si>
    <t>linvoseltamab</t>
  </si>
  <si>
    <t>BCMAxCD3</t>
  </si>
  <si>
    <t>MM</t>
  </si>
  <si>
    <t>Zaltrap (aflibercept)</t>
  </si>
  <si>
    <t>Eylea (aflibercept)</t>
  </si>
  <si>
    <t>mibavademab</t>
  </si>
  <si>
    <t>Lipodystrophy</t>
  </si>
  <si>
    <t>LEPR agonist</t>
  </si>
  <si>
    <t>garetosmab</t>
  </si>
  <si>
    <t>FOP</t>
  </si>
  <si>
    <t>Activin A</t>
  </si>
  <si>
    <t>Evkeeza (evinacumab)</t>
  </si>
  <si>
    <t>ANGPTL3</t>
  </si>
  <si>
    <t>REGN7508</t>
  </si>
  <si>
    <t>Thrombosis</t>
  </si>
  <si>
    <t>Factor XI</t>
  </si>
  <si>
    <t>REGN7999</t>
  </si>
  <si>
    <t>Iron Overload</t>
  </si>
  <si>
    <t>TMPRSS6</t>
  </si>
  <si>
    <t>NTLA-2001</t>
  </si>
  <si>
    <t>NTLA</t>
  </si>
  <si>
    <t>CRISPR</t>
  </si>
  <si>
    <t>ATTR</t>
  </si>
  <si>
    <t>REGN7257</t>
  </si>
  <si>
    <t>Aplastic Anemia</t>
  </si>
  <si>
    <t>IL-2Rgamma</t>
  </si>
  <si>
    <t>REGN7075</t>
  </si>
  <si>
    <t>EGFR/CD28</t>
  </si>
  <si>
    <t>REGN6569</t>
  </si>
  <si>
    <t>GITR</t>
  </si>
  <si>
    <t>REGN5093</t>
  </si>
  <si>
    <t>MET</t>
  </si>
  <si>
    <t>REGN4336</t>
  </si>
  <si>
    <t>Prostate Cancer</t>
  </si>
  <si>
    <t>PSMAxCD3</t>
  </si>
  <si>
    <t>AR</t>
  </si>
  <si>
    <t>Inventories</t>
  </si>
  <si>
    <t>Prepaids</t>
  </si>
  <si>
    <t>PP&amp;E</t>
  </si>
  <si>
    <t>Goodwill</t>
  </si>
  <si>
    <t>ONCA</t>
  </si>
  <si>
    <t>Assets</t>
  </si>
  <si>
    <t>AP</t>
  </si>
  <si>
    <t>AE</t>
  </si>
  <si>
    <t>DR</t>
  </si>
  <si>
    <t>Leases</t>
  </si>
  <si>
    <t>L+SE</t>
  </si>
  <si>
    <t>SE</t>
  </si>
  <si>
    <t>ONCL</t>
  </si>
  <si>
    <t>CFO: Chris Fenimore</t>
  </si>
  <si>
    <t>Eylea HD</t>
  </si>
  <si>
    <t>Q124</t>
  </si>
  <si>
    <t>Q224</t>
  </si>
  <si>
    <t>Q324</t>
  </si>
  <si>
    <t>Q424</t>
  </si>
  <si>
    <t>Q125</t>
  </si>
  <si>
    <t>Q225</t>
  </si>
  <si>
    <t>Q325</t>
  </si>
  <si>
    <t>Q425</t>
  </si>
  <si>
    <t>Q118</t>
  </si>
  <si>
    <t>Q218</t>
  </si>
  <si>
    <t>Q318</t>
  </si>
  <si>
    <t>Q418</t>
  </si>
  <si>
    <t>Q117</t>
  </si>
  <si>
    <t>Q217</t>
  </si>
  <si>
    <t>Q317</t>
  </si>
  <si>
    <t>Q417</t>
  </si>
  <si>
    <t>Q116</t>
  </si>
  <si>
    <t>Q216</t>
  </si>
  <si>
    <t>Q316</t>
  </si>
  <si>
    <t>Q416</t>
  </si>
  <si>
    <t>Q115</t>
  </si>
  <si>
    <t>Q215</t>
  </si>
  <si>
    <t>Q315</t>
  </si>
  <si>
    <t>Q415</t>
  </si>
  <si>
    <t>Q114</t>
  </si>
  <si>
    <t>Q214</t>
  </si>
  <si>
    <t>Q314</t>
  </si>
  <si>
    <t>Q414</t>
  </si>
  <si>
    <t>Q113</t>
  </si>
  <si>
    <t>Q213</t>
  </si>
  <si>
    <t>Q313</t>
  </si>
  <si>
    <t>Q413</t>
  </si>
  <si>
    <t>Q112</t>
  </si>
  <si>
    <t>Q212</t>
  </si>
  <si>
    <t>Q312</t>
  </si>
  <si>
    <t>Q412</t>
  </si>
  <si>
    <t>Q111</t>
  </si>
  <si>
    <t>Q211</t>
  </si>
  <si>
    <t>Q311</t>
  </si>
  <si>
    <t>Q411</t>
  </si>
  <si>
    <t>Founded: 1988</t>
  </si>
  <si>
    <t>IPO: 1991</t>
  </si>
  <si>
    <t>Eylea ROW</t>
  </si>
  <si>
    <t>2,689</t>
  </si>
  <si>
    <t>2,897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</si>
</sst>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0" x14ac:knownFonts="1">
    <font>
      <sz val="10"/>
      <color theme="1"/>
      <name val="Arial"/>
      <family val="2"/>
    </font>
    <font>
      <b/>
      <sz val="10"/>
      <color theme="1"/>
      <name val="Arial"/>
      <family val="2"/>
    </font>
    <font>
      <sz val="10"/>
      <name val="Arial"/>
      <family val="2"/>
    </font>
    <font>
      <i/>
      <sz val="10"/>
      <name val="Arial"/>
      <family val="2"/>
    </font>
    <font>
      <u/>
      <sz val="10"/>
      <color indexed="12"/>
      <name val="Arial"/>
      <family val="2"/>
    </font>
    <font>
      <b/>
      <u/>
      <sz val="10"/>
      <name val="Arial"/>
      <family val="2"/>
    </font>
    <font>
      <sz val="8"/>
      <name val="Verdana"/>
      <family val="2"/>
    </font>
    <font>
      <b/>
      <sz val="10"/>
      <name val="Arial"/>
      <family val="2"/>
    </font>
    <font>
      <u/>
      <sz val="10"/>
      <name val="Arial"/>
      <family val="2"/>
    </font>
    <font>
      <sz val="8"/>
      <name val="Arial"/>
      <family val="2"/>
    </font>
  </fonts>
  <fills count="4">
    <fill>
      <patternFill patternType="none"/>
    </fill>
    <fill>
      <patternFill patternType="gray125"/>
    </fill>
    <fill>
      <patternFill patternType="solid">
        <fgColor indexed="9"/>
        <bgColor indexed="64"/>
      </patternFill>
    </fill>
    <fill>
      <patternFill patternType="solid">
        <fgColor rgb="FFFFFF00"/>
        <bgColor indexed="64"/>
      </patternFill>
    </fill>
  </fills>
  <borders count="12">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4" fillId="0" borderId="0" applyNumberFormat="0" applyFill="0" applyBorder="0" applyAlignment="0" applyProtection="0">
      <alignment vertical="top"/>
      <protection locked="0"/>
    </xf>
    <xf numFmtId="0" fontId="2" fillId="0" borderId="0"/>
  </cellStyleXfs>
  <cellXfs count="57">
    <xf numFmtId="0" fontId="0" fillId="0" borderId="0" xfId="0"/>
    <xf numFmtId="3" fontId="0" fillId="0" borderId="0" xfId="0" applyNumberFormat="1"/>
    <xf numFmtId="0" fontId="2" fillId="2" borderId="0" xfId="2" applyFill="1"/>
    <xf numFmtId="3" fontId="2" fillId="2" borderId="0" xfId="2" applyNumberFormat="1" applyFill="1"/>
    <xf numFmtId="0" fontId="2" fillId="2" borderId="0" xfId="2" applyFill="1" applyAlignment="1">
      <alignment horizontal="right"/>
    </xf>
    <xf numFmtId="0" fontId="5" fillId="2" borderId="0" xfId="2" applyFont="1" applyFill="1"/>
    <xf numFmtId="0" fontId="6" fillId="2" borderId="0" xfId="2" applyFont="1" applyFill="1"/>
    <xf numFmtId="14" fontId="5" fillId="2" borderId="0" xfId="2" applyNumberFormat="1" applyFont="1" applyFill="1"/>
    <xf numFmtId="0" fontId="4" fillId="2" borderId="0" xfId="1" applyFill="1" applyAlignment="1" applyProtection="1"/>
    <xf numFmtId="0" fontId="2" fillId="2" borderId="0" xfId="2" applyFill="1" applyAlignment="1">
      <alignment horizontal="center"/>
    </xf>
    <xf numFmtId="9" fontId="2" fillId="2" borderId="0" xfId="2" applyNumberFormat="1" applyFill="1" applyAlignment="1">
      <alignment horizontal="center"/>
    </xf>
    <xf numFmtId="9" fontId="2" fillId="2" borderId="0" xfId="2" applyNumberFormat="1" applyFill="1"/>
    <xf numFmtId="0" fontId="2" fillId="0" borderId="0" xfId="2"/>
    <xf numFmtId="0" fontId="5" fillId="0" borderId="0" xfId="2" applyFont="1"/>
    <xf numFmtId="164" fontId="2" fillId="0" borderId="0" xfId="2" applyNumberFormat="1"/>
    <xf numFmtId="0" fontId="9" fillId="2" borderId="0" xfId="2" applyFont="1" applyFill="1"/>
    <xf numFmtId="0" fontId="4" fillId="0" borderId="0" xfId="1" applyAlignment="1" applyProtection="1"/>
    <xf numFmtId="0" fontId="0" fillId="0" borderId="0" xfId="0" applyAlignment="1">
      <alignment horizontal="right"/>
    </xf>
    <xf numFmtId="3" fontId="0" fillId="0" borderId="0" xfId="0" applyNumberFormat="1" applyAlignment="1">
      <alignment horizontal="right"/>
    </xf>
    <xf numFmtId="4" fontId="0" fillId="0" borderId="0" xfId="0" applyNumberFormat="1" applyAlignment="1">
      <alignment horizontal="right"/>
    </xf>
    <xf numFmtId="3" fontId="1" fillId="0" borderId="0" xfId="0" applyNumberFormat="1" applyFont="1"/>
    <xf numFmtId="3" fontId="1" fillId="0" borderId="0" xfId="0" applyNumberFormat="1" applyFont="1" applyAlignment="1">
      <alignment horizontal="right"/>
    </xf>
    <xf numFmtId="0" fontId="0" fillId="0" borderId="8" xfId="0" applyBorder="1"/>
    <xf numFmtId="0" fontId="0" fillId="0" borderId="7" xfId="0" applyBorder="1" applyAlignment="1">
      <alignment horizontal="center"/>
    </xf>
    <xf numFmtId="0" fontId="0" fillId="0" borderId="6" xfId="0" applyBorder="1" applyAlignment="1">
      <alignment horizontal="center"/>
    </xf>
    <xf numFmtId="4" fontId="0" fillId="0" borderId="0" xfId="0" applyNumberFormat="1"/>
    <xf numFmtId="0" fontId="2" fillId="0" borderId="0" xfId="0" applyFont="1" applyAlignment="1">
      <alignment horizontal="right"/>
    </xf>
    <xf numFmtId="0" fontId="4" fillId="0" borderId="11" xfId="1" applyFill="1" applyBorder="1" applyAlignment="1" applyProtection="1"/>
    <xf numFmtId="0" fontId="0" fillId="0" borderId="10" xfId="0" applyBorder="1" applyAlignment="1">
      <alignment horizontal="center"/>
    </xf>
    <xf numFmtId="17" fontId="0" fillId="0" borderId="10" xfId="0" applyNumberFormat="1" applyBorder="1" applyAlignment="1">
      <alignment horizontal="center"/>
    </xf>
    <xf numFmtId="9" fontId="0" fillId="0" borderId="10" xfId="0" applyNumberForma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xf>
    <xf numFmtId="3" fontId="2" fillId="0" borderId="0" xfId="0" applyNumberFormat="1" applyFont="1"/>
    <xf numFmtId="0" fontId="4" fillId="0" borderId="5" xfId="1" applyFill="1" applyBorder="1" applyAlignment="1" applyProtection="1"/>
    <xf numFmtId="0" fontId="2" fillId="0" borderId="0" xfId="0" applyFont="1" applyAlignment="1">
      <alignment horizontal="center"/>
    </xf>
    <xf numFmtId="0" fontId="0" fillId="0" borderId="4" xfId="0" applyBorder="1" applyAlignment="1">
      <alignment horizontal="center"/>
    </xf>
    <xf numFmtId="0" fontId="4" fillId="0" borderId="3" xfId="1" applyFill="1" applyBorder="1" applyAlignment="1" applyProtection="1"/>
    <xf numFmtId="0" fontId="0" fillId="0" borderId="2" xfId="0" applyBorder="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2" fillId="0" borderId="0" xfId="0" applyFont="1"/>
    <xf numFmtId="0" fontId="0" fillId="0" borderId="0" xfId="0" applyAlignment="1">
      <alignment horizontal="center"/>
    </xf>
    <xf numFmtId="2" fontId="0" fillId="0" borderId="0" xfId="0" applyNumberFormat="1"/>
    <xf numFmtId="0" fontId="2" fillId="0" borderId="5" xfId="1" applyFont="1" applyFill="1" applyBorder="1" applyAlignment="1" applyProtection="1"/>
    <xf numFmtId="0" fontId="0" fillId="0" borderId="1" xfId="0" applyBorder="1" applyAlignment="1">
      <alignment horizontal="center"/>
    </xf>
    <xf numFmtId="0" fontId="3" fillId="0" borderId="0" xfId="0" applyFont="1" applyAlignment="1">
      <alignment horizontal="left"/>
    </xf>
    <xf numFmtId="0" fontId="0" fillId="0" borderId="0" xfId="0" applyAlignment="1">
      <alignment horizontal="left"/>
    </xf>
    <xf numFmtId="0" fontId="2" fillId="0" borderId="0" xfId="0" applyFont="1" applyAlignment="1">
      <alignment horizontal="left"/>
    </xf>
    <xf numFmtId="9" fontId="0" fillId="0" borderId="0" xfId="0" applyNumberFormat="1" applyAlignment="1">
      <alignment horizontal="right"/>
    </xf>
    <xf numFmtId="0" fontId="1" fillId="0" borderId="0" xfId="0" applyFont="1" applyAlignment="1">
      <alignment horizontal="right"/>
    </xf>
    <xf numFmtId="9" fontId="1" fillId="0" borderId="0" xfId="0" applyNumberFormat="1" applyFont="1" applyAlignment="1">
      <alignment horizontal="right"/>
    </xf>
    <xf numFmtId="0" fontId="1" fillId="0" borderId="0" xfId="0" applyFont="1"/>
    <xf numFmtId="0" fontId="2" fillId="0" borderId="4" xfId="0" applyFont="1" applyBorder="1" applyAlignment="1">
      <alignment horizontal="center"/>
    </xf>
    <xf numFmtId="0" fontId="2" fillId="0" borderId="3" xfId="1" applyFont="1" applyFill="1" applyBorder="1" applyAlignment="1" applyProtection="1"/>
    <xf numFmtId="3" fontId="0" fillId="0" borderId="0" xfId="0" quotePrefix="1" applyNumberFormat="1" applyAlignment="1">
      <alignment horizontal="right"/>
    </xf>
    <xf numFmtId="3" fontId="0" fillId="3" borderId="0" xfId="0" applyNumberFormat="1" applyFill="1" applyAlignment="1">
      <alignment horizontal="right"/>
    </xf>
  </cellXfs>
  <cellStyles count="3">
    <cellStyle name="Hyperlink" xfId="1" builtinId="8"/>
    <cellStyle name="Normal" xfId="0" builtinId="0"/>
    <cellStyle name="Normal 2" xfId="2" xr:uid="{E14D3674-039E-4586-B983-DD274F8F7112}"/>
  </cellStyles>
  <dxfs count="0"/>
  <tableStyles count="1" defaultTableStyle="TableStyleMedium2" defaultPivotStyle="PivotStyleLight16">
    <tableStyle name="Invisible" pivot="0" table="0" count="0" xr9:uid="{0B1FE2AF-6D72-413E-A096-49C7B60FF58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56</xdr:col>
      <xdr:colOff>69193</xdr:colOff>
      <xdr:row>0</xdr:row>
      <xdr:rowOff>0</xdr:rowOff>
    </xdr:from>
    <xdr:to>
      <xdr:col>56</xdr:col>
      <xdr:colOff>69193</xdr:colOff>
      <xdr:row>90</xdr:row>
      <xdr:rowOff>98535</xdr:rowOff>
    </xdr:to>
    <xdr:cxnSp macro="">
      <xdr:nvCxnSpPr>
        <xdr:cNvPr id="3" name="Straight Connector 2">
          <a:extLst>
            <a:ext uri="{FF2B5EF4-FFF2-40B4-BE49-F238E27FC236}">
              <a16:creationId xmlns:a16="http://schemas.microsoft.com/office/drawing/2014/main" id="{658D8025-20DF-13C6-84BC-98AAA2145166}"/>
            </a:ext>
          </a:extLst>
        </xdr:cNvPr>
        <xdr:cNvCxnSpPr/>
      </xdr:nvCxnSpPr>
      <xdr:spPr>
        <a:xfrm>
          <a:off x="16833193" y="0"/>
          <a:ext cx="0" cy="147924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24962</xdr:colOff>
      <xdr:row>0</xdr:row>
      <xdr:rowOff>0</xdr:rowOff>
    </xdr:from>
    <xdr:to>
      <xdr:col>75</xdr:col>
      <xdr:colOff>24962</xdr:colOff>
      <xdr:row>46</xdr:row>
      <xdr:rowOff>47625</xdr:rowOff>
    </xdr:to>
    <xdr:cxnSp macro="">
      <xdr:nvCxnSpPr>
        <xdr:cNvPr id="2" name="Straight Connector 1">
          <a:extLst>
            <a:ext uri="{FF2B5EF4-FFF2-40B4-BE49-F238E27FC236}">
              <a16:creationId xmlns:a16="http://schemas.microsoft.com/office/drawing/2014/main" id="{648F258B-0BD1-4851-812D-88247FE41913}"/>
            </a:ext>
          </a:extLst>
        </xdr:cNvPr>
        <xdr:cNvCxnSpPr/>
      </xdr:nvCxnSpPr>
      <xdr:spPr>
        <a:xfrm>
          <a:off x="22760152" y="0"/>
          <a:ext cx="0" cy="72734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tin Shkreli" id="{6AE02F28-EECC-4040-93BD-26CB9CF8932E}" userId="9ffda80931a57275" providerId="Windows Live"/>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P31" dT="2022-09-16T10:03:00.58" personId="{6AE02F28-EECC-4040-93BD-26CB9CF8932E}" id="{CFF3BC2E-892D-4995-B558-D2A9395BF1AF}">
    <text>NGNI 1080.2</text>
  </threadedComment>
  <threadedComment ref="AT31" dT="2022-09-16T10:02:53.72" personId="{6AE02F28-EECC-4040-93BD-26CB9CF8932E}" id="{E621A5CA-53E8-48F9-80F2-12D076620DD9}">
    <text>NGNI 2711.5</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D5CF22-E8A9-4919-AD75-F071CE6857D9}">
  <dimension ref="B2:K47"/>
  <sheetViews>
    <sheetView zoomScale="137" zoomScaleNormal="160" workbookViewId="0"/>
  </sheetViews>
  <sheetFormatPr defaultColWidth="8.85546875" defaultRowHeight="12.75" x14ac:dyDescent="0.2"/>
  <cols>
    <col min="1" max="1" width="3.7109375" customWidth="1"/>
    <col min="2" max="2" width="19.85546875" bestFit="1" customWidth="1"/>
    <col min="3" max="3" width="20" customWidth="1"/>
    <col min="5" max="5" width="11.7109375" customWidth="1"/>
    <col min="6" max="6" width="13.85546875" customWidth="1"/>
  </cols>
  <sheetData>
    <row r="2" spans="2:11" x14ac:dyDescent="0.2">
      <c r="B2" s="22" t="s">
        <v>49</v>
      </c>
      <c r="C2" s="23" t="s">
        <v>48</v>
      </c>
      <c r="D2" s="23" t="s">
        <v>47</v>
      </c>
      <c r="E2" s="23" t="s">
        <v>45</v>
      </c>
      <c r="F2" s="23" t="s">
        <v>44</v>
      </c>
      <c r="G2" s="24" t="s">
        <v>43</v>
      </c>
      <c r="I2" t="s">
        <v>42</v>
      </c>
      <c r="J2" s="25">
        <v>1199</v>
      </c>
      <c r="K2" s="26"/>
    </row>
    <row r="3" spans="2:11" x14ac:dyDescent="0.2">
      <c r="B3" s="27" t="s">
        <v>41</v>
      </c>
      <c r="C3" s="28" t="s">
        <v>40</v>
      </c>
      <c r="D3" s="29">
        <v>39479</v>
      </c>
      <c r="E3" s="30">
        <v>1</v>
      </c>
      <c r="F3" s="31" t="s">
        <v>39</v>
      </c>
      <c r="G3" s="32" t="s">
        <v>30</v>
      </c>
      <c r="I3" t="s">
        <v>38</v>
      </c>
      <c r="J3" s="33">
        <v>115.4</v>
      </c>
      <c r="K3" s="26" t="s">
        <v>330</v>
      </c>
    </row>
    <row r="4" spans="2:11" x14ac:dyDescent="0.2">
      <c r="B4" s="34" t="s">
        <v>281</v>
      </c>
      <c r="C4" s="35" t="s">
        <v>240</v>
      </c>
      <c r="D4" s="35"/>
      <c r="E4" s="35" t="s">
        <v>241</v>
      </c>
      <c r="F4" s="35" t="s">
        <v>246</v>
      </c>
      <c r="G4" s="36"/>
      <c r="I4" t="s">
        <v>35</v>
      </c>
      <c r="J4" s="1">
        <f>J2*J3</f>
        <v>138364.6</v>
      </c>
      <c r="K4" s="17"/>
    </row>
    <row r="5" spans="2:11" x14ac:dyDescent="0.2">
      <c r="B5" s="34" t="s">
        <v>34</v>
      </c>
      <c r="C5" s="35" t="s">
        <v>243</v>
      </c>
      <c r="D5" s="35"/>
      <c r="E5" s="35" t="s">
        <v>241</v>
      </c>
      <c r="F5" s="35" t="s">
        <v>242</v>
      </c>
      <c r="G5" s="36"/>
      <c r="I5" t="s">
        <v>33</v>
      </c>
      <c r="J5" s="1">
        <v>17531</v>
      </c>
      <c r="K5" s="26" t="s">
        <v>330</v>
      </c>
    </row>
    <row r="6" spans="2:11" x14ac:dyDescent="0.2">
      <c r="B6" s="34" t="s">
        <v>244</v>
      </c>
      <c r="C6" s="35" t="s">
        <v>268</v>
      </c>
      <c r="D6" s="35"/>
      <c r="E6" s="35" t="s">
        <v>247</v>
      </c>
      <c r="F6" s="35" t="s">
        <v>245</v>
      </c>
      <c r="G6" s="36"/>
      <c r="I6" t="s">
        <v>29</v>
      </c>
      <c r="J6" s="1">
        <v>1984</v>
      </c>
      <c r="K6" s="26" t="s">
        <v>330</v>
      </c>
    </row>
    <row r="7" spans="2:11" x14ac:dyDescent="0.2">
      <c r="B7" s="34" t="s">
        <v>282</v>
      </c>
      <c r="C7" s="42" t="s">
        <v>31</v>
      </c>
      <c r="D7" s="35"/>
      <c r="E7" s="35" t="s">
        <v>267</v>
      </c>
      <c r="F7" s="35" t="s">
        <v>246</v>
      </c>
      <c r="G7" s="53" t="s">
        <v>30</v>
      </c>
      <c r="I7" s="41" t="s">
        <v>26</v>
      </c>
      <c r="J7" s="1">
        <f>J4-J5+J6</f>
        <v>122817.60000000001</v>
      </c>
    </row>
    <row r="8" spans="2:11" x14ac:dyDescent="0.2">
      <c r="B8" s="34" t="s">
        <v>265</v>
      </c>
      <c r="C8" s="42" t="s">
        <v>25</v>
      </c>
      <c r="D8" s="35"/>
      <c r="E8" s="35"/>
      <c r="F8" s="35" t="s">
        <v>266</v>
      </c>
      <c r="G8" s="53" t="s">
        <v>30</v>
      </c>
      <c r="I8" s="41"/>
      <c r="J8" s="1"/>
    </row>
    <row r="9" spans="2:11" x14ac:dyDescent="0.2">
      <c r="B9" s="44" t="s">
        <v>289</v>
      </c>
      <c r="C9" s="42" t="s">
        <v>263</v>
      </c>
      <c r="D9" s="35"/>
      <c r="E9" s="35"/>
      <c r="F9" s="35" t="s">
        <v>290</v>
      </c>
      <c r="G9" s="53"/>
      <c r="I9" s="41"/>
      <c r="J9" s="1"/>
    </row>
    <row r="10" spans="2:11" x14ac:dyDescent="0.2">
      <c r="B10" s="37" t="s">
        <v>262</v>
      </c>
      <c r="C10" s="38" t="s">
        <v>263</v>
      </c>
      <c r="D10" s="39"/>
      <c r="E10" s="39" t="s">
        <v>241</v>
      </c>
      <c r="F10" s="39" t="s">
        <v>264</v>
      </c>
      <c r="G10" s="40" t="s">
        <v>30</v>
      </c>
      <c r="I10" s="41" t="s">
        <v>327</v>
      </c>
      <c r="J10" s="1"/>
    </row>
    <row r="11" spans="2:11" x14ac:dyDescent="0.2">
      <c r="B11" s="22"/>
      <c r="C11" s="23"/>
      <c r="D11" s="23" t="s">
        <v>27</v>
      </c>
      <c r="E11" s="23"/>
      <c r="F11" s="23"/>
      <c r="G11" s="24"/>
      <c r="I11" s="41" t="s">
        <v>369</v>
      </c>
      <c r="J11" s="43"/>
    </row>
    <row r="12" spans="2:11" x14ac:dyDescent="0.2">
      <c r="B12" s="44" t="s">
        <v>274</v>
      </c>
      <c r="C12" s="42" t="s">
        <v>277</v>
      </c>
      <c r="D12" s="35" t="s">
        <v>276</v>
      </c>
      <c r="E12" s="42"/>
      <c r="F12" s="35" t="s">
        <v>275</v>
      </c>
      <c r="G12" s="36"/>
      <c r="I12" s="41" t="s">
        <v>370</v>
      </c>
    </row>
    <row r="13" spans="2:11" x14ac:dyDescent="0.2">
      <c r="B13" s="44" t="s">
        <v>278</v>
      </c>
      <c r="C13" s="42" t="s">
        <v>280</v>
      </c>
      <c r="D13" s="35"/>
      <c r="E13" s="42"/>
      <c r="F13" s="35" t="s">
        <v>279</v>
      </c>
      <c r="G13" s="36"/>
    </row>
    <row r="14" spans="2:11" x14ac:dyDescent="0.2">
      <c r="B14" s="44" t="s">
        <v>297</v>
      </c>
      <c r="C14" s="42" t="s">
        <v>300</v>
      </c>
      <c r="D14" s="35"/>
      <c r="E14" s="42" t="s">
        <v>298</v>
      </c>
      <c r="F14" s="35" t="s">
        <v>299</v>
      </c>
      <c r="G14" s="36"/>
    </row>
    <row r="15" spans="2:11" x14ac:dyDescent="0.2">
      <c r="B15" s="44" t="s">
        <v>248</v>
      </c>
      <c r="C15" s="35" t="s">
        <v>270</v>
      </c>
      <c r="D15" s="35" t="s">
        <v>272</v>
      </c>
      <c r="E15" s="42"/>
      <c r="F15" s="35" t="s">
        <v>271</v>
      </c>
      <c r="G15" s="36"/>
    </row>
    <row r="16" spans="2:11" x14ac:dyDescent="0.2">
      <c r="B16" s="44" t="s">
        <v>24</v>
      </c>
      <c r="C16" s="35" t="s">
        <v>23</v>
      </c>
      <c r="D16" s="35" t="s">
        <v>22</v>
      </c>
      <c r="E16" s="42"/>
      <c r="F16" s="35" t="s">
        <v>21</v>
      </c>
      <c r="G16" s="36"/>
    </row>
    <row r="17" spans="2:7" x14ac:dyDescent="0.2">
      <c r="B17" s="44" t="s">
        <v>301</v>
      </c>
      <c r="C17" s="35" t="s">
        <v>302</v>
      </c>
      <c r="D17" s="35"/>
      <c r="E17" s="42"/>
      <c r="F17" s="35" t="s">
        <v>303</v>
      </c>
      <c r="G17" s="36"/>
    </row>
    <row r="18" spans="2:7" x14ac:dyDescent="0.2">
      <c r="B18" s="44" t="s">
        <v>273</v>
      </c>
      <c r="C18" s="35"/>
      <c r="D18" s="35"/>
      <c r="E18" s="42"/>
      <c r="F18" s="35"/>
      <c r="G18" s="36"/>
    </row>
    <row r="19" spans="2:7" x14ac:dyDescent="0.2">
      <c r="B19" s="44" t="s">
        <v>286</v>
      </c>
      <c r="C19" s="35" t="s">
        <v>287</v>
      </c>
      <c r="D19" s="35"/>
      <c r="E19" s="42"/>
      <c r="F19" s="35" t="s">
        <v>288</v>
      </c>
      <c r="G19" s="36"/>
    </row>
    <row r="20" spans="2:7" x14ac:dyDescent="0.2">
      <c r="B20" s="44" t="s">
        <v>304</v>
      </c>
      <c r="C20" s="35" t="s">
        <v>268</v>
      </c>
      <c r="D20" s="35"/>
      <c r="E20" s="42"/>
      <c r="F20" s="35" t="s">
        <v>305</v>
      </c>
      <c r="G20" s="36"/>
    </row>
    <row r="21" spans="2:7" x14ac:dyDescent="0.2">
      <c r="B21" s="44" t="s">
        <v>294</v>
      </c>
      <c r="C21" s="35" t="s">
        <v>295</v>
      </c>
      <c r="D21" s="35"/>
      <c r="E21" s="42"/>
      <c r="F21" s="35" t="s">
        <v>296</v>
      </c>
      <c r="G21" s="36"/>
    </row>
    <row r="22" spans="2:7" x14ac:dyDescent="0.2">
      <c r="B22" s="44" t="s">
        <v>306</v>
      </c>
      <c r="C22" s="35"/>
      <c r="D22" s="35"/>
      <c r="E22" s="42"/>
      <c r="F22" s="35" t="s">
        <v>307</v>
      </c>
      <c r="G22" s="36"/>
    </row>
    <row r="23" spans="2:7" x14ac:dyDescent="0.2">
      <c r="B23" s="44" t="s">
        <v>308</v>
      </c>
      <c r="C23" s="35"/>
      <c r="D23" s="35"/>
      <c r="E23" s="42"/>
      <c r="F23" s="35" t="s">
        <v>309</v>
      </c>
      <c r="G23" s="36"/>
    </row>
    <row r="24" spans="2:7" x14ac:dyDescent="0.2">
      <c r="B24" s="44" t="s">
        <v>310</v>
      </c>
      <c r="C24" s="35" t="s">
        <v>311</v>
      </c>
      <c r="D24" s="35"/>
      <c r="E24" s="42"/>
      <c r="F24" s="35" t="s">
        <v>312</v>
      </c>
      <c r="G24" s="36"/>
    </row>
    <row r="25" spans="2:7" x14ac:dyDescent="0.2">
      <c r="B25" s="44" t="s">
        <v>291</v>
      </c>
      <c r="C25" s="35" t="s">
        <v>292</v>
      </c>
      <c r="D25" s="35"/>
      <c r="E25" s="42"/>
      <c r="F25" s="35" t="s">
        <v>293</v>
      </c>
      <c r="G25" s="36"/>
    </row>
    <row r="26" spans="2:7" x14ac:dyDescent="0.2">
      <c r="B26" s="54" t="s">
        <v>283</v>
      </c>
      <c r="C26" s="39" t="s">
        <v>284</v>
      </c>
      <c r="D26" s="39"/>
      <c r="E26" s="39"/>
      <c r="F26" s="39" t="s">
        <v>285</v>
      </c>
      <c r="G26" s="45"/>
    </row>
    <row r="27" spans="2:7" x14ac:dyDescent="0.2">
      <c r="C27" s="42"/>
      <c r="D27" s="42"/>
      <c r="E27" s="42"/>
      <c r="F27" s="42"/>
      <c r="G27" s="42"/>
    </row>
    <row r="28" spans="2:7" x14ac:dyDescent="0.2">
      <c r="B28" s="41"/>
      <c r="C28" s="42"/>
      <c r="D28" s="42"/>
      <c r="E28" s="42"/>
      <c r="F28" s="46" t="s">
        <v>19</v>
      </c>
      <c r="G28" s="42"/>
    </row>
    <row r="29" spans="2:7" x14ac:dyDescent="0.2">
      <c r="B29" s="41"/>
      <c r="C29" s="42"/>
      <c r="D29" s="42"/>
      <c r="E29" s="47"/>
      <c r="F29" s="46" t="s">
        <v>18</v>
      </c>
      <c r="G29" s="42"/>
    </row>
    <row r="30" spans="2:7" x14ac:dyDescent="0.2">
      <c r="B30" s="41"/>
      <c r="C30" s="42"/>
      <c r="D30" s="42"/>
      <c r="E30" s="47"/>
      <c r="F30" s="46" t="s">
        <v>17</v>
      </c>
      <c r="G30" s="42"/>
    </row>
    <row r="31" spans="2:7" x14ac:dyDescent="0.2">
      <c r="B31" s="41"/>
      <c r="C31" s="42"/>
      <c r="D31" s="42"/>
      <c r="E31" s="47"/>
      <c r="F31" s="46" t="s">
        <v>16</v>
      </c>
      <c r="G31" s="42"/>
    </row>
    <row r="32" spans="2:7" x14ac:dyDescent="0.2">
      <c r="C32" s="42"/>
      <c r="D32" s="42"/>
      <c r="E32" s="42"/>
      <c r="F32" s="46" t="s">
        <v>15</v>
      </c>
      <c r="G32" s="42"/>
    </row>
    <row r="33" spans="3:7" x14ac:dyDescent="0.2">
      <c r="C33" s="42"/>
      <c r="D33" s="42"/>
      <c r="E33" s="42"/>
      <c r="F33" s="46" t="s">
        <v>14</v>
      </c>
      <c r="G33" s="42"/>
    </row>
    <row r="34" spans="3:7" x14ac:dyDescent="0.2">
      <c r="C34" s="42"/>
      <c r="D34" s="42"/>
      <c r="E34" s="42"/>
      <c r="F34" s="46" t="s">
        <v>13</v>
      </c>
      <c r="G34" s="42"/>
    </row>
    <row r="35" spans="3:7" x14ac:dyDescent="0.2">
      <c r="C35" s="42"/>
      <c r="D35" s="42"/>
      <c r="E35" s="42"/>
      <c r="F35" s="46" t="s">
        <v>12</v>
      </c>
      <c r="G35" s="42"/>
    </row>
    <row r="36" spans="3:7" x14ac:dyDescent="0.2">
      <c r="C36" s="42"/>
      <c r="D36" s="42"/>
      <c r="E36" s="42"/>
      <c r="F36" s="46" t="s">
        <v>11</v>
      </c>
      <c r="G36" s="42"/>
    </row>
    <row r="37" spans="3:7" x14ac:dyDescent="0.2">
      <c r="C37" s="42"/>
      <c r="D37" s="42"/>
      <c r="E37" s="42"/>
      <c r="F37" s="48" t="s">
        <v>10</v>
      </c>
      <c r="G37" s="42"/>
    </row>
    <row r="38" spans="3:7" x14ac:dyDescent="0.2">
      <c r="C38" s="42"/>
      <c r="D38" s="42"/>
      <c r="E38" s="42"/>
      <c r="F38" s="48" t="s">
        <v>9</v>
      </c>
      <c r="G38" s="42"/>
    </row>
    <row r="39" spans="3:7" x14ac:dyDescent="0.2">
      <c r="C39" s="42"/>
      <c r="D39" s="42"/>
      <c r="E39" s="42"/>
      <c r="F39" s="48" t="s">
        <v>8</v>
      </c>
      <c r="G39" s="42"/>
    </row>
    <row r="40" spans="3:7" x14ac:dyDescent="0.2">
      <c r="C40" s="42"/>
      <c r="D40" s="42"/>
      <c r="E40" s="42"/>
      <c r="F40" s="48" t="s">
        <v>7</v>
      </c>
      <c r="G40" s="42"/>
    </row>
    <row r="41" spans="3:7" x14ac:dyDescent="0.2">
      <c r="C41" s="42"/>
      <c r="D41" s="42"/>
      <c r="E41" s="42"/>
      <c r="F41" s="48" t="s">
        <v>6</v>
      </c>
      <c r="G41" s="42"/>
    </row>
    <row r="42" spans="3:7" x14ac:dyDescent="0.2">
      <c r="C42" s="42"/>
      <c r="D42" s="42"/>
      <c r="E42" s="42"/>
      <c r="F42" s="48" t="s">
        <v>5</v>
      </c>
      <c r="G42" s="42"/>
    </row>
    <row r="43" spans="3:7" x14ac:dyDescent="0.2">
      <c r="C43" s="42"/>
      <c r="D43" s="42"/>
      <c r="E43" s="42"/>
      <c r="F43" s="48" t="s">
        <v>4</v>
      </c>
      <c r="G43" s="42"/>
    </row>
    <row r="44" spans="3:7" x14ac:dyDescent="0.2">
      <c r="C44" s="42"/>
      <c r="D44" s="42"/>
      <c r="E44" s="42"/>
      <c r="F44" s="48" t="s">
        <v>3</v>
      </c>
      <c r="G44" s="42"/>
    </row>
    <row r="45" spans="3:7" x14ac:dyDescent="0.2">
      <c r="C45" s="42"/>
      <c r="D45" s="42"/>
      <c r="E45" s="42"/>
      <c r="F45" s="48" t="s">
        <v>2</v>
      </c>
      <c r="G45" s="42"/>
    </row>
    <row r="46" spans="3:7" x14ac:dyDescent="0.2">
      <c r="C46" s="42"/>
      <c r="D46" s="42"/>
      <c r="E46" s="42"/>
      <c r="F46" s="48" t="s">
        <v>1</v>
      </c>
      <c r="G46" s="42"/>
    </row>
    <row r="47" spans="3:7" x14ac:dyDescent="0.2">
      <c r="C47" s="42"/>
      <c r="D47" s="42"/>
      <c r="E47" s="42"/>
      <c r="F47" s="48" t="s">
        <v>0</v>
      </c>
      <c r="G47" s="42"/>
    </row>
  </sheetData>
  <hyperlinks>
    <hyperlink ref="B3" location="Arcalyst!A1" display="Arcalyst" xr:uid="{BDF22BBF-5632-43C4-825A-494559AE5BB9}"/>
    <hyperlink ref="B4" location="Zaltrap!A1" display="Zaltrap" xr:uid="{B1A779BE-0169-48CB-AB42-981661C5EA87}"/>
    <hyperlink ref="B7" location="'VEGF Trap-Eye'!A1" display="VEGF Trap-Eye" xr:uid="{632465B5-10C7-43D8-A04F-89D049587F0F}"/>
    <hyperlink ref="B5" location="Dupixent!A1" display="Dupixent (dupilumab)" xr:uid="{4B303E05-22EB-4F26-B307-EFDE28905187}"/>
    <hyperlink ref="B10" location="Praluent!A1" display="Praluent (alirocumab)" xr:uid="{1FBBB777-8F0A-401F-910F-1D5972FED37A}"/>
    <hyperlink ref="B8" location="Kevzara!A1" display="Kevzara (sarilumab)" xr:uid="{87937E02-CEC4-452E-83BE-A472FFD8A1F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BECB6-C670-4D66-9069-7BDB54779CF7}">
  <dimension ref="A1:CT64"/>
  <sheetViews>
    <sheetView tabSelected="1" zoomScale="160" zoomScaleNormal="160" workbookViewId="0">
      <pane xSplit="2" ySplit="2" topLeftCell="J3" activePane="bottomRight" state="frozen"/>
      <selection pane="topRight" activeCell="C1" sqref="C1"/>
      <selection pane="bottomLeft" activeCell="A3" sqref="A3"/>
      <selection pane="bottomRight" activeCell="O3" sqref="O3"/>
    </sheetView>
  </sheetViews>
  <sheetFormatPr defaultColWidth="8.85546875" defaultRowHeight="12.75" x14ac:dyDescent="0.2"/>
  <cols>
    <col min="1" max="1" width="5" bestFit="1" customWidth="1"/>
    <col min="2" max="2" width="20" bestFit="1" customWidth="1"/>
    <col min="3" max="34" width="8.85546875" style="17"/>
    <col min="35" max="50" width="9.140625" style="17"/>
  </cols>
  <sheetData>
    <row r="1" spans="1:98" x14ac:dyDescent="0.2">
      <c r="A1" s="16" t="s">
        <v>79</v>
      </c>
    </row>
    <row r="2" spans="1:98" x14ac:dyDescent="0.2">
      <c r="C2" s="17" t="s">
        <v>365</v>
      </c>
      <c r="D2" s="17" t="s">
        <v>366</v>
      </c>
      <c r="E2" s="17" t="s">
        <v>367</v>
      </c>
      <c r="F2" s="17" t="s">
        <v>368</v>
      </c>
      <c r="G2" s="17" t="s">
        <v>361</v>
      </c>
      <c r="H2" s="17" t="s">
        <v>362</v>
      </c>
      <c r="I2" s="17" t="s">
        <v>363</v>
      </c>
      <c r="J2" s="17" t="s">
        <v>364</v>
      </c>
      <c r="K2" s="17" t="s">
        <v>357</v>
      </c>
      <c r="L2" s="17" t="s">
        <v>358</v>
      </c>
      <c r="M2" s="17" t="s">
        <v>359</v>
      </c>
      <c r="N2" s="17" t="s">
        <v>360</v>
      </c>
      <c r="O2" s="17" t="s">
        <v>353</v>
      </c>
      <c r="P2" s="17" t="s">
        <v>354</v>
      </c>
      <c r="Q2" s="17" t="s">
        <v>355</v>
      </c>
      <c r="R2" s="17" t="s">
        <v>356</v>
      </c>
      <c r="S2" s="17" t="s">
        <v>349</v>
      </c>
      <c r="T2" s="17" t="s">
        <v>350</v>
      </c>
      <c r="U2" s="17" t="s">
        <v>351</v>
      </c>
      <c r="V2" s="17" t="s">
        <v>352</v>
      </c>
      <c r="W2" s="17" t="s">
        <v>345</v>
      </c>
      <c r="X2" s="17" t="s">
        <v>346</v>
      </c>
      <c r="Y2" s="17" t="s">
        <v>347</v>
      </c>
      <c r="Z2" s="17" t="s">
        <v>348</v>
      </c>
      <c r="AA2" s="17" t="s">
        <v>341</v>
      </c>
      <c r="AB2" s="17" t="s">
        <v>342</v>
      </c>
      <c r="AC2" s="17" t="s">
        <v>343</v>
      </c>
      <c r="AD2" s="17" t="s">
        <v>344</v>
      </c>
      <c r="AE2" s="17" t="s">
        <v>337</v>
      </c>
      <c r="AF2" s="17" t="s">
        <v>338</v>
      </c>
      <c r="AG2" s="17" t="s">
        <v>339</v>
      </c>
      <c r="AH2" s="17" t="s">
        <v>340</v>
      </c>
      <c r="AI2" s="17" t="s">
        <v>258</v>
      </c>
      <c r="AJ2" s="17" t="s">
        <v>259</v>
      </c>
      <c r="AK2" s="17" t="s">
        <v>260</v>
      </c>
      <c r="AL2" s="17" t="s">
        <v>261</v>
      </c>
      <c r="AM2" s="17" t="s">
        <v>204</v>
      </c>
      <c r="AN2" s="17" t="s">
        <v>205</v>
      </c>
      <c r="AO2" s="17" t="s">
        <v>206</v>
      </c>
      <c r="AP2" s="17" t="s">
        <v>207</v>
      </c>
      <c r="AQ2" s="17" t="s">
        <v>208</v>
      </c>
      <c r="AR2" s="17" t="s">
        <v>209</v>
      </c>
      <c r="AS2" s="17" t="s">
        <v>210</v>
      </c>
      <c r="AT2" s="17" t="s">
        <v>211</v>
      </c>
      <c r="AU2" s="17" t="s">
        <v>212</v>
      </c>
      <c r="AV2" s="17" t="s">
        <v>28</v>
      </c>
      <c r="AW2" s="17" t="s">
        <v>213</v>
      </c>
      <c r="AX2" s="17" t="s">
        <v>214</v>
      </c>
      <c r="AY2" s="17" t="s">
        <v>252</v>
      </c>
      <c r="AZ2" s="17" t="s">
        <v>253</v>
      </c>
      <c r="BA2" s="17" t="s">
        <v>254</v>
      </c>
      <c r="BB2" s="17" t="s">
        <v>255</v>
      </c>
      <c r="BC2" s="17" t="s">
        <v>329</v>
      </c>
      <c r="BD2" s="17" t="s">
        <v>330</v>
      </c>
      <c r="BE2" s="17" t="s">
        <v>331</v>
      </c>
      <c r="BF2" s="17" t="s">
        <v>332</v>
      </c>
      <c r="BG2" s="17" t="s">
        <v>333</v>
      </c>
      <c r="BH2" s="17" t="s">
        <v>334</v>
      </c>
      <c r="BI2" s="17" t="s">
        <v>335</v>
      </c>
      <c r="BJ2" s="17" t="s">
        <v>336</v>
      </c>
      <c r="BL2">
        <v>2010</v>
      </c>
      <c r="BM2">
        <f>+BL2+1</f>
        <v>2011</v>
      </c>
      <c r="BN2">
        <f t="shared" ref="BN2:CT2" si="0">+BM2+1</f>
        <v>2012</v>
      </c>
      <c r="BO2">
        <f t="shared" si="0"/>
        <v>2013</v>
      </c>
      <c r="BP2">
        <f t="shared" si="0"/>
        <v>2014</v>
      </c>
      <c r="BQ2">
        <f t="shared" si="0"/>
        <v>2015</v>
      </c>
      <c r="BR2">
        <f t="shared" si="0"/>
        <v>2016</v>
      </c>
      <c r="BS2">
        <f t="shared" si="0"/>
        <v>2017</v>
      </c>
      <c r="BT2">
        <f t="shared" si="0"/>
        <v>2018</v>
      </c>
      <c r="BU2">
        <f t="shared" si="0"/>
        <v>2019</v>
      </c>
      <c r="BV2">
        <f t="shared" si="0"/>
        <v>2020</v>
      </c>
      <c r="BW2">
        <f t="shared" si="0"/>
        <v>2021</v>
      </c>
      <c r="BX2">
        <f t="shared" si="0"/>
        <v>2022</v>
      </c>
      <c r="BY2">
        <f t="shared" si="0"/>
        <v>2023</v>
      </c>
      <c r="BZ2">
        <f t="shared" si="0"/>
        <v>2024</v>
      </c>
      <c r="CA2">
        <f t="shared" si="0"/>
        <v>2025</v>
      </c>
      <c r="CB2">
        <f t="shared" si="0"/>
        <v>2026</v>
      </c>
      <c r="CC2">
        <f t="shared" si="0"/>
        <v>2027</v>
      </c>
      <c r="CD2">
        <f t="shared" si="0"/>
        <v>2028</v>
      </c>
      <c r="CE2">
        <f t="shared" si="0"/>
        <v>2029</v>
      </c>
      <c r="CF2">
        <f t="shared" si="0"/>
        <v>2030</v>
      </c>
      <c r="CG2">
        <f t="shared" si="0"/>
        <v>2031</v>
      </c>
      <c r="CH2">
        <f t="shared" si="0"/>
        <v>2032</v>
      </c>
      <c r="CI2">
        <f t="shared" si="0"/>
        <v>2033</v>
      </c>
      <c r="CJ2">
        <f t="shared" si="0"/>
        <v>2034</v>
      </c>
      <c r="CK2">
        <f t="shared" si="0"/>
        <v>2035</v>
      </c>
      <c r="CL2">
        <f t="shared" si="0"/>
        <v>2036</v>
      </c>
      <c r="CM2">
        <f t="shared" si="0"/>
        <v>2037</v>
      </c>
      <c r="CN2">
        <f t="shared" si="0"/>
        <v>2038</v>
      </c>
      <c r="CO2">
        <f t="shared" si="0"/>
        <v>2039</v>
      </c>
      <c r="CP2">
        <f t="shared" si="0"/>
        <v>2040</v>
      </c>
      <c r="CQ2">
        <f t="shared" si="0"/>
        <v>2041</v>
      </c>
      <c r="CR2">
        <f t="shared" si="0"/>
        <v>2042</v>
      </c>
      <c r="CS2">
        <f t="shared" si="0"/>
        <v>2043</v>
      </c>
      <c r="CT2">
        <f t="shared" si="0"/>
        <v>2044</v>
      </c>
    </row>
    <row r="3" spans="1:98" s="1" customFormat="1" x14ac:dyDescent="0.2">
      <c r="B3" s="1" t="s">
        <v>32</v>
      </c>
      <c r="C3" s="18">
        <v>0</v>
      </c>
      <c r="D3" s="18">
        <v>0</v>
      </c>
      <c r="E3" s="18">
        <v>0</v>
      </c>
      <c r="F3" s="18">
        <v>24.8</v>
      </c>
      <c r="G3" s="18">
        <v>123.5</v>
      </c>
      <c r="H3" s="18">
        <v>194</v>
      </c>
      <c r="I3" s="18">
        <v>244.4</v>
      </c>
      <c r="J3" s="18">
        <f>837.9-I3-H3-G3</f>
        <v>276</v>
      </c>
      <c r="K3" s="18">
        <v>313.89999999999998</v>
      </c>
      <c r="L3" s="18">
        <v>329.8</v>
      </c>
      <c r="M3" s="18">
        <v>363.1</v>
      </c>
      <c r="N3" s="18">
        <f>+BO3-M3-L3-K3</f>
        <v>401.9</v>
      </c>
      <c r="O3" s="18"/>
      <c r="P3" s="18"/>
      <c r="Q3" s="18"/>
      <c r="R3" s="18"/>
      <c r="S3" s="18"/>
      <c r="T3" s="18"/>
      <c r="U3" s="18"/>
      <c r="V3" s="18"/>
      <c r="W3" s="18"/>
      <c r="X3" s="18"/>
      <c r="Y3" s="18"/>
      <c r="Z3" s="18"/>
      <c r="AA3" s="18"/>
      <c r="AB3" s="18"/>
      <c r="AC3" s="18"/>
      <c r="AD3" s="18"/>
      <c r="AE3" s="18"/>
      <c r="AF3" s="18"/>
      <c r="AG3" s="18"/>
      <c r="AH3" s="18"/>
      <c r="AI3" s="18">
        <v>1074.0999999999999</v>
      </c>
      <c r="AJ3" s="18">
        <v>1160</v>
      </c>
      <c r="AK3" s="18"/>
      <c r="AL3" s="18"/>
      <c r="AM3" s="18">
        <v>1172</v>
      </c>
      <c r="AN3" s="18">
        <v>1114</v>
      </c>
      <c r="AO3" s="18">
        <v>1318</v>
      </c>
      <c r="AP3" s="18">
        <v>1343</v>
      </c>
      <c r="AQ3" s="18">
        <v>1347</v>
      </c>
      <c r="AR3" s="18">
        <v>1425</v>
      </c>
      <c r="AS3" s="18">
        <v>1473</v>
      </c>
      <c r="AT3" s="18">
        <v>1547</v>
      </c>
      <c r="AU3" s="18">
        <v>1518</v>
      </c>
      <c r="AV3" s="18">
        <v>1621</v>
      </c>
      <c r="AW3" s="18">
        <v>1629</v>
      </c>
      <c r="AX3" s="18">
        <v>1496</v>
      </c>
      <c r="AY3" s="18">
        <v>1434</v>
      </c>
      <c r="AZ3" s="18">
        <v>1500</v>
      </c>
      <c r="BA3" s="18">
        <f t="shared" ref="BA3:BB3" si="1">+AW3*1.1</f>
        <v>1791.9</v>
      </c>
      <c r="BB3" s="18">
        <f t="shared" si="1"/>
        <v>1645.6000000000001</v>
      </c>
      <c r="BC3" s="18">
        <v>1202</v>
      </c>
      <c r="BD3" s="18">
        <v>1231</v>
      </c>
      <c r="BE3" s="18"/>
      <c r="BF3" s="18"/>
      <c r="BG3" s="18"/>
      <c r="BH3" s="18"/>
      <c r="BM3" s="1">
        <f>SUM(C3:F3)</f>
        <v>24.8</v>
      </c>
      <c r="BN3" s="1">
        <f>SUM(G3:J3)</f>
        <v>837.9</v>
      </c>
      <c r="BO3" s="1">
        <v>1408.7</v>
      </c>
      <c r="BP3" s="1">
        <v>1736.4</v>
      </c>
      <c r="BQ3" s="1">
        <v>2676</v>
      </c>
      <c r="BT3" s="1">
        <v>4076.7</v>
      </c>
      <c r="BU3" s="1">
        <v>4644.2</v>
      </c>
      <c r="BV3" s="1">
        <f>SUM(AM3:AP3)</f>
        <v>4947</v>
      </c>
      <c r="BW3" s="1">
        <f>SUM(AQ3:AT3)</f>
        <v>5792</v>
      </c>
      <c r="BX3" s="1">
        <f>SUM(AU3:AX3)</f>
        <v>6264</v>
      </c>
      <c r="BY3" s="1">
        <f>SUM(AY3:BB3)</f>
        <v>6371.5</v>
      </c>
    </row>
    <row r="4" spans="1:98" s="1" customFormat="1" x14ac:dyDescent="0.2">
      <c r="B4" s="1" t="s">
        <v>328</v>
      </c>
      <c r="C4" s="18"/>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v>0</v>
      </c>
      <c r="AZ4" s="18">
        <v>0</v>
      </c>
      <c r="BA4" s="18"/>
      <c r="BB4" s="18"/>
      <c r="BC4" s="18">
        <v>200</v>
      </c>
      <c r="BD4" s="18">
        <v>304</v>
      </c>
      <c r="BE4" s="18"/>
      <c r="BF4" s="18"/>
      <c r="BG4" s="18"/>
      <c r="BH4" s="18"/>
    </row>
    <row r="5" spans="1:98" s="1" customFormat="1" x14ac:dyDescent="0.2">
      <c r="B5" s="1" t="s">
        <v>215</v>
      </c>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v>26.8</v>
      </c>
      <c r="AJ5" s="18">
        <v>40.799999999999997</v>
      </c>
      <c r="AK5" s="18"/>
      <c r="AL5" s="18"/>
      <c r="AM5" s="18">
        <v>61.7</v>
      </c>
      <c r="AN5" s="18">
        <v>63.3</v>
      </c>
      <c r="AO5" s="18">
        <v>72</v>
      </c>
      <c r="AP5" s="18">
        <v>74</v>
      </c>
      <c r="AQ5" s="18">
        <v>69</v>
      </c>
      <c r="AR5" s="18">
        <v>78</v>
      </c>
      <c r="AS5" s="18">
        <v>78</v>
      </c>
      <c r="AT5" s="18">
        <v>81</v>
      </c>
      <c r="AU5" s="18">
        <v>79</v>
      </c>
      <c r="AV5" s="18">
        <v>91</v>
      </c>
      <c r="AW5" s="18">
        <f>95+31</f>
        <v>126</v>
      </c>
      <c r="AX5" s="18">
        <f>110+42</f>
        <v>152</v>
      </c>
      <c r="AY5" s="1">
        <v>177</v>
      </c>
      <c r="AZ5" s="1">
        <v>210</v>
      </c>
      <c r="BA5" s="1">
        <f>+AZ5+5</f>
        <v>215</v>
      </c>
      <c r="BB5" s="1">
        <f>+BA5+5</f>
        <v>220</v>
      </c>
      <c r="BC5" s="1">
        <v>264</v>
      </c>
      <c r="BD5" s="1">
        <v>297</v>
      </c>
      <c r="BT5" s="1">
        <v>14.8</v>
      </c>
      <c r="BU5" s="1">
        <v>175.7</v>
      </c>
      <c r="BV5" s="1">
        <f t="shared" ref="BV5:BV20" si="2">SUM(AM5:AP5)</f>
        <v>271</v>
      </c>
      <c r="BW5" s="1">
        <f t="shared" ref="BW5:BW20" si="3">SUM(AQ5:AT5)</f>
        <v>306</v>
      </c>
      <c r="BX5" s="1">
        <f t="shared" ref="BX5:BX20" si="4">SUM(AU5:AX5)</f>
        <v>448</v>
      </c>
      <c r="BY5" s="1">
        <f t="shared" ref="BY5:BY20" si="5">SUM(AY5:BB5)</f>
        <v>822</v>
      </c>
    </row>
    <row r="6" spans="1:98" s="1" customFormat="1" x14ac:dyDescent="0.2">
      <c r="B6" s="1" t="s">
        <v>216</v>
      </c>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v>0</v>
      </c>
      <c r="AJ6" s="18">
        <v>26.5</v>
      </c>
      <c r="AK6" s="18"/>
      <c r="AL6" s="18"/>
      <c r="AM6" s="18">
        <v>0</v>
      </c>
      <c r="AN6" s="18">
        <v>47.2</v>
      </c>
      <c r="AO6" s="18">
        <v>49</v>
      </c>
      <c r="AP6" s="18">
        <v>55</v>
      </c>
      <c r="AQ6" s="18">
        <v>43</v>
      </c>
      <c r="AR6" s="18">
        <v>42</v>
      </c>
      <c r="AS6" s="18">
        <v>45</v>
      </c>
      <c r="AT6" s="18">
        <v>40</v>
      </c>
      <c r="AU6" s="18">
        <v>34</v>
      </c>
      <c r="AV6" s="18">
        <v>31</v>
      </c>
      <c r="AW6" s="18">
        <v>30</v>
      </c>
      <c r="AX6" s="18">
        <v>36</v>
      </c>
      <c r="AY6" s="1">
        <v>40</v>
      </c>
      <c r="AZ6" s="1">
        <v>41</v>
      </c>
      <c r="BA6" s="1">
        <f>+AZ6+1</f>
        <v>42</v>
      </c>
      <c r="BB6" s="1">
        <f>+BA6+1</f>
        <v>43</v>
      </c>
      <c r="BC6" s="1">
        <v>70</v>
      </c>
      <c r="BD6" s="1">
        <v>56</v>
      </c>
      <c r="BT6" s="1">
        <v>181.3</v>
      </c>
      <c r="BU6" s="1">
        <v>126</v>
      </c>
      <c r="BV6" s="1">
        <f t="shared" si="2"/>
        <v>151.19999999999999</v>
      </c>
      <c r="BW6" s="1">
        <f t="shared" si="3"/>
        <v>170</v>
      </c>
      <c r="BX6" s="1">
        <f t="shared" si="4"/>
        <v>131</v>
      </c>
      <c r="BY6" s="1">
        <f t="shared" si="5"/>
        <v>166</v>
      </c>
    </row>
    <row r="7" spans="1:98" s="1" customFormat="1" x14ac:dyDescent="0.2">
      <c r="B7" s="1" t="s">
        <v>256</v>
      </c>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v>0</v>
      </c>
      <c r="AJ7" s="18">
        <v>0</v>
      </c>
      <c r="AK7" s="18"/>
      <c r="AL7" s="18"/>
      <c r="AM7" s="18">
        <v>0</v>
      </c>
      <c r="AN7" s="18">
        <v>0</v>
      </c>
      <c r="AO7" s="18">
        <v>40</v>
      </c>
      <c r="AP7" s="18">
        <v>146</v>
      </c>
      <c r="AQ7" s="18">
        <v>262</v>
      </c>
      <c r="AR7" s="18">
        <v>2591</v>
      </c>
      <c r="AS7" s="18">
        <v>677</v>
      </c>
      <c r="AT7" s="18">
        <v>2298</v>
      </c>
      <c r="AU7" s="18">
        <v>0</v>
      </c>
      <c r="AV7" s="18">
        <v>0</v>
      </c>
      <c r="AW7" s="18">
        <v>3</v>
      </c>
      <c r="AX7" s="18">
        <v>0</v>
      </c>
      <c r="AY7" s="18">
        <v>2</v>
      </c>
      <c r="AZ7" s="18">
        <v>2</v>
      </c>
      <c r="BA7" s="18">
        <f>+AZ7</f>
        <v>2</v>
      </c>
      <c r="BB7" s="18">
        <f>+BA7</f>
        <v>2</v>
      </c>
      <c r="BC7" s="18">
        <v>1</v>
      </c>
      <c r="BD7" s="18">
        <v>0</v>
      </c>
      <c r="BE7" s="18"/>
      <c r="BF7" s="18"/>
      <c r="BG7" s="18"/>
      <c r="BH7" s="18"/>
      <c r="BT7" s="1">
        <v>0</v>
      </c>
      <c r="BU7" s="1">
        <v>0</v>
      </c>
      <c r="BV7" s="1">
        <f t="shared" si="2"/>
        <v>186</v>
      </c>
      <c r="BW7" s="1">
        <f t="shared" si="3"/>
        <v>5828</v>
      </c>
      <c r="BX7" s="1">
        <f t="shared" si="4"/>
        <v>3</v>
      </c>
      <c r="BY7" s="1">
        <f t="shared" si="5"/>
        <v>8</v>
      </c>
    </row>
    <row r="8" spans="1:98" s="1" customFormat="1" x14ac:dyDescent="0.2">
      <c r="B8" s="1" t="s">
        <v>217</v>
      </c>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v>0</v>
      </c>
      <c r="AJ8" s="18">
        <v>0</v>
      </c>
      <c r="AK8" s="18"/>
      <c r="AL8" s="18"/>
      <c r="AM8" s="18">
        <v>0</v>
      </c>
      <c r="AN8" s="18">
        <v>0</v>
      </c>
      <c r="AO8" s="18">
        <v>0</v>
      </c>
      <c r="AP8" s="18">
        <v>0</v>
      </c>
      <c r="AQ8" s="18">
        <v>1</v>
      </c>
      <c r="AR8" s="18">
        <v>2</v>
      </c>
      <c r="AS8" s="18">
        <v>7</v>
      </c>
      <c r="AT8" s="18">
        <v>9</v>
      </c>
      <c r="AU8" s="18">
        <v>8</v>
      </c>
      <c r="AV8" s="18">
        <v>11</v>
      </c>
      <c r="AW8" s="18">
        <v>14</v>
      </c>
      <c r="AX8" s="18">
        <v>15</v>
      </c>
      <c r="AY8" s="1">
        <v>15</v>
      </c>
      <c r="AZ8" s="1">
        <v>19</v>
      </c>
      <c r="BA8" s="1">
        <f>+AZ8+1</f>
        <v>20</v>
      </c>
      <c r="BB8" s="1">
        <f>+BA8+1</f>
        <v>21</v>
      </c>
      <c r="BC8" s="1">
        <v>24</v>
      </c>
      <c r="BD8" s="1">
        <v>31</v>
      </c>
      <c r="BT8" s="1">
        <v>0</v>
      </c>
      <c r="BU8" s="1">
        <v>0</v>
      </c>
      <c r="BV8" s="1">
        <f t="shared" si="2"/>
        <v>0</v>
      </c>
      <c r="BW8" s="1">
        <f t="shared" si="3"/>
        <v>19</v>
      </c>
      <c r="BX8" s="1">
        <f t="shared" si="4"/>
        <v>48</v>
      </c>
      <c r="BY8" s="1">
        <f t="shared" si="5"/>
        <v>75</v>
      </c>
    </row>
    <row r="9" spans="1:98" s="1" customFormat="1" x14ac:dyDescent="0.2">
      <c r="B9" s="1" t="s">
        <v>239</v>
      </c>
      <c r="C9" s="18">
        <v>4.4000000000000004</v>
      </c>
      <c r="D9" s="18">
        <v>5.0389999999999997</v>
      </c>
      <c r="E9" s="18">
        <v>5.5</v>
      </c>
      <c r="F9" s="18">
        <f>19.9-E9-D9-C9</f>
        <v>4.9609999999999985</v>
      </c>
      <c r="G9" s="18">
        <v>4.4000000000000004</v>
      </c>
      <c r="H9" s="18">
        <v>5.5</v>
      </c>
      <c r="I9" s="18">
        <v>4.8</v>
      </c>
      <c r="J9" s="18">
        <f>20.2-I9-H9-G9</f>
        <v>5.4999999999999982</v>
      </c>
      <c r="K9" s="18">
        <v>4.8</v>
      </c>
      <c r="L9" s="18">
        <v>4.0999999999999996</v>
      </c>
      <c r="M9" s="18">
        <v>4</v>
      </c>
      <c r="N9" s="18">
        <f t="shared" ref="N9:N10" si="6">+BO9-M9-L9-K9</f>
        <v>4.200000000000002</v>
      </c>
      <c r="O9" s="18"/>
      <c r="P9" s="18"/>
      <c r="Q9" s="18"/>
      <c r="R9" s="18"/>
      <c r="S9" s="18"/>
      <c r="T9" s="18"/>
      <c r="U9" s="18"/>
      <c r="V9" s="18"/>
      <c r="W9" s="18"/>
      <c r="X9" s="18"/>
      <c r="Y9" s="18"/>
      <c r="Z9" s="18"/>
      <c r="AA9" s="18"/>
      <c r="AB9" s="18"/>
      <c r="AC9" s="18"/>
      <c r="AD9" s="18"/>
      <c r="AE9" s="18"/>
      <c r="AF9" s="18"/>
      <c r="AG9" s="18"/>
      <c r="AH9" s="18"/>
      <c r="AI9" s="18">
        <v>3.5</v>
      </c>
      <c r="AJ9" s="18">
        <v>4.2</v>
      </c>
      <c r="AK9" s="18"/>
      <c r="AL9" s="18"/>
      <c r="AM9" s="18">
        <v>3</v>
      </c>
      <c r="AN9" s="18">
        <v>2.7</v>
      </c>
      <c r="AO9" s="18">
        <v>3</v>
      </c>
      <c r="AP9" s="18">
        <v>4</v>
      </c>
      <c r="AQ9" s="18">
        <v>3</v>
      </c>
      <c r="AR9" s="18">
        <v>0</v>
      </c>
      <c r="AS9" s="18">
        <v>0</v>
      </c>
      <c r="AT9" s="18">
        <v>0</v>
      </c>
      <c r="AU9" s="18">
        <v>0</v>
      </c>
      <c r="AV9" s="18">
        <v>0</v>
      </c>
      <c r="AW9" s="18">
        <v>0</v>
      </c>
      <c r="AX9" s="18">
        <v>0</v>
      </c>
      <c r="AY9" s="18">
        <v>0</v>
      </c>
      <c r="AZ9" s="18">
        <v>0</v>
      </c>
      <c r="BA9" s="18">
        <v>0</v>
      </c>
      <c r="BB9" s="18">
        <v>0</v>
      </c>
      <c r="BC9" s="18">
        <v>0</v>
      </c>
      <c r="BD9" s="18"/>
      <c r="BE9" s="18"/>
      <c r="BF9" s="18"/>
      <c r="BG9" s="18"/>
      <c r="BH9" s="18"/>
      <c r="BL9" s="1">
        <v>25.254000000000001</v>
      </c>
      <c r="BM9" s="1">
        <f>SUM(C9:F9)</f>
        <v>19.899999999999999</v>
      </c>
      <c r="BN9" s="1">
        <f>SUM(G9:J9)</f>
        <v>20.199999999999996</v>
      </c>
      <c r="BO9" s="1">
        <v>17.100000000000001</v>
      </c>
      <c r="BP9" s="1">
        <v>14.4</v>
      </c>
      <c r="BQ9" s="1">
        <v>13.5</v>
      </c>
      <c r="BT9" s="1">
        <v>14.7</v>
      </c>
      <c r="BU9" s="1">
        <v>14.5</v>
      </c>
      <c r="BV9" s="1">
        <f t="shared" si="2"/>
        <v>12.7</v>
      </c>
      <c r="BW9" s="1">
        <f t="shared" si="3"/>
        <v>3</v>
      </c>
      <c r="BX9" s="1">
        <f t="shared" si="4"/>
        <v>0</v>
      </c>
      <c r="BY9" s="1">
        <f t="shared" si="5"/>
        <v>0</v>
      </c>
    </row>
    <row r="10" spans="1:98" s="1" customFormat="1" x14ac:dyDescent="0.2">
      <c r="B10" s="1" t="s">
        <v>20</v>
      </c>
      <c r="C10" s="18">
        <v>85.328999999999994</v>
      </c>
      <c r="D10" s="18">
        <v>84.445999999999998</v>
      </c>
      <c r="E10" s="18">
        <v>79.8</v>
      </c>
      <c r="F10" s="18">
        <f>326.6-E10-D10-C10</f>
        <v>77.02500000000002</v>
      </c>
      <c r="G10" s="18">
        <v>85.004999999999995</v>
      </c>
      <c r="H10" s="18">
        <v>88.988</v>
      </c>
      <c r="I10" s="18">
        <v>145</v>
      </c>
      <c r="J10" s="18">
        <f>423.8-I10-H10-G10</f>
        <v>104.80700000000002</v>
      </c>
      <c r="K10" s="18">
        <v>99.272999999999996</v>
      </c>
      <c r="L10" s="18">
        <v>85.528999999999996</v>
      </c>
      <c r="M10" s="18">
        <v>134.35900000000001</v>
      </c>
      <c r="N10" s="18">
        <f t="shared" si="6"/>
        <v>110.93899999999999</v>
      </c>
      <c r="O10" s="18"/>
      <c r="P10" s="18"/>
      <c r="Q10" s="18"/>
      <c r="R10" s="18"/>
      <c r="S10" s="18"/>
      <c r="T10" s="18"/>
      <c r="U10" s="18"/>
      <c r="V10" s="18"/>
      <c r="W10" s="18"/>
      <c r="X10" s="18"/>
      <c r="Y10" s="18"/>
      <c r="Z10" s="18"/>
      <c r="AA10" s="18"/>
      <c r="AB10" s="18"/>
      <c r="AC10" s="18"/>
      <c r="AD10" s="18"/>
      <c r="AE10" s="18"/>
      <c r="AF10" s="18"/>
      <c r="AG10" s="18"/>
      <c r="AH10" s="18"/>
      <c r="AI10" s="18">
        <f t="shared" ref="AI10:AJ10" si="7">SUM(AI11:AI13)</f>
        <v>0</v>
      </c>
      <c r="AJ10" s="18">
        <f t="shared" si="7"/>
        <v>0</v>
      </c>
      <c r="AK10" s="18"/>
      <c r="AL10" s="18"/>
      <c r="AM10" s="18">
        <f t="shared" ref="AM10:AS10" si="8">SUM(AM11:AM13)</f>
        <v>246.9</v>
      </c>
      <c r="AN10" s="18">
        <f t="shared" si="8"/>
        <v>269.10000000000002</v>
      </c>
      <c r="AO10" s="18">
        <f t="shared" si="8"/>
        <v>353.3</v>
      </c>
      <c r="AP10" s="18">
        <f t="shared" si="8"/>
        <v>317.10000000000002</v>
      </c>
      <c r="AQ10" s="18">
        <f t="shared" si="8"/>
        <v>364.80000000000007</v>
      </c>
      <c r="AR10" s="18">
        <f t="shared" si="8"/>
        <v>437.7</v>
      </c>
      <c r="AS10" s="18">
        <f t="shared" si="8"/>
        <v>581.80000000000007</v>
      </c>
      <c r="AT10" s="18">
        <f>SUM(AT11:AT13)</f>
        <v>517.9</v>
      </c>
      <c r="AU10" s="18">
        <f>SUM(AU11:AU13)</f>
        <v>630.9</v>
      </c>
      <c r="AV10" s="18">
        <f>SUM(AV11:AV13)</f>
        <v>677.5</v>
      </c>
      <c r="AW10" s="18">
        <f>SUM(AW11:AW13)</f>
        <v>711.4</v>
      </c>
      <c r="AX10" s="18">
        <f>SUM(AX11:AX13)</f>
        <v>835.9</v>
      </c>
      <c r="AY10" s="18">
        <v>798</v>
      </c>
      <c r="AZ10" s="18">
        <v>944</v>
      </c>
      <c r="BA10" s="18">
        <f>+AW10*1.2</f>
        <v>853.68</v>
      </c>
      <c r="BB10" s="18">
        <f>+AX10*1.2</f>
        <v>1003.0799999999999</v>
      </c>
      <c r="BC10" s="18">
        <v>910</v>
      </c>
      <c r="BD10" s="18">
        <v>1146</v>
      </c>
      <c r="BE10" s="18"/>
      <c r="BF10" s="18"/>
      <c r="BG10" s="18"/>
      <c r="BH10" s="18"/>
      <c r="BL10" s="1">
        <v>311.33199999999999</v>
      </c>
      <c r="BM10" s="1">
        <f>SUM(C10:F10)</f>
        <v>326.60000000000002</v>
      </c>
      <c r="BN10" s="1">
        <f>SUM(G10:J10)</f>
        <v>423.8</v>
      </c>
      <c r="BO10" s="1">
        <v>430.1</v>
      </c>
      <c r="BP10" s="1">
        <v>541.29999999999995</v>
      </c>
      <c r="BQ10" s="1">
        <v>758.9</v>
      </c>
      <c r="BV10" s="1">
        <f t="shared" si="2"/>
        <v>1186.4000000000001</v>
      </c>
      <c r="BW10" s="1">
        <f t="shared" si="3"/>
        <v>1902.2000000000003</v>
      </c>
      <c r="BX10" s="1">
        <f t="shared" si="4"/>
        <v>2855.7000000000003</v>
      </c>
      <c r="BY10" s="1">
        <f t="shared" si="5"/>
        <v>3598.7599999999998</v>
      </c>
    </row>
    <row r="11" spans="1:98" s="1" customFormat="1" x14ac:dyDescent="0.2">
      <c r="B11" s="1" t="s">
        <v>233</v>
      </c>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v>170.9</v>
      </c>
      <c r="AN11" s="18">
        <v>171.9</v>
      </c>
      <c r="AO11" s="18">
        <v>212.8</v>
      </c>
      <c r="AP11" s="18">
        <v>229.6</v>
      </c>
      <c r="AQ11" s="18">
        <v>260.60000000000002</v>
      </c>
      <c r="AR11" s="18">
        <v>327.60000000000002</v>
      </c>
      <c r="AS11" s="18">
        <v>387</v>
      </c>
      <c r="AT11" s="18">
        <v>387.8</v>
      </c>
      <c r="AU11" s="18">
        <v>415.3</v>
      </c>
      <c r="AV11" s="18">
        <v>496.6</v>
      </c>
      <c r="AW11" s="18">
        <v>551.1</v>
      </c>
      <c r="AX11" s="18">
        <v>619</v>
      </c>
      <c r="BV11" s="1">
        <f t="shared" si="2"/>
        <v>785.2</v>
      </c>
      <c r="BW11" s="1">
        <f t="shared" si="3"/>
        <v>1363</v>
      </c>
      <c r="BX11" s="1">
        <f t="shared" si="4"/>
        <v>2082</v>
      </c>
      <c r="BY11" s="1">
        <f t="shared" si="5"/>
        <v>0</v>
      </c>
    </row>
    <row r="12" spans="1:98" s="1" customFormat="1" x14ac:dyDescent="0.2">
      <c r="B12" s="1" t="s">
        <v>234</v>
      </c>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v>80.099999999999994</v>
      </c>
      <c r="AN12" s="18">
        <v>100.6</v>
      </c>
      <c r="AO12" s="18">
        <v>94.3</v>
      </c>
      <c r="AP12" s="18">
        <v>93</v>
      </c>
      <c r="AQ12" s="18">
        <v>105.6</v>
      </c>
      <c r="AR12" s="18">
        <v>110.9</v>
      </c>
      <c r="AS12" s="18">
        <v>144.69999999999999</v>
      </c>
      <c r="AT12" s="18">
        <v>127.6</v>
      </c>
      <c r="AU12" s="18">
        <v>160.80000000000001</v>
      </c>
      <c r="AV12" s="18">
        <v>145.5</v>
      </c>
      <c r="AW12" s="18">
        <v>160.5</v>
      </c>
      <c r="AX12" s="18">
        <v>166.9</v>
      </c>
      <c r="BV12" s="1">
        <f t="shared" si="2"/>
        <v>368</v>
      </c>
      <c r="BW12" s="1">
        <f t="shared" si="3"/>
        <v>488.79999999999995</v>
      </c>
      <c r="BX12" s="1">
        <f t="shared" si="4"/>
        <v>633.70000000000005</v>
      </c>
      <c r="BY12" s="1">
        <f t="shared" si="5"/>
        <v>0</v>
      </c>
    </row>
    <row r="13" spans="1:98" s="1" customFormat="1" x14ac:dyDescent="0.2">
      <c r="B13" s="1" t="s">
        <v>235</v>
      </c>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f>-6.2+2.1</f>
        <v>-4.0999999999999996</v>
      </c>
      <c r="AN13" s="18">
        <f>-6.4+3</f>
        <v>-3.4000000000000004</v>
      </c>
      <c r="AO13" s="18">
        <f>50-4.7+0.9</f>
        <v>46.199999999999996</v>
      </c>
      <c r="AP13" s="18">
        <f>-8.4+2.9</f>
        <v>-5.5</v>
      </c>
      <c r="AQ13" s="18">
        <f>-6.1+4.7</f>
        <v>-1.3999999999999995</v>
      </c>
      <c r="AR13" s="18">
        <f>-3.5+2.7</f>
        <v>-0.79999999999999982</v>
      </c>
      <c r="AS13" s="18">
        <f>50+3.1-3</f>
        <v>50.1</v>
      </c>
      <c r="AT13" s="18">
        <f>-1+3.5</f>
        <v>2.5</v>
      </c>
      <c r="AU13" s="18">
        <f>50+2.8+2</f>
        <v>54.8</v>
      </c>
      <c r="AV13" s="18">
        <f>28.9+3.9+2.6</f>
        <v>35.4</v>
      </c>
      <c r="AW13" s="18">
        <v>-0.2</v>
      </c>
      <c r="AX13" s="18">
        <v>50</v>
      </c>
      <c r="BV13" s="1">
        <f t="shared" si="2"/>
        <v>33.199999999999996</v>
      </c>
      <c r="BW13" s="1">
        <f t="shared" si="3"/>
        <v>50.400000000000006</v>
      </c>
      <c r="BX13" s="1">
        <f t="shared" si="4"/>
        <v>140</v>
      </c>
      <c r="BY13" s="1">
        <f t="shared" si="5"/>
        <v>0</v>
      </c>
    </row>
    <row r="14" spans="1:98" s="1" customFormat="1" x14ac:dyDescent="0.2">
      <c r="B14" s="1" t="s">
        <v>236</v>
      </c>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v>557.29999999999995</v>
      </c>
      <c r="AK14" s="18"/>
      <c r="AL14" s="18"/>
      <c r="AM14" s="18">
        <v>855</v>
      </c>
      <c r="AN14" s="18">
        <v>945</v>
      </c>
      <c r="AO14" s="18">
        <v>1072.5999999999999</v>
      </c>
      <c r="AP14" s="18">
        <v>1172</v>
      </c>
      <c r="AQ14" s="18">
        <v>1262.9000000000001</v>
      </c>
      <c r="AR14" s="18">
        <v>1499</v>
      </c>
      <c r="AS14" s="18">
        <v>1662.9</v>
      </c>
      <c r="AT14" s="18">
        <v>1773.8</v>
      </c>
      <c r="AU14" s="18">
        <v>1810.4</v>
      </c>
      <c r="AV14" s="18">
        <v>2091.8000000000002</v>
      </c>
      <c r="AW14" s="18">
        <v>2330.1</v>
      </c>
      <c r="AX14" s="18">
        <v>2448.9</v>
      </c>
      <c r="AZ14" s="1">
        <v>2789.4</v>
      </c>
      <c r="BD14" s="1">
        <v>3556.4</v>
      </c>
      <c r="BT14" s="1">
        <v>922</v>
      </c>
      <c r="BU14" s="1">
        <v>2315.6</v>
      </c>
      <c r="BV14" s="1">
        <f t="shared" si="2"/>
        <v>4044.6</v>
      </c>
      <c r="BW14" s="1">
        <f t="shared" si="3"/>
        <v>6198.6</v>
      </c>
      <c r="BX14" s="1">
        <f t="shared" si="4"/>
        <v>8681.2000000000007</v>
      </c>
      <c r="BY14" s="1">
        <f t="shared" si="5"/>
        <v>2789.4</v>
      </c>
    </row>
    <row r="15" spans="1:98" s="1" customFormat="1" x14ac:dyDescent="0.2">
      <c r="B15" s="1" t="s">
        <v>237</v>
      </c>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v>73.7</v>
      </c>
      <c r="AK15" s="18"/>
      <c r="AL15" s="18"/>
      <c r="AM15" s="18"/>
      <c r="AN15" s="18">
        <v>86.6</v>
      </c>
      <c r="AO15" s="18">
        <v>91.5</v>
      </c>
      <c r="AP15" s="18">
        <v>100.9</v>
      </c>
      <c r="AQ15" s="18">
        <v>104.6</v>
      </c>
      <c r="AR15" s="18">
        <v>99.4</v>
      </c>
      <c r="AS15" s="18">
        <v>114.5</v>
      </c>
      <c r="AT15" s="18">
        <v>102.6</v>
      </c>
      <c r="AU15" s="18">
        <v>111.4</v>
      </c>
      <c r="AV15" s="18">
        <v>108.9</v>
      </c>
      <c r="AW15" s="18">
        <v>113.7</v>
      </c>
      <c r="AX15" s="18">
        <v>133.4</v>
      </c>
      <c r="AZ15" s="1">
        <v>140.30000000000001</v>
      </c>
      <c r="BD15" s="1">
        <v>191.9</v>
      </c>
      <c r="BV15" s="1">
        <f t="shared" si="2"/>
        <v>279</v>
      </c>
      <c r="BW15" s="1">
        <f t="shared" si="3"/>
        <v>421.1</v>
      </c>
      <c r="BX15" s="1">
        <f t="shared" si="4"/>
        <v>467.4</v>
      </c>
      <c r="BY15" s="1">
        <f t="shared" si="5"/>
        <v>140.30000000000001</v>
      </c>
    </row>
    <row r="16" spans="1:98" s="1" customFormat="1" x14ac:dyDescent="0.2">
      <c r="B16" s="1" t="s">
        <v>238</v>
      </c>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v>58.5</v>
      </c>
      <c r="AK16" s="18"/>
      <c r="AL16" s="18"/>
      <c r="AM16" s="18"/>
      <c r="AN16" s="18">
        <v>68.3</v>
      </c>
      <c r="AO16" s="18">
        <v>70</v>
      </c>
      <c r="AP16" s="18">
        <v>71.5</v>
      </c>
      <c r="AQ16" s="18">
        <v>69.099999999999994</v>
      </c>
      <c r="AR16" s="18">
        <v>66.7</v>
      </c>
      <c r="AS16" s="18">
        <v>97.8</v>
      </c>
      <c r="AT16" s="18">
        <v>103.9</v>
      </c>
      <c r="AU16" s="18">
        <v>106.4</v>
      </c>
      <c r="AV16" s="18">
        <v>82.3</v>
      </c>
      <c r="AW16" s="18">
        <v>88.1</v>
      </c>
      <c r="AX16" s="18">
        <v>81.2</v>
      </c>
      <c r="AZ16" s="1">
        <v>99.5</v>
      </c>
      <c r="BD16" s="1">
        <v>109.7</v>
      </c>
      <c r="BV16" s="1">
        <f t="shared" si="2"/>
        <v>209.8</v>
      </c>
      <c r="BW16" s="1">
        <f t="shared" si="3"/>
        <v>337.5</v>
      </c>
      <c r="BX16" s="1">
        <f t="shared" si="4"/>
        <v>357.99999999999994</v>
      </c>
      <c r="BY16" s="1">
        <f t="shared" si="5"/>
        <v>99.5</v>
      </c>
    </row>
    <row r="17" spans="2:77" s="1" customFormat="1" x14ac:dyDescent="0.2">
      <c r="B17" s="1" t="s">
        <v>371</v>
      </c>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18"/>
      <c r="AI17" s="18"/>
      <c r="AJ17" s="18"/>
      <c r="AK17" s="18"/>
      <c r="AL17" s="18"/>
      <c r="AM17" s="18"/>
      <c r="AN17" s="18"/>
      <c r="AO17" s="18"/>
      <c r="AP17" s="18"/>
      <c r="AQ17" s="18"/>
      <c r="AR17" s="18"/>
      <c r="AS17" s="18"/>
      <c r="AT17" s="18"/>
      <c r="AU17" s="18"/>
      <c r="AV17" s="18"/>
      <c r="AW17" s="18"/>
      <c r="AX17" s="18"/>
      <c r="BT17" s="55" t="s">
        <v>372</v>
      </c>
      <c r="BU17" s="55" t="s">
        <v>373</v>
      </c>
      <c r="BV17" s="55">
        <v>2962</v>
      </c>
    </row>
    <row r="18" spans="2:77" s="1" customFormat="1" x14ac:dyDescent="0.2">
      <c r="B18" s="1" t="s">
        <v>218</v>
      </c>
      <c r="C18" s="18">
        <v>12.481</v>
      </c>
      <c r="D18" s="18">
        <v>11.122999999999999</v>
      </c>
      <c r="E18" s="18">
        <v>10.1</v>
      </c>
      <c r="F18" s="18">
        <f>43.1-E18-D18-C18</f>
        <v>9.3960000000000026</v>
      </c>
      <c r="G18" s="18">
        <v>12.483000000000001</v>
      </c>
      <c r="H18" s="18">
        <v>9.1240000000000006</v>
      </c>
      <c r="I18" s="18">
        <v>26.7</v>
      </c>
      <c r="J18" s="18">
        <f>70.1-I18-H18-G18</f>
        <v>21.792999999999989</v>
      </c>
      <c r="K18" s="18">
        <v>14.907</v>
      </c>
      <c r="L18" s="18">
        <v>31.103999999999999</v>
      </c>
      <c r="M18" s="18">
        <v>88.582999999999998</v>
      </c>
      <c r="N18" s="18">
        <f>+BO18-M18-L18-K18</f>
        <v>85.706000000000017</v>
      </c>
      <c r="O18" s="18"/>
      <c r="P18" s="18"/>
      <c r="Q18" s="18"/>
      <c r="R18" s="18"/>
      <c r="S18" s="18"/>
      <c r="T18" s="18"/>
      <c r="U18" s="18"/>
      <c r="V18" s="18"/>
      <c r="W18" s="18"/>
      <c r="X18" s="18"/>
      <c r="Y18" s="18"/>
      <c r="Z18" s="18"/>
      <c r="AA18" s="18"/>
      <c r="AB18" s="18"/>
      <c r="AC18" s="18"/>
      <c r="AD18" s="18"/>
      <c r="AE18" s="18"/>
      <c r="AF18" s="18"/>
      <c r="AG18" s="18"/>
      <c r="AH18" s="18"/>
      <c r="AI18" s="18">
        <v>264</v>
      </c>
      <c r="AJ18" s="18"/>
      <c r="AK18" s="18"/>
      <c r="AL18" s="18"/>
      <c r="AM18" s="18">
        <v>281.39999999999998</v>
      </c>
      <c r="AN18" s="18">
        <v>244.2</v>
      </c>
      <c r="AO18" s="18">
        <v>299.89999999999998</v>
      </c>
      <c r="AP18" s="18">
        <v>360.6</v>
      </c>
      <c r="AQ18" s="18">
        <v>322.8</v>
      </c>
      <c r="AR18" s="18">
        <v>349</v>
      </c>
      <c r="AS18" s="18">
        <v>365</v>
      </c>
      <c r="AT18" s="18">
        <v>372.4</v>
      </c>
      <c r="AU18" s="18">
        <v>385.3</v>
      </c>
      <c r="AV18" s="18">
        <v>358</v>
      </c>
      <c r="AW18" s="18">
        <v>333</v>
      </c>
      <c r="AX18" s="18">
        <v>355.1</v>
      </c>
      <c r="AY18" s="18">
        <v>357</v>
      </c>
      <c r="AZ18" s="18">
        <v>377</v>
      </c>
      <c r="BA18" s="18">
        <f t="shared" ref="BA18:BB18" si="9">+AW18*1.01</f>
        <v>336.33</v>
      </c>
      <c r="BB18" s="18">
        <f t="shared" si="9"/>
        <v>358.65100000000001</v>
      </c>
      <c r="BC18" s="18">
        <v>356</v>
      </c>
      <c r="BD18" s="18">
        <v>375</v>
      </c>
      <c r="BE18" s="18"/>
      <c r="BF18" s="18"/>
      <c r="BG18" s="18"/>
      <c r="BH18" s="18"/>
      <c r="BM18" s="1">
        <f>SUM(C18:F18)</f>
        <v>43.1</v>
      </c>
      <c r="BN18" s="1">
        <f>SUM(G18:J18)</f>
        <v>70.099999999999994</v>
      </c>
      <c r="BO18" s="1">
        <v>220.3</v>
      </c>
      <c r="BP18" s="1">
        <v>495.6</v>
      </c>
      <c r="BQ18" s="1">
        <v>580.5</v>
      </c>
      <c r="BV18" s="1">
        <f t="shared" si="2"/>
        <v>1186.0999999999999</v>
      </c>
      <c r="BW18" s="1">
        <f t="shared" si="3"/>
        <v>1409.1999999999998</v>
      </c>
      <c r="BX18" s="1">
        <f t="shared" si="4"/>
        <v>1431.4</v>
      </c>
      <c r="BY18" s="1">
        <f t="shared" si="5"/>
        <v>1428.981</v>
      </c>
    </row>
    <row r="19" spans="2:77" s="1" customFormat="1" x14ac:dyDescent="0.2">
      <c r="B19" s="1" t="s">
        <v>219</v>
      </c>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18"/>
      <c r="AI19" s="18">
        <v>0</v>
      </c>
      <c r="AJ19" s="18">
        <v>0</v>
      </c>
      <c r="AK19" s="18">
        <v>0</v>
      </c>
      <c r="AL19" s="18">
        <v>0</v>
      </c>
      <c r="AM19" s="18">
        <v>0</v>
      </c>
      <c r="AN19" s="18">
        <v>0</v>
      </c>
      <c r="AO19" s="18">
        <v>0</v>
      </c>
      <c r="AP19" s="18">
        <v>0</v>
      </c>
      <c r="AQ19" s="18">
        <v>66.8</v>
      </c>
      <c r="AR19" s="18">
        <v>168</v>
      </c>
      <c r="AS19" s="18">
        <v>127.1</v>
      </c>
      <c r="AT19" s="18">
        <v>0</v>
      </c>
      <c r="AU19" s="18">
        <v>216.3</v>
      </c>
      <c r="AV19" s="18">
        <v>8</v>
      </c>
      <c r="AW19" s="18">
        <v>6</v>
      </c>
      <c r="AX19" s="18">
        <v>396.4</v>
      </c>
      <c r="AY19" s="1">
        <v>223</v>
      </c>
      <c r="AZ19" s="1">
        <v>-4</v>
      </c>
      <c r="BC19" s="1">
        <v>1</v>
      </c>
      <c r="BD19" s="1">
        <v>3</v>
      </c>
      <c r="BV19" s="1">
        <f t="shared" si="2"/>
        <v>0</v>
      </c>
      <c r="BW19" s="1">
        <f t="shared" si="3"/>
        <v>361.9</v>
      </c>
      <c r="BX19" s="1">
        <f t="shared" si="4"/>
        <v>626.70000000000005</v>
      </c>
      <c r="BY19" s="1">
        <f t="shared" si="5"/>
        <v>219</v>
      </c>
    </row>
    <row r="20" spans="2:77" s="1" customFormat="1" x14ac:dyDescent="0.2">
      <c r="B20" s="1" t="s">
        <v>220</v>
      </c>
      <c r="C20" s="18">
        <f t="shared" ref="C20:D20" si="10">7.845+2.122</f>
        <v>9.9669999999999987</v>
      </c>
      <c r="D20" s="18">
        <f>5.228+1.974</f>
        <v>7.202</v>
      </c>
      <c r="E20" s="18">
        <f>5.9+1.5</f>
        <v>7.4</v>
      </c>
      <c r="F20" s="18">
        <f>24.8+6.6-E20-D20-C20</f>
        <v>6.8310000000000031</v>
      </c>
      <c r="G20" s="18">
        <f>5.893+0.477</f>
        <v>6.37</v>
      </c>
      <c r="H20" s="18">
        <f>5.893+0.875</f>
        <v>6.7679999999999998</v>
      </c>
      <c r="I20" s="18">
        <f>5.9+0.9</f>
        <v>6.8000000000000007</v>
      </c>
      <c r="J20" s="18">
        <f>23.6+2.9-I20-H20-G20</f>
        <v>6.5619999999999985</v>
      </c>
      <c r="K20" s="18">
        <f>5.893+0.851</f>
        <v>6.7439999999999998</v>
      </c>
      <c r="L20" s="18">
        <f>5.893+1.223</f>
        <v>7.1159999999999997</v>
      </c>
      <c r="M20" s="18">
        <f>5.893+1.074</f>
        <v>6.9669999999999996</v>
      </c>
      <c r="N20" s="18">
        <f>+BO20-M20-L20-K20</f>
        <v>7.6730000000000018</v>
      </c>
      <c r="O20" s="18"/>
      <c r="P20" s="18"/>
      <c r="Q20" s="18"/>
      <c r="R20" s="18"/>
      <c r="S20" s="18"/>
      <c r="T20" s="18"/>
      <c r="U20" s="18"/>
      <c r="V20" s="18"/>
      <c r="W20" s="18"/>
      <c r="X20" s="18"/>
      <c r="Y20" s="18"/>
      <c r="Z20" s="18"/>
      <c r="AA20" s="18"/>
      <c r="AB20" s="18"/>
      <c r="AC20" s="18"/>
      <c r="AD20" s="18"/>
      <c r="AE20" s="18"/>
      <c r="AF20" s="18"/>
      <c r="AG20" s="18"/>
      <c r="AH20" s="18"/>
      <c r="AI20" s="18">
        <v>22.2</v>
      </c>
      <c r="AJ20" s="18"/>
      <c r="AK20" s="18"/>
      <c r="AL20" s="18"/>
      <c r="AM20" s="18">
        <v>63.2</v>
      </c>
      <c r="AN20" s="18">
        <v>211.8</v>
      </c>
      <c r="AO20" s="18">
        <v>158.6</v>
      </c>
      <c r="AP20" s="18"/>
      <c r="AQ20" s="18">
        <v>50</v>
      </c>
      <c r="AR20" s="18">
        <v>46</v>
      </c>
      <c r="AS20" s="18">
        <v>99</v>
      </c>
      <c r="AT20" s="18">
        <v>86.2</v>
      </c>
      <c r="AU20" s="18">
        <v>94</v>
      </c>
      <c r="AV20" s="18">
        <v>59</v>
      </c>
      <c r="AW20" s="18">
        <v>84</v>
      </c>
      <c r="AX20" s="18">
        <v>127.7</v>
      </c>
      <c r="AY20" s="1">
        <v>116</v>
      </c>
      <c r="AZ20" s="1">
        <v>69</v>
      </c>
      <c r="BA20" s="1">
        <f t="shared" ref="BA20:BB20" si="11">AVERAGE(AW20:AZ20)</f>
        <v>99.174999999999997</v>
      </c>
      <c r="BB20" s="1">
        <f t="shared" si="11"/>
        <v>102.96875</v>
      </c>
      <c r="BC20" s="1">
        <v>117</v>
      </c>
      <c r="BD20" s="1">
        <v>104</v>
      </c>
      <c r="BM20" s="1">
        <f>SUM(C20:F20)</f>
        <v>31.4</v>
      </c>
      <c r="BN20" s="1">
        <v>26.5</v>
      </c>
      <c r="BO20" s="1">
        <v>28.5</v>
      </c>
      <c r="BP20" s="1">
        <v>31.9</v>
      </c>
      <c r="BQ20" s="1">
        <v>74.8</v>
      </c>
      <c r="BV20" s="1">
        <f t="shared" si="2"/>
        <v>433.6</v>
      </c>
      <c r="BW20" s="1">
        <f t="shared" si="3"/>
        <v>281.2</v>
      </c>
      <c r="BX20" s="1">
        <f t="shared" si="4"/>
        <v>364.7</v>
      </c>
      <c r="BY20" s="1">
        <f t="shared" si="5"/>
        <v>387.14375000000001</v>
      </c>
    </row>
    <row r="21" spans="2:77" s="20" customFormat="1" x14ac:dyDescent="0.2">
      <c r="B21" s="20" t="s">
        <v>221</v>
      </c>
      <c r="C21" s="21">
        <f t="shared" ref="C21:F21" si="12">+C20+C18+C10+C3+C9</f>
        <v>112.17699999999999</v>
      </c>
      <c r="D21" s="21">
        <f t="shared" si="12"/>
        <v>107.81</v>
      </c>
      <c r="E21" s="21">
        <f t="shared" si="12"/>
        <v>102.8</v>
      </c>
      <c r="F21" s="21">
        <f t="shared" si="12"/>
        <v>123.01300000000002</v>
      </c>
      <c r="G21" s="21">
        <f>+G20+G18+G10+G3+G9</f>
        <v>231.75800000000001</v>
      </c>
      <c r="H21" s="21">
        <f t="shared" ref="H21:N21" si="13">+H20+H18+H10+H3+H9</f>
        <v>304.38</v>
      </c>
      <c r="I21" s="21">
        <f t="shared" si="13"/>
        <v>427.7</v>
      </c>
      <c r="J21" s="21">
        <f t="shared" si="13"/>
        <v>414.66200000000003</v>
      </c>
      <c r="K21" s="21">
        <f t="shared" si="13"/>
        <v>439.62399999999997</v>
      </c>
      <c r="L21" s="21">
        <f t="shared" si="13"/>
        <v>457.649</v>
      </c>
      <c r="M21" s="21">
        <f t="shared" si="13"/>
        <v>597.00900000000001</v>
      </c>
      <c r="N21" s="21">
        <f t="shared" si="13"/>
        <v>610.41800000000001</v>
      </c>
      <c r="O21" s="21"/>
      <c r="P21" s="21"/>
      <c r="Q21" s="21"/>
      <c r="R21" s="21"/>
      <c r="S21" s="21"/>
      <c r="T21" s="21"/>
      <c r="U21" s="21"/>
      <c r="V21" s="21"/>
      <c r="W21" s="21"/>
      <c r="X21" s="21"/>
      <c r="Y21" s="21"/>
      <c r="Z21" s="21"/>
      <c r="AA21" s="21"/>
      <c r="AB21" s="21"/>
      <c r="AC21" s="21"/>
      <c r="AD21" s="21"/>
      <c r="AE21" s="21"/>
      <c r="AF21" s="21"/>
      <c r="AG21" s="21"/>
      <c r="AH21" s="21"/>
      <c r="AI21" s="21">
        <f t="shared" ref="AI21:AJ21" si="14">SUM(AI3:AI10)+AI18+AI19+AI20</f>
        <v>1390.6</v>
      </c>
      <c r="AJ21" s="21">
        <f t="shared" si="14"/>
        <v>1231.5</v>
      </c>
      <c r="AK21" s="21"/>
      <c r="AL21" s="21"/>
      <c r="AM21" s="21">
        <f t="shared" ref="AM21:AP21" si="15">SUM(AM3:AM10)+AM18+AM19+AM20</f>
        <v>1828.2</v>
      </c>
      <c r="AN21" s="21">
        <f t="shared" si="15"/>
        <v>1952.3000000000002</v>
      </c>
      <c r="AO21" s="21">
        <f t="shared" si="15"/>
        <v>2293.7999999999997</v>
      </c>
      <c r="AP21" s="21">
        <f t="shared" si="15"/>
        <v>2299.6999999999998</v>
      </c>
      <c r="AQ21" s="21">
        <f t="shared" ref="AQ21:AV21" si="16">SUM(AQ3:AQ10)+AQ18+AQ19+AQ20</f>
        <v>2529.4000000000005</v>
      </c>
      <c r="AR21" s="21">
        <f t="shared" si="16"/>
        <v>5138.7</v>
      </c>
      <c r="AS21" s="21">
        <f>SUM(AS3:AS10)+AS18+AS19+AS20</f>
        <v>3452.9</v>
      </c>
      <c r="AT21" s="21">
        <f t="shared" si="16"/>
        <v>4951.4999999999991</v>
      </c>
      <c r="AU21" s="21">
        <f t="shared" si="16"/>
        <v>2965.5000000000005</v>
      </c>
      <c r="AV21" s="21">
        <f t="shared" si="16"/>
        <v>2856.5</v>
      </c>
      <c r="AW21" s="21">
        <f t="shared" ref="AW21:BD21" si="17">SUM(AW3:AW10)+AW18+AW19+AW20</f>
        <v>2936.4</v>
      </c>
      <c r="AX21" s="21">
        <f t="shared" si="17"/>
        <v>3414.1</v>
      </c>
      <c r="AY21" s="21">
        <f t="shared" si="17"/>
        <v>3162</v>
      </c>
      <c r="AZ21" s="21">
        <f t="shared" si="17"/>
        <v>3158</v>
      </c>
      <c r="BA21" s="21">
        <f t="shared" si="17"/>
        <v>3360.085</v>
      </c>
      <c r="BB21" s="21">
        <f t="shared" si="17"/>
        <v>3396.2997500000001</v>
      </c>
      <c r="BC21" s="21">
        <f t="shared" si="17"/>
        <v>3145</v>
      </c>
      <c r="BD21" s="21">
        <f t="shared" si="17"/>
        <v>3547</v>
      </c>
      <c r="BE21" s="21"/>
      <c r="BF21" s="21"/>
      <c r="BG21" s="21"/>
      <c r="BH21" s="21"/>
      <c r="BL21" s="21">
        <f t="shared" ref="BL21:BU21" si="18">SUM(BL3:BL10)+BL18+BL19+BL20</f>
        <v>336.58600000000001</v>
      </c>
      <c r="BM21" s="21">
        <f>SUM(BM3:BM10)+BM18+BM19+BM20</f>
        <v>445.8</v>
      </c>
      <c r="BN21" s="21">
        <f t="shared" si="18"/>
        <v>1378.5</v>
      </c>
      <c r="BO21" s="21">
        <f t="shared" si="18"/>
        <v>2104.7000000000003</v>
      </c>
      <c r="BP21" s="21">
        <f t="shared" si="18"/>
        <v>2819.6000000000004</v>
      </c>
      <c r="BQ21" s="21">
        <f t="shared" si="18"/>
        <v>4103.7</v>
      </c>
      <c r="BR21" s="21">
        <f t="shared" si="18"/>
        <v>0</v>
      </c>
      <c r="BS21" s="21">
        <f t="shared" si="18"/>
        <v>0</v>
      </c>
      <c r="BT21" s="21">
        <f t="shared" si="18"/>
        <v>4287.5</v>
      </c>
      <c r="BU21" s="21">
        <f t="shared" si="18"/>
        <v>4960.3999999999996</v>
      </c>
      <c r="BV21" s="21">
        <f>SUM(BV3:BV10)+BV18+BV19+BV20</f>
        <v>8374</v>
      </c>
      <c r="BW21" s="21">
        <f>SUM(BW3:BW10)+BW18+BW19+BW20</f>
        <v>16072.500000000002</v>
      </c>
      <c r="BX21" s="21">
        <f>SUM(BX3:BX10)+BX18+BX19+BX20</f>
        <v>12172.500000000002</v>
      </c>
      <c r="BY21" s="21">
        <f>SUM(BY3:BY10)+BY18+BY19+BY20</f>
        <v>13076.384749999999</v>
      </c>
    </row>
    <row r="22" spans="2:77" s="1" customFormat="1" x14ac:dyDescent="0.2">
      <c r="B22" s="1" t="s">
        <v>222</v>
      </c>
      <c r="C22" s="18">
        <v>0.38200000000000001</v>
      </c>
      <c r="D22" s="18">
        <v>0.39500000000000002</v>
      </c>
      <c r="E22" s="18">
        <v>0.45</v>
      </c>
      <c r="F22" s="18">
        <f>BM22-E22-D22-C22</f>
        <v>2.9889999999999999</v>
      </c>
      <c r="G22" s="18">
        <v>12.298</v>
      </c>
      <c r="H22" s="18">
        <v>21.843</v>
      </c>
      <c r="I22" s="18">
        <v>20.145</v>
      </c>
      <c r="J22" s="18">
        <f>+BN22-I22-H22-G22</f>
        <v>30.168999999999997</v>
      </c>
      <c r="K22" s="18">
        <v>29.055</v>
      </c>
      <c r="L22" s="18">
        <f>27.283+12.33</f>
        <v>39.613</v>
      </c>
      <c r="M22" s="18">
        <f>28.253+10.32</f>
        <v>38.573</v>
      </c>
      <c r="N22" s="18">
        <f>+BO22-M22-L22-K22</f>
        <v>48.114000000000011</v>
      </c>
      <c r="O22" s="18"/>
      <c r="P22" s="18"/>
      <c r="Q22" s="18"/>
      <c r="R22" s="18"/>
      <c r="S22" s="18"/>
      <c r="T22" s="18"/>
      <c r="U22" s="18"/>
      <c r="V22" s="18"/>
      <c r="W22" s="18"/>
      <c r="X22" s="18"/>
      <c r="Y22" s="18"/>
      <c r="Z22" s="18"/>
      <c r="AA22" s="18"/>
      <c r="AB22" s="18"/>
      <c r="AC22" s="18"/>
      <c r="AD22" s="18"/>
      <c r="AE22" s="18"/>
      <c r="AF22" s="18"/>
      <c r="AG22" s="18"/>
      <c r="AH22" s="18"/>
      <c r="AI22" s="18"/>
      <c r="AJ22" s="18">
        <v>58.2</v>
      </c>
      <c r="AK22" s="18"/>
      <c r="AL22" s="18"/>
      <c r="AM22" s="18">
        <f>78.8+138.5</f>
        <v>217.3</v>
      </c>
      <c r="AN22" s="18">
        <f>93.2+173</f>
        <v>266.2</v>
      </c>
      <c r="AO22" s="18">
        <v>122</v>
      </c>
      <c r="AP22" s="18">
        <f>166+173.5</f>
        <v>339.5</v>
      </c>
      <c r="AQ22" s="18">
        <f>183.2+124.8</f>
        <v>308</v>
      </c>
      <c r="AR22" s="18">
        <f>539.4+154.3</f>
        <v>693.7</v>
      </c>
      <c r="AS22" s="18">
        <v>224</v>
      </c>
      <c r="AT22" s="18">
        <f>559+170.9</f>
        <v>729.9</v>
      </c>
      <c r="AU22" s="18">
        <f>207.3+197.6</f>
        <v>404.9</v>
      </c>
      <c r="AV22" s="18">
        <f>149.2+147.9</f>
        <v>297.10000000000002</v>
      </c>
      <c r="AW22" s="18">
        <v>109</v>
      </c>
      <c r="AX22" s="18">
        <f>302.2+238.4-133.7-19.7</f>
        <v>387.20000000000005</v>
      </c>
      <c r="AY22" s="18">
        <v>168</v>
      </c>
      <c r="AZ22" s="18">
        <v>163</v>
      </c>
      <c r="BA22" s="18">
        <f t="shared" ref="BA22:BB22" si="19">+BA21-BA23</f>
        <v>336.00849999999991</v>
      </c>
      <c r="BB22" s="18">
        <f t="shared" si="19"/>
        <v>339.62997499999983</v>
      </c>
      <c r="BC22" s="18">
        <v>196</v>
      </c>
      <c r="BD22" s="18">
        <v>214</v>
      </c>
      <c r="BE22" s="18"/>
      <c r="BF22" s="18"/>
      <c r="BG22" s="18"/>
      <c r="BH22" s="18"/>
      <c r="BM22" s="1">
        <v>4.2160000000000002</v>
      </c>
      <c r="BN22" s="1">
        <v>84.454999999999998</v>
      </c>
      <c r="BO22" s="1">
        <f>118.048+37.307</f>
        <v>155.35500000000002</v>
      </c>
      <c r="BP22" s="1">
        <f>129.03+75.988</f>
        <v>205.018</v>
      </c>
      <c r="BQ22" s="1">
        <f>151.007+241.702</f>
        <v>392.709</v>
      </c>
      <c r="BV22" s="1">
        <f t="shared" ref="BV22" si="20">SUM(AM22:AP22)</f>
        <v>945</v>
      </c>
      <c r="BW22" s="1">
        <f t="shared" ref="BW22" si="21">SUM(AQ22:AT22)</f>
        <v>1955.6</v>
      </c>
      <c r="BX22" s="1">
        <f t="shared" ref="BX22" si="22">SUM(AU22:AX22)</f>
        <v>1198.2</v>
      </c>
      <c r="BY22" s="1">
        <f t="shared" ref="BY22" si="23">SUM(AY22:BB22)</f>
        <v>1006.6384749999997</v>
      </c>
    </row>
    <row r="23" spans="2:77" s="1" customFormat="1" x14ac:dyDescent="0.2">
      <c r="B23" s="1" t="s">
        <v>223</v>
      </c>
      <c r="C23" s="18">
        <f t="shared" ref="C23:F23" si="24">+C21-C22</f>
        <v>111.79499999999999</v>
      </c>
      <c r="D23" s="18">
        <f t="shared" si="24"/>
        <v>107.41500000000001</v>
      </c>
      <c r="E23" s="18">
        <f t="shared" si="24"/>
        <v>102.35</v>
      </c>
      <c r="F23" s="18">
        <f t="shared" si="24"/>
        <v>120.02400000000002</v>
      </c>
      <c r="G23" s="18">
        <f>+G21-G22</f>
        <v>219.46</v>
      </c>
      <c r="H23" s="18">
        <f>+H21-H22</f>
        <v>282.53699999999998</v>
      </c>
      <c r="I23" s="18">
        <f>+I21-I22</f>
        <v>407.55500000000001</v>
      </c>
      <c r="J23" s="18">
        <f>+J21-J22</f>
        <v>384.49300000000005</v>
      </c>
      <c r="K23" s="18">
        <f>+K21-K22</f>
        <v>410.56899999999996</v>
      </c>
      <c r="L23" s="18">
        <f>+L21-L22</f>
        <v>418.036</v>
      </c>
      <c r="M23" s="18">
        <f>+M21-M22</f>
        <v>558.43600000000004</v>
      </c>
      <c r="N23" s="18">
        <f>+N21-N22</f>
        <v>562.30399999999997</v>
      </c>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f t="shared" ref="AM23" si="25">+AM21-AM22</f>
        <v>1610.9</v>
      </c>
      <c r="AN23" s="18">
        <f t="shared" ref="AN23:AV23" si="26">+AN21-AN22</f>
        <v>1686.1000000000001</v>
      </c>
      <c r="AO23" s="18">
        <f t="shared" si="26"/>
        <v>2171.7999999999997</v>
      </c>
      <c r="AP23" s="18">
        <f t="shared" si="26"/>
        <v>1960.1999999999998</v>
      </c>
      <c r="AQ23" s="18">
        <f t="shared" si="26"/>
        <v>2221.4000000000005</v>
      </c>
      <c r="AR23" s="18">
        <f t="shared" si="26"/>
        <v>4445</v>
      </c>
      <c r="AS23" s="18">
        <f t="shared" si="26"/>
        <v>3228.9</v>
      </c>
      <c r="AT23" s="18">
        <f t="shared" si="26"/>
        <v>4221.5999999999995</v>
      </c>
      <c r="AU23" s="18">
        <f t="shared" si="26"/>
        <v>2560.6000000000004</v>
      </c>
      <c r="AV23" s="18">
        <f t="shared" si="26"/>
        <v>2559.4</v>
      </c>
      <c r="AW23" s="18">
        <f>+AW21-AW22</f>
        <v>2827.4</v>
      </c>
      <c r="AX23" s="18">
        <f>+AX21-AX22</f>
        <v>3026.8999999999996</v>
      </c>
      <c r="AY23" s="18">
        <f>AY21-AY22</f>
        <v>2994</v>
      </c>
      <c r="AZ23" s="18">
        <f>AZ21-AZ22</f>
        <v>2995</v>
      </c>
      <c r="BA23" s="18">
        <f t="shared" ref="BA23:BB23" si="27">+BA21*0.9</f>
        <v>3024.0765000000001</v>
      </c>
      <c r="BB23" s="18">
        <f t="shared" si="27"/>
        <v>3056.6697750000003</v>
      </c>
      <c r="BC23" s="18">
        <f>BC21-BC22</f>
        <v>2949</v>
      </c>
      <c r="BD23" s="18">
        <f>BD21-BD22</f>
        <v>3333</v>
      </c>
      <c r="BE23" s="18"/>
      <c r="BF23" s="18"/>
      <c r="BG23" s="18"/>
      <c r="BH23" s="18"/>
      <c r="BM23" s="1">
        <f>+BM21-BM22</f>
        <v>441.584</v>
      </c>
      <c r="BN23" s="1">
        <f>+BN21-BN22</f>
        <v>1294.0450000000001</v>
      </c>
      <c r="BO23" s="1">
        <f>+BO21-BO22</f>
        <v>1949.3450000000003</v>
      </c>
      <c r="BP23" s="1">
        <f>+BP21-BP22</f>
        <v>2614.5820000000003</v>
      </c>
      <c r="BQ23" s="1">
        <f>+BQ21-BQ22</f>
        <v>3710.991</v>
      </c>
      <c r="BV23" s="1">
        <f>+BV21-BV22</f>
        <v>7429</v>
      </c>
      <c r="BW23" s="1">
        <f t="shared" ref="BW23:BY23" si="28">+BW21-BW22</f>
        <v>14116.900000000001</v>
      </c>
      <c r="BX23" s="1">
        <f t="shared" si="28"/>
        <v>10974.300000000001</v>
      </c>
      <c r="BY23" s="1">
        <f t="shared" si="28"/>
        <v>12069.746275</v>
      </c>
    </row>
    <row r="24" spans="2:77" s="1" customFormat="1" x14ac:dyDescent="0.2">
      <c r="B24" s="1" t="s">
        <v>224</v>
      </c>
      <c r="C24" s="18">
        <v>129.392</v>
      </c>
      <c r="D24" s="18">
        <v>143.149</v>
      </c>
      <c r="E24" s="18">
        <v>127.92400000000001</v>
      </c>
      <c r="F24" s="18">
        <f>BM24-E24-D24-C24</f>
        <v>129.041</v>
      </c>
      <c r="G24" s="18">
        <v>138.86199999999999</v>
      </c>
      <c r="H24" s="18">
        <v>147.37299999999999</v>
      </c>
      <c r="I24" s="18">
        <v>158.29499999999999</v>
      </c>
      <c r="J24" s="18">
        <f>+BN24-I24-H24-G24</f>
        <v>181.02400000000003</v>
      </c>
      <c r="K24" s="18">
        <v>180.29900000000001</v>
      </c>
      <c r="L24" s="18">
        <v>187.46299999999999</v>
      </c>
      <c r="M24" s="18">
        <v>224.04499999999999</v>
      </c>
      <c r="N24" s="18">
        <f>+BO24-M24-L24-K24</f>
        <v>268.1400000000001</v>
      </c>
      <c r="O24" s="18"/>
      <c r="P24" s="18"/>
      <c r="Q24" s="18"/>
      <c r="R24" s="18"/>
      <c r="S24" s="18"/>
      <c r="T24" s="18"/>
      <c r="U24" s="18"/>
      <c r="V24" s="18"/>
      <c r="W24" s="18"/>
      <c r="X24" s="18"/>
      <c r="Y24" s="18"/>
      <c r="Z24" s="18"/>
      <c r="AA24" s="18"/>
      <c r="AB24" s="18"/>
      <c r="AC24" s="18"/>
      <c r="AD24" s="18"/>
      <c r="AE24" s="18"/>
      <c r="AF24" s="18"/>
      <c r="AG24" s="18"/>
      <c r="AH24" s="18"/>
      <c r="AI24" s="18"/>
      <c r="AJ24" s="18">
        <v>426.2</v>
      </c>
      <c r="AK24" s="18"/>
      <c r="AL24" s="18"/>
      <c r="AM24" s="18">
        <v>583.9</v>
      </c>
      <c r="AN24" s="18">
        <v>580.1</v>
      </c>
      <c r="AO24" s="18">
        <v>629</v>
      </c>
      <c r="AP24" s="18">
        <v>675</v>
      </c>
      <c r="AQ24" s="18">
        <v>742.9</v>
      </c>
      <c r="AR24" s="18">
        <v>714.2</v>
      </c>
      <c r="AS24" s="18">
        <v>592</v>
      </c>
      <c r="AT24" s="18">
        <v>639</v>
      </c>
      <c r="AU24" s="18">
        <v>843.8</v>
      </c>
      <c r="AV24" s="18">
        <f>794.3-14.6</f>
        <v>779.69999999999993</v>
      </c>
      <c r="AW24" s="18">
        <v>817</v>
      </c>
      <c r="AX24" s="18">
        <f>1043.1-1.4</f>
        <v>1041.6999999999998</v>
      </c>
      <c r="AY24" s="1">
        <v>960</v>
      </c>
      <c r="AZ24" s="1">
        <v>974</v>
      </c>
      <c r="BC24" s="1">
        <v>1122</v>
      </c>
      <c r="BD24" s="1">
        <v>1072</v>
      </c>
      <c r="BM24" s="1">
        <v>529.50599999999997</v>
      </c>
      <c r="BN24" s="1">
        <v>625.55399999999997</v>
      </c>
      <c r="BO24" s="1">
        <v>859.947</v>
      </c>
      <c r="BP24" s="1">
        <v>1271.3530000000001</v>
      </c>
      <c r="BQ24" s="1">
        <v>1620.577</v>
      </c>
      <c r="BV24" s="1">
        <f t="shared" ref="BV24:BV25" si="29">SUM(AM24:AP24)</f>
        <v>2468</v>
      </c>
      <c r="BW24" s="1">
        <f t="shared" ref="BW24:BW25" si="30">SUM(AQ24:AT24)</f>
        <v>2688.1</v>
      </c>
      <c r="BX24" s="1">
        <f t="shared" ref="BX24:BX25" si="31">SUM(AU24:AX24)</f>
        <v>3482.2</v>
      </c>
      <c r="BY24" s="1">
        <f t="shared" ref="BY24:BY25" si="32">SUM(AY24:BB24)</f>
        <v>1934</v>
      </c>
    </row>
    <row r="25" spans="2:77" s="1" customFormat="1" x14ac:dyDescent="0.2">
      <c r="B25" s="1" t="s">
        <v>225</v>
      </c>
      <c r="C25" s="18">
        <v>23.411000000000001</v>
      </c>
      <c r="D25" s="18">
        <v>24.585000000000001</v>
      </c>
      <c r="E25" s="18">
        <v>32.915999999999997</v>
      </c>
      <c r="F25" s="18">
        <f>BM25-E25-D25-C25</f>
        <v>36.348999999999997</v>
      </c>
      <c r="G25" s="18">
        <v>58.427999999999997</v>
      </c>
      <c r="H25" s="18">
        <v>47.704999999999998</v>
      </c>
      <c r="I25" s="18">
        <v>46.883000000000003</v>
      </c>
      <c r="J25" s="18">
        <f>+BN25-I25-H25-G25</f>
        <v>57.73899999999999</v>
      </c>
      <c r="K25" s="18">
        <v>77.260000000000005</v>
      </c>
      <c r="L25" s="18">
        <v>72.462999999999994</v>
      </c>
      <c r="M25" s="18">
        <v>97.606999999999999</v>
      </c>
      <c r="N25" s="18">
        <f>+BO25-M25-L25-K25</f>
        <v>82.085000000000022</v>
      </c>
      <c r="O25" s="18"/>
      <c r="P25" s="18"/>
      <c r="Q25" s="18"/>
      <c r="R25" s="18"/>
      <c r="S25" s="18"/>
      <c r="T25" s="18"/>
      <c r="U25" s="18"/>
      <c r="V25" s="18"/>
      <c r="W25" s="18"/>
      <c r="X25" s="18"/>
      <c r="Y25" s="18"/>
      <c r="Z25" s="18"/>
      <c r="AA25" s="18"/>
      <c r="AB25" s="18"/>
      <c r="AC25" s="18"/>
      <c r="AD25" s="18"/>
      <c r="AE25" s="18"/>
      <c r="AF25" s="18"/>
      <c r="AG25" s="18"/>
      <c r="AH25" s="18"/>
      <c r="AI25" s="18"/>
      <c r="AJ25" s="18">
        <v>251.9</v>
      </c>
      <c r="AK25" s="18"/>
      <c r="AL25" s="18"/>
      <c r="AM25" s="18">
        <f>367.3-20.2</f>
        <v>347.1</v>
      </c>
      <c r="AN25" s="18">
        <v>301.39999999999998</v>
      </c>
      <c r="AO25" s="18">
        <v>291</v>
      </c>
      <c r="AP25" s="18">
        <v>381</v>
      </c>
      <c r="AQ25" s="18">
        <v>405.6</v>
      </c>
      <c r="AR25" s="18">
        <v>414.7</v>
      </c>
      <c r="AS25" s="18">
        <v>391</v>
      </c>
      <c r="AT25" s="18">
        <v>495</v>
      </c>
      <c r="AU25" s="18">
        <v>450</v>
      </c>
      <c r="AV25" s="18">
        <f>476.3-1.1</f>
        <v>475.2</v>
      </c>
      <c r="AW25" s="18">
        <v>467</v>
      </c>
      <c r="AX25" s="18">
        <f>660.5-3.5</f>
        <v>657</v>
      </c>
      <c r="AY25" s="18">
        <v>515</v>
      </c>
      <c r="AZ25" s="18">
        <v>562</v>
      </c>
      <c r="BA25" s="18">
        <f t="shared" ref="BA25:BB25" si="33">+AW25</f>
        <v>467</v>
      </c>
      <c r="BB25" s="18">
        <f t="shared" si="33"/>
        <v>657</v>
      </c>
      <c r="BC25" s="18">
        <v>584</v>
      </c>
      <c r="BD25" s="18">
        <v>667</v>
      </c>
      <c r="BE25" s="18"/>
      <c r="BF25" s="18"/>
      <c r="BG25" s="18"/>
      <c r="BH25" s="18"/>
      <c r="BM25" s="1">
        <v>117.261</v>
      </c>
      <c r="BN25" s="1">
        <v>210.755</v>
      </c>
      <c r="BO25" s="1">
        <v>329.41500000000002</v>
      </c>
      <c r="BP25" s="1">
        <v>504.755</v>
      </c>
      <c r="BQ25" s="1">
        <v>838.52599999999995</v>
      </c>
      <c r="BV25" s="1">
        <f t="shared" si="29"/>
        <v>1320.5</v>
      </c>
      <c r="BW25" s="1">
        <f t="shared" si="30"/>
        <v>1706.3</v>
      </c>
      <c r="BX25" s="1">
        <f t="shared" si="31"/>
        <v>2049.1999999999998</v>
      </c>
      <c r="BY25" s="1">
        <f t="shared" si="32"/>
        <v>2201</v>
      </c>
    </row>
    <row r="26" spans="2:77" s="1" customFormat="1" x14ac:dyDescent="0.2">
      <c r="B26" s="1" t="s">
        <v>226</v>
      </c>
      <c r="C26" s="18">
        <f t="shared" ref="C26" si="34">+C25+C24</f>
        <v>152.803</v>
      </c>
      <c r="D26" s="18">
        <f t="shared" ref="D26:G26" si="35">+D25+D24</f>
        <v>167.73400000000001</v>
      </c>
      <c r="E26" s="18">
        <f t="shared" si="35"/>
        <v>160.84</v>
      </c>
      <c r="F26" s="18">
        <f t="shared" si="35"/>
        <v>165.39</v>
      </c>
      <c r="G26" s="18">
        <f t="shared" si="35"/>
        <v>197.29</v>
      </c>
      <c r="H26" s="18">
        <f>+H25+H24</f>
        <v>195.07799999999997</v>
      </c>
      <c r="I26" s="18">
        <f>+I25+I24</f>
        <v>205.178</v>
      </c>
      <c r="J26" s="18">
        <f>+J25+J24</f>
        <v>238.76300000000003</v>
      </c>
      <c r="K26" s="18">
        <f>+K25+K24</f>
        <v>257.55900000000003</v>
      </c>
      <c r="L26" s="18">
        <f>+L25+L24</f>
        <v>259.92599999999999</v>
      </c>
      <c r="M26" s="18">
        <f>+M25+M24</f>
        <v>321.65199999999999</v>
      </c>
      <c r="N26" s="18">
        <f>+N25+N24</f>
        <v>350.22500000000014</v>
      </c>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f t="shared" ref="AM26" si="36">+AM25+AM24</f>
        <v>931</v>
      </c>
      <c r="AN26" s="18">
        <f>+AN25+AN24</f>
        <v>881.5</v>
      </c>
      <c r="AO26" s="18">
        <f t="shared" ref="AO26:AS26" si="37">+AO25+AO24</f>
        <v>920</v>
      </c>
      <c r="AP26" s="18">
        <f t="shared" si="37"/>
        <v>1056</v>
      </c>
      <c r="AQ26" s="18">
        <f t="shared" si="37"/>
        <v>1148.5</v>
      </c>
      <c r="AR26" s="18">
        <f t="shared" si="37"/>
        <v>1128.9000000000001</v>
      </c>
      <c r="AS26" s="18">
        <f t="shared" si="37"/>
        <v>983</v>
      </c>
      <c r="AT26" s="18">
        <f>+AT25+AT24</f>
        <v>1134</v>
      </c>
      <c r="AU26" s="18">
        <f>+AU25+AU24</f>
        <v>1293.8</v>
      </c>
      <c r="AV26" s="18">
        <f>+AV25+AV24</f>
        <v>1254.8999999999999</v>
      </c>
      <c r="AW26" s="18">
        <f>+AW25+AW24</f>
        <v>1284</v>
      </c>
      <c r="AX26" s="18">
        <f>+AX25+AX24</f>
        <v>1698.6999999999998</v>
      </c>
      <c r="AY26" s="18">
        <f t="shared" ref="AY26:BB26" si="38">+AY25+AY24</f>
        <v>1475</v>
      </c>
      <c r="AZ26" s="18">
        <f t="shared" si="38"/>
        <v>1536</v>
      </c>
      <c r="BA26" s="18">
        <f t="shared" si="38"/>
        <v>467</v>
      </c>
      <c r="BB26" s="18">
        <f t="shared" si="38"/>
        <v>657</v>
      </c>
      <c r="BC26" s="18">
        <f t="shared" ref="BC26:BD26" si="39">+BC25+BC24</f>
        <v>1706</v>
      </c>
      <c r="BD26" s="18">
        <f t="shared" si="39"/>
        <v>1739</v>
      </c>
      <c r="BE26" s="18"/>
      <c r="BF26" s="18"/>
      <c r="BG26" s="18"/>
      <c r="BH26" s="18"/>
      <c r="BM26" s="1">
        <f>+BM25+BM24</f>
        <v>646.76699999999994</v>
      </c>
      <c r="BN26" s="1">
        <f>+BN25+BN24</f>
        <v>836.30899999999997</v>
      </c>
      <c r="BO26" s="1">
        <f>+BO25+BO24</f>
        <v>1189.3620000000001</v>
      </c>
      <c r="BP26" s="1">
        <f>+BP25+BP24</f>
        <v>1776.1080000000002</v>
      </c>
      <c r="BQ26" s="1">
        <f>+BQ25+BQ24</f>
        <v>2459.1030000000001</v>
      </c>
      <c r="BV26" s="1">
        <f>+BV24+BV25</f>
        <v>3788.5</v>
      </c>
      <c r="BW26" s="1">
        <f t="shared" ref="BW26:BY26" si="40">+BW24+BW25</f>
        <v>4394.3999999999996</v>
      </c>
      <c r="BX26" s="1">
        <f t="shared" si="40"/>
        <v>5531.4</v>
      </c>
      <c r="BY26" s="1">
        <f t="shared" si="40"/>
        <v>4135</v>
      </c>
    </row>
    <row r="27" spans="2:77" s="1" customFormat="1" x14ac:dyDescent="0.2">
      <c r="B27" s="1" t="s">
        <v>227</v>
      </c>
      <c r="C27" s="18">
        <f t="shared" ref="C27" si="41">+C23-C26</f>
        <v>-41.00800000000001</v>
      </c>
      <c r="D27" s="18">
        <f t="shared" ref="D27:G27" si="42">+D23-D26</f>
        <v>-60.319000000000003</v>
      </c>
      <c r="E27" s="18">
        <f t="shared" si="42"/>
        <v>-58.490000000000009</v>
      </c>
      <c r="F27" s="18">
        <f t="shared" si="42"/>
        <v>-45.365999999999971</v>
      </c>
      <c r="G27" s="18">
        <f t="shared" si="42"/>
        <v>22.170000000000016</v>
      </c>
      <c r="H27" s="18">
        <f>+H23-H26</f>
        <v>87.459000000000003</v>
      </c>
      <c r="I27" s="18">
        <f>+I23-I26</f>
        <v>202.37700000000001</v>
      </c>
      <c r="J27" s="18">
        <f>+J23-J26</f>
        <v>145.73000000000002</v>
      </c>
      <c r="K27" s="18">
        <f>+K23-K26</f>
        <v>153.00999999999993</v>
      </c>
      <c r="L27" s="18">
        <f>+L23-L26</f>
        <v>158.11000000000001</v>
      </c>
      <c r="M27" s="18">
        <f>+M23-M26</f>
        <v>236.78400000000005</v>
      </c>
      <c r="N27" s="18">
        <f>+N23-N26</f>
        <v>212.07899999999984</v>
      </c>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f>+AM23-AM26</f>
        <v>679.90000000000009</v>
      </c>
      <c r="AN27" s="18">
        <f>+AN23-AN26</f>
        <v>804.60000000000014</v>
      </c>
      <c r="AO27" s="18">
        <f t="shared" ref="AO27:AS27" si="43">+AO23-AO26</f>
        <v>1251.7999999999997</v>
      </c>
      <c r="AP27" s="18">
        <f t="shared" si="43"/>
        <v>904.19999999999982</v>
      </c>
      <c r="AQ27" s="18">
        <f t="shared" si="43"/>
        <v>1072.9000000000005</v>
      </c>
      <c r="AR27" s="18">
        <f t="shared" si="43"/>
        <v>3316.1</v>
      </c>
      <c r="AS27" s="18">
        <f t="shared" si="43"/>
        <v>2245.9</v>
      </c>
      <c r="AT27" s="18">
        <f>+AT23-AT26</f>
        <v>3087.5999999999995</v>
      </c>
      <c r="AU27" s="18">
        <f>+AU23-AU26</f>
        <v>1266.8000000000004</v>
      </c>
      <c r="AV27" s="18">
        <f>+AV23-AV26</f>
        <v>1304.5000000000002</v>
      </c>
      <c r="AW27" s="18">
        <f>+AW23-AW26</f>
        <v>1543.4</v>
      </c>
      <c r="AX27" s="18">
        <f>+AX23-AX26</f>
        <v>1328.1999999999998</v>
      </c>
      <c r="AY27" s="18">
        <f t="shared" ref="AY27:BB27" si="44">+AY23-AY26</f>
        <v>1519</v>
      </c>
      <c r="AZ27" s="18">
        <f t="shared" si="44"/>
        <v>1459</v>
      </c>
      <c r="BA27" s="18">
        <f t="shared" si="44"/>
        <v>2557.0765000000001</v>
      </c>
      <c r="BB27" s="18">
        <f t="shared" si="44"/>
        <v>2399.6697750000003</v>
      </c>
      <c r="BC27" s="18">
        <f t="shared" ref="BC27:BD27" si="45">+BC23-BC26</f>
        <v>1243</v>
      </c>
      <c r="BD27" s="18">
        <f t="shared" si="45"/>
        <v>1594</v>
      </c>
      <c r="BE27" s="18"/>
      <c r="BF27" s="18"/>
      <c r="BG27" s="18"/>
      <c r="BH27" s="18"/>
      <c r="BM27" s="1">
        <f>+BM23-BM26</f>
        <v>-205.18299999999994</v>
      </c>
      <c r="BN27" s="1">
        <f>+BN23-BN26</f>
        <v>457.7360000000001</v>
      </c>
      <c r="BO27" s="1">
        <f>+BO23-BO26</f>
        <v>759.98300000000017</v>
      </c>
      <c r="BP27" s="1">
        <f>+BP23-BP26</f>
        <v>838.47400000000016</v>
      </c>
      <c r="BQ27" s="1">
        <f>+BQ23-BQ26</f>
        <v>1251.8879999999999</v>
      </c>
      <c r="BV27" s="1">
        <f>+BV23-BV26</f>
        <v>3640.5</v>
      </c>
      <c r="BW27" s="1">
        <f t="shared" ref="BW27:BY27" si="46">+BW23-BW26</f>
        <v>9722.5000000000018</v>
      </c>
      <c r="BX27" s="1">
        <f t="shared" si="46"/>
        <v>5442.9000000000015</v>
      </c>
      <c r="BY27" s="1">
        <f t="shared" si="46"/>
        <v>7934.7462749999995</v>
      </c>
    </row>
    <row r="28" spans="2:77" s="1" customFormat="1" x14ac:dyDescent="0.2">
      <c r="B28" s="1" t="s">
        <v>228</v>
      </c>
      <c r="C28" s="18">
        <v>-2.6819999999999999</v>
      </c>
      <c r="D28" s="18">
        <f>-4.047+0.998</f>
        <v>-3.0489999999999995</v>
      </c>
      <c r="E28" s="18">
        <v>-3.3460000000000001</v>
      </c>
      <c r="F28" s="18">
        <f>BM28-E28-D28-C28</f>
        <v>-8.6560000000000006</v>
      </c>
      <c r="G28" s="18">
        <v>-10.55</v>
      </c>
      <c r="H28" s="18">
        <v>-10.734999999999999</v>
      </c>
      <c r="I28" s="18">
        <v>-10.896000000000001</v>
      </c>
      <c r="J28" s="18">
        <f>+BN28-I28-H28-G28</f>
        <v>-11.111000000000001</v>
      </c>
      <c r="K28" s="18">
        <v>-11.218999999999999</v>
      </c>
      <c r="L28" s="18">
        <v>-10.411</v>
      </c>
      <c r="M28" s="18">
        <v>-11.118</v>
      </c>
      <c r="N28" s="18">
        <f>+BO28-M28-L28-K28</f>
        <v>-13.919999999999996</v>
      </c>
      <c r="O28" s="18"/>
      <c r="P28" s="18"/>
      <c r="Q28" s="18"/>
      <c r="R28" s="18"/>
      <c r="S28" s="18"/>
      <c r="T28" s="18"/>
      <c r="U28" s="18"/>
      <c r="V28" s="18"/>
      <c r="W28" s="18"/>
      <c r="X28" s="18"/>
      <c r="Y28" s="18"/>
      <c r="Z28" s="18"/>
      <c r="AA28" s="18"/>
      <c r="AB28" s="18"/>
      <c r="AC28" s="18"/>
      <c r="AD28" s="18"/>
      <c r="AE28" s="18"/>
      <c r="AF28" s="18"/>
      <c r="AG28" s="18"/>
      <c r="AH28" s="18"/>
      <c r="AI28" s="18"/>
      <c r="AJ28" s="18"/>
      <c r="AK28" s="18"/>
      <c r="AL28" s="18"/>
      <c r="AM28" s="18">
        <f>40.4+25.3</f>
        <v>65.7</v>
      </c>
      <c r="AN28" s="18">
        <f>-50.2+7.9</f>
        <v>-42.300000000000004</v>
      </c>
      <c r="AO28" s="18">
        <v>-54.8</v>
      </c>
      <c r="AP28" s="18">
        <v>57.6</v>
      </c>
      <c r="AQ28" s="18">
        <f>40.5-14.6</f>
        <v>25.9</v>
      </c>
      <c r="AR28" s="18">
        <f>-14.4-31.3</f>
        <v>-45.7</v>
      </c>
      <c r="AS28" s="18">
        <v>-30.6</v>
      </c>
      <c r="AT28" s="18">
        <f>15.8-136.3</f>
        <v>-120.50000000000001</v>
      </c>
      <c r="AU28" s="18">
        <f>20.2-197.4</f>
        <v>-177.20000000000002</v>
      </c>
      <c r="AV28" s="18">
        <f>-133.6-13.1-17.4</f>
        <v>-164.1</v>
      </c>
      <c r="AW28" s="18">
        <v>32.6</v>
      </c>
      <c r="AX28" s="18">
        <f>195.3-17.4-80.5</f>
        <v>97.4</v>
      </c>
      <c r="BM28" s="1">
        <v>-17.733000000000001</v>
      </c>
      <c r="BN28" s="1">
        <v>-43.292000000000002</v>
      </c>
      <c r="BO28" s="1">
        <f>-46.437-0.231</f>
        <v>-46.667999999999999</v>
      </c>
      <c r="BP28" s="1">
        <f>8.157-37.372</f>
        <v>-29.215</v>
      </c>
      <c r="BQ28" s="1">
        <f>-14.241+6.283</f>
        <v>-7.9579999999999993</v>
      </c>
      <c r="BV28" s="1">
        <f t="shared" ref="BV28" si="47">SUM(AM28:AP28)</f>
        <v>26.200000000000003</v>
      </c>
      <c r="BW28" s="1">
        <f t="shared" ref="BW28" si="48">SUM(AQ28:AT28)</f>
        <v>-170.90000000000003</v>
      </c>
      <c r="BX28" s="1">
        <f t="shared" ref="BX28" si="49">SUM(AU28:AX28)</f>
        <v>-211.29999999999998</v>
      </c>
      <c r="BY28" s="1">
        <f t="shared" ref="BY28" si="50">SUM(AY28:BB28)</f>
        <v>0</v>
      </c>
    </row>
    <row r="29" spans="2:77" s="1" customFormat="1" x14ac:dyDescent="0.2">
      <c r="B29" s="1" t="s">
        <v>229</v>
      </c>
      <c r="C29" s="18">
        <f t="shared" ref="C29:F29" si="51">+C27+C28</f>
        <v>-43.690000000000012</v>
      </c>
      <c r="D29" s="18">
        <f t="shared" si="51"/>
        <v>-63.368000000000002</v>
      </c>
      <c r="E29" s="18">
        <f t="shared" si="51"/>
        <v>-61.836000000000013</v>
      </c>
      <c r="F29" s="18">
        <f t="shared" si="51"/>
        <v>-54.02199999999997</v>
      </c>
      <c r="G29" s="18">
        <f>+G27+G28</f>
        <v>11.620000000000015</v>
      </c>
      <c r="H29" s="18">
        <f>+H27+H28</f>
        <v>76.724000000000004</v>
      </c>
      <c r="I29" s="18">
        <f>+I27+I28</f>
        <v>191.48099999999999</v>
      </c>
      <c r="J29" s="18">
        <f>+J27+J28</f>
        <v>134.61900000000003</v>
      </c>
      <c r="K29" s="18">
        <f>+K27+K28</f>
        <v>141.79099999999994</v>
      </c>
      <c r="L29" s="18">
        <f>+L27+L28</f>
        <v>147.69900000000001</v>
      </c>
      <c r="M29" s="18">
        <f>+M27+M28</f>
        <v>225.66600000000005</v>
      </c>
      <c r="N29" s="18">
        <f>+N27+N28</f>
        <v>198.15899999999985</v>
      </c>
      <c r="O29" s="18"/>
      <c r="P29" s="18"/>
      <c r="Q29" s="18"/>
      <c r="R29" s="18"/>
      <c r="S29" s="18"/>
      <c r="T29" s="18"/>
      <c r="U29" s="18"/>
      <c r="V29" s="18"/>
      <c r="W29" s="18"/>
      <c r="X29" s="18"/>
      <c r="Y29" s="18"/>
      <c r="Z29" s="18"/>
      <c r="AA29" s="18"/>
      <c r="AB29" s="18"/>
      <c r="AC29" s="18"/>
      <c r="AD29" s="18"/>
      <c r="AE29" s="18"/>
      <c r="AF29" s="18"/>
      <c r="AG29" s="18"/>
      <c r="AH29" s="18"/>
      <c r="AI29" s="18"/>
      <c r="AJ29" s="18"/>
      <c r="AK29" s="18"/>
      <c r="AL29" s="18"/>
      <c r="AM29" s="18">
        <f t="shared" ref="AM29" si="52">AM27+AM28</f>
        <v>745.60000000000014</v>
      </c>
      <c r="AN29" s="18">
        <f t="shared" ref="AN29:AX29" si="53">AN27+AN28</f>
        <v>762.30000000000018</v>
      </c>
      <c r="AO29" s="18">
        <f t="shared" si="53"/>
        <v>1196.9999999999998</v>
      </c>
      <c r="AP29" s="18">
        <f t="shared" si="53"/>
        <v>961.79999999999984</v>
      </c>
      <c r="AQ29" s="18">
        <f t="shared" si="53"/>
        <v>1098.8000000000006</v>
      </c>
      <c r="AR29" s="18">
        <f t="shared" si="53"/>
        <v>3270.4</v>
      </c>
      <c r="AS29" s="18">
        <f t="shared" si="53"/>
        <v>2215.3000000000002</v>
      </c>
      <c r="AT29" s="18">
        <f t="shared" si="53"/>
        <v>2967.0999999999995</v>
      </c>
      <c r="AU29" s="18">
        <f t="shared" si="53"/>
        <v>1089.6000000000004</v>
      </c>
      <c r="AV29" s="18">
        <f t="shared" si="53"/>
        <v>1140.4000000000003</v>
      </c>
      <c r="AW29" s="18">
        <f t="shared" si="53"/>
        <v>1576</v>
      </c>
      <c r="AX29" s="18">
        <f t="shared" si="53"/>
        <v>1425.6</v>
      </c>
      <c r="AY29" s="18">
        <f t="shared" ref="AY29" si="54">AY27+AY28</f>
        <v>1519</v>
      </c>
      <c r="AZ29" s="18">
        <f t="shared" ref="AZ29" si="55">AZ27+AZ28</f>
        <v>1459</v>
      </c>
      <c r="BA29" s="18">
        <f t="shared" ref="BA29" si="56">BA27+BA28</f>
        <v>2557.0765000000001</v>
      </c>
      <c r="BB29" s="18">
        <f t="shared" ref="BB29:BD29" si="57">BB27+BB28</f>
        <v>2399.6697750000003</v>
      </c>
      <c r="BC29" s="18">
        <f t="shared" si="57"/>
        <v>1243</v>
      </c>
      <c r="BD29" s="18">
        <f t="shared" si="57"/>
        <v>1594</v>
      </c>
      <c r="BE29" s="18"/>
      <c r="BF29" s="18"/>
      <c r="BG29" s="18"/>
      <c r="BH29" s="18"/>
      <c r="BM29" s="1">
        <f>+BM27+BM28</f>
        <v>-222.91599999999994</v>
      </c>
      <c r="BN29" s="1">
        <f>+BN27+BN28</f>
        <v>414.44400000000007</v>
      </c>
      <c r="BO29" s="1">
        <f>+BO27+BO28</f>
        <v>713.31500000000017</v>
      </c>
      <c r="BP29" s="1">
        <f>+BP27+BP28</f>
        <v>809.25900000000013</v>
      </c>
      <c r="BQ29" s="1">
        <f>+BQ27+BQ28</f>
        <v>1243.9299999999998</v>
      </c>
      <c r="BV29" s="1">
        <f>+BV27+BV28</f>
        <v>3666.7</v>
      </c>
      <c r="BW29" s="1">
        <f t="shared" ref="BW29:BY29" si="58">+BW27+BW28</f>
        <v>9551.6000000000022</v>
      </c>
      <c r="BX29" s="1">
        <f t="shared" si="58"/>
        <v>5231.6000000000013</v>
      </c>
      <c r="BY29" s="1">
        <f t="shared" si="58"/>
        <v>7934.7462749999995</v>
      </c>
    </row>
    <row r="30" spans="2:77" s="1" customFormat="1" x14ac:dyDescent="0.2">
      <c r="B30" s="1" t="s">
        <v>230</v>
      </c>
      <c r="C30" s="18">
        <v>-0.216</v>
      </c>
      <c r="D30" s="18">
        <v>-0.86299999999999999</v>
      </c>
      <c r="E30" s="18">
        <v>0.56200000000000006</v>
      </c>
      <c r="F30" s="18">
        <f>BM30-E30-D30-C30</f>
        <v>-0.61499999999999999</v>
      </c>
      <c r="G30" s="18">
        <v>0</v>
      </c>
      <c r="H30" s="18">
        <v>0</v>
      </c>
      <c r="I30" s="18">
        <v>0</v>
      </c>
      <c r="J30" s="18">
        <f>+BN30-I30-H30-G30</f>
        <v>0</v>
      </c>
      <c r="K30" s="18">
        <v>42.957000000000001</v>
      </c>
      <c r="L30" s="18">
        <v>60.316000000000003</v>
      </c>
      <c r="M30" s="18">
        <v>84.378</v>
      </c>
      <c r="N30" s="18">
        <f>+BO30-M30-L30-K30</f>
        <v>101.34700000000001</v>
      </c>
      <c r="O30" s="18"/>
      <c r="P30" s="18"/>
      <c r="Q30" s="18"/>
      <c r="R30" s="18"/>
      <c r="S30" s="18"/>
      <c r="T30" s="18"/>
      <c r="U30" s="18"/>
      <c r="V30" s="18"/>
      <c r="W30" s="18"/>
      <c r="X30" s="18"/>
      <c r="Y30" s="18"/>
      <c r="Z30" s="18"/>
      <c r="AA30" s="18"/>
      <c r="AB30" s="18"/>
      <c r="AC30" s="18"/>
      <c r="AD30" s="18"/>
      <c r="AE30" s="18"/>
      <c r="AF30" s="18"/>
      <c r="AG30" s="18"/>
      <c r="AH30" s="18"/>
      <c r="AI30" s="18"/>
      <c r="AJ30" s="18"/>
      <c r="AK30" s="18"/>
      <c r="AL30" s="18"/>
      <c r="AM30" s="18">
        <v>44</v>
      </c>
      <c r="AN30" s="18">
        <v>21.6</v>
      </c>
      <c r="AO30" s="18">
        <v>156.19999999999999</v>
      </c>
      <c r="AP30" s="18">
        <v>75.400000000000006</v>
      </c>
      <c r="AQ30" s="18">
        <v>137.80000000000001</v>
      </c>
      <c r="AR30" s="18">
        <v>653.9</v>
      </c>
      <c r="AS30" s="18">
        <v>184.4</v>
      </c>
      <c r="AT30" s="18">
        <v>274.39999999999998</v>
      </c>
      <c r="AU30" s="18">
        <v>87.6</v>
      </c>
      <c r="AV30" s="18">
        <v>111.1</v>
      </c>
      <c r="AW30" s="18">
        <v>194.1</v>
      </c>
      <c r="AX30" s="18">
        <v>127.6</v>
      </c>
      <c r="AY30" s="18">
        <f t="shared" ref="AY30:BB30" si="59">+AY29*0.15</f>
        <v>227.85</v>
      </c>
      <c r="AZ30" s="18">
        <f t="shared" si="59"/>
        <v>218.85</v>
      </c>
      <c r="BA30" s="18">
        <f t="shared" si="59"/>
        <v>383.56147500000003</v>
      </c>
      <c r="BB30" s="18">
        <f t="shared" si="59"/>
        <v>359.95046625000003</v>
      </c>
      <c r="BC30" s="18"/>
      <c r="BD30" s="18"/>
      <c r="BE30" s="18"/>
      <c r="BF30" s="18"/>
      <c r="BG30" s="18"/>
      <c r="BH30" s="18"/>
      <c r="BM30" s="1">
        <v>-1.1319999999999999</v>
      </c>
      <c r="BN30" s="1">
        <v>0</v>
      </c>
      <c r="BO30" s="1">
        <v>288.99799999999999</v>
      </c>
      <c r="BP30" s="1">
        <v>427.673</v>
      </c>
      <c r="BQ30" s="1">
        <v>589.04100000000005</v>
      </c>
      <c r="BV30" s="1">
        <f t="shared" ref="BV30" si="60">SUM(AM30:AP30)</f>
        <v>297.2</v>
      </c>
      <c r="BW30" s="1">
        <f t="shared" ref="BW30" si="61">SUM(AQ30:AT30)</f>
        <v>1250.5</v>
      </c>
      <c r="BX30" s="1">
        <f t="shared" ref="BX30" si="62">SUM(AU30:AX30)</f>
        <v>520.4</v>
      </c>
      <c r="BY30" s="1">
        <f t="shared" ref="BY30" si="63">SUM(AY30:BB30)</f>
        <v>1190.2119412500001</v>
      </c>
    </row>
    <row r="31" spans="2:77" s="1" customFormat="1" x14ac:dyDescent="0.2">
      <c r="B31" s="1" t="s">
        <v>231</v>
      </c>
      <c r="C31" s="18">
        <f t="shared" ref="C31" si="64">+C29-C30</f>
        <v>-43.474000000000011</v>
      </c>
      <c r="D31" s="18">
        <f>+D29-D30</f>
        <v>-62.505000000000003</v>
      </c>
      <c r="E31" s="18">
        <f>+E29-E30</f>
        <v>-62.39800000000001</v>
      </c>
      <c r="F31" s="18">
        <f>+F29-F30</f>
        <v>-53.406999999999968</v>
      </c>
      <c r="G31" s="18">
        <f>+G29-G30</f>
        <v>11.620000000000015</v>
      </c>
      <c r="H31" s="18">
        <f>+H29-H30</f>
        <v>76.724000000000004</v>
      </c>
      <c r="I31" s="18">
        <f>+I29-I30</f>
        <v>191.48099999999999</v>
      </c>
      <c r="J31" s="18">
        <f>+J29-J30</f>
        <v>134.61900000000003</v>
      </c>
      <c r="K31" s="18">
        <f>+K29-K30</f>
        <v>98.833999999999946</v>
      </c>
      <c r="L31" s="18">
        <f>+L29-L30</f>
        <v>87.38300000000001</v>
      </c>
      <c r="M31" s="18">
        <f>+M29-M30</f>
        <v>141.28800000000007</v>
      </c>
      <c r="N31" s="18">
        <f>+N29-N30</f>
        <v>96.811999999999841</v>
      </c>
      <c r="O31" s="18"/>
      <c r="P31" s="18"/>
      <c r="Q31" s="18"/>
      <c r="R31" s="18"/>
      <c r="S31" s="18"/>
      <c r="T31" s="18"/>
      <c r="U31" s="18"/>
      <c r="V31" s="18"/>
      <c r="W31" s="18"/>
      <c r="X31" s="18"/>
      <c r="Y31" s="18"/>
      <c r="Z31" s="18"/>
      <c r="AA31" s="18"/>
      <c r="AB31" s="18"/>
      <c r="AC31" s="18"/>
      <c r="AD31" s="18"/>
      <c r="AE31" s="18"/>
      <c r="AF31" s="18"/>
      <c r="AG31" s="18"/>
      <c r="AH31" s="18"/>
      <c r="AI31" s="18"/>
      <c r="AJ31" s="18"/>
      <c r="AK31" s="18"/>
      <c r="AL31" s="18"/>
      <c r="AM31" s="18">
        <f t="shared" ref="AM31" si="65">+AM29-AM30</f>
        <v>701.60000000000014</v>
      </c>
      <c r="AN31" s="18">
        <f t="shared" ref="AN31:AX31" si="66">+AN29-AN30</f>
        <v>740.70000000000016</v>
      </c>
      <c r="AO31" s="18">
        <f t="shared" si="66"/>
        <v>1040.7999999999997</v>
      </c>
      <c r="AP31" s="18">
        <f t="shared" si="66"/>
        <v>886.39999999999986</v>
      </c>
      <c r="AQ31" s="18">
        <f t="shared" si="66"/>
        <v>961.00000000000068</v>
      </c>
      <c r="AR31" s="18">
        <f t="shared" si="66"/>
        <v>2616.5</v>
      </c>
      <c r="AS31" s="18">
        <f t="shared" si="66"/>
        <v>2030.9</v>
      </c>
      <c r="AT31" s="18">
        <f t="shared" si="66"/>
        <v>2692.6999999999994</v>
      </c>
      <c r="AU31" s="18">
        <f t="shared" si="66"/>
        <v>1002.0000000000003</v>
      </c>
      <c r="AV31" s="18">
        <f t="shared" si="66"/>
        <v>1029.3000000000004</v>
      </c>
      <c r="AW31" s="18">
        <f t="shared" si="66"/>
        <v>1381.9</v>
      </c>
      <c r="AX31" s="18">
        <f t="shared" si="66"/>
        <v>1298</v>
      </c>
      <c r="AY31" s="18">
        <f t="shared" ref="AY31" si="67">+AY29-AY30</f>
        <v>1291.1500000000001</v>
      </c>
      <c r="AZ31" s="18">
        <f t="shared" ref="AZ31" si="68">+AZ29-AZ30</f>
        <v>1240.1500000000001</v>
      </c>
      <c r="BA31" s="18">
        <f t="shared" ref="BA31" si="69">+BA29-BA30</f>
        <v>2173.5150250000002</v>
      </c>
      <c r="BB31" s="18">
        <f t="shared" ref="BB31:BD31" si="70">+BB29-BB30</f>
        <v>2039.7193087500002</v>
      </c>
      <c r="BC31" s="18">
        <f t="shared" si="70"/>
        <v>1243</v>
      </c>
      <c r="BD31" s="18">
        <f t="shared" si="70"/>
        <v>1594</v>
      </c>
      <c r="BE31" s="18"/>
      <c r="BF31" s="18"/>
      <c r="BG31" s="18"/>
      <c r="BH31" s="18"/>
      <c r="BL31" s="1">
        <f>+BL29-BL30</f>
        <v>0</v>
      </c>
      <c r="BM31" s="1">
        <f>+BM29-BM30</f>
        <v>-221.78399999999993</v>
      </c>
      <c r="BN31" s="1">
        <f>+BN29-BN30</f>
        <v>414.44400000000007</v>
      </c>
      <c r="BO31" s="1">
        <f>+BO29-BO30</f>
        <v>424.31700000000018</v>
      </c>
      <c r="BP31" s="1">
        <f>+BP29-BP30</f>
        <v>381.58600000000013</v>
      </c>
      <c r="BQ31" s="1">
        <f>+BQ29-BQ30</f>
        <v>654.88899999999978</v>
      </c>
      <c r="BV31" s="1">
        <f>+BV29-BV30</f>
        <v>3369.5</v>
      </c>
      <c r="BW31" s="1">
        <f t="shared" ref="BW31:BY31" si="71">+BW29-BW30</f>
        <v>8301.1000000000022</v>
      </c>
      <c r="BX31" s="1">
        <f t="shared" si="71"/>
        <v>4711.2000000000016</v>
      </c>
      <c r="BY31" s="1">
        <f t="shared" si="71"/>
        <v>6744.5343337499999</v>
      </c>
    </row>
    <row r="32" spans="2:77" x14ac:dyDescent="0.2">
      <c r="B32" s="1" t="s">
        <v>232</v>
      </c>
      <c r="C32" s="19">
        <f>+C31/C33</f>
        <v>-0.48758439694040073</v>
      </c>
      <c r="D32" s="19">
        <f>+D31/D33</f>
        <v>-0.69115175372639215</v>
      </c>
      <c r="E32" s="19">
        <f>+E31/E33</f>
        <v>-0.68534586912110373</v>
      </c>
      <c r="F32" s="19">
        <f>+F31/F33</f>
        <v>-0.58659359005337919</v>
      </c>
      <c r="G32" s="19">
        <f>+G31/G33</f>
        <v>0.10785824345146394</v>
      </c>
      <c r="H32" s="19">
        <f>+H31/H33</f>
        <v>0.6964335962674848</v>
      </c>
      <c r="I32" s="19">
        <f>+I31/I33</f>
        <v>1.6531209531209532</v>
      </c>
      <c r="J32" s="19">
        <f>+J31/J33</f>
        <v>1.1622118622118625</v>
      </c>
      <c r="K32" s="19">
        <f>+K31/K33</f>
        <v>0.90367471587012727</v>
      </c>
      <c r="L32" s="19">
        <f>+L31/L33</f>
        <v>0.78680893210877012</v>
      </c>
      <c r="M32" s="19">
        <f>+M31/M33</f>
        <v>1.2105592350466536</v>
      </c>
      <c r="N32" s="19">
        <f>+N31/N33</f>
        <v>0.82948771773495533</v>
      </c>
      <c r="AM32" s="19">
        <f t="shared" ref="AM32" si="72">+AM31/AM33</f>
        <v>6.0955690703735899</v>
      </c>
      <c r="AN32" s="19">
        <f t="shared" ref="AN32:AX32" si="73">+AN31/AN33</f>
        <v>6.2087175188600181</v>
      </c>
      <c r="AO32" s="19">
        <f t="shared" si="73"/>
        <v>9.1378402107111469</v>
      </c>
      <c r="AP32" s="19">
        <f t="shared" si="73"/>
        <v>7.900178253119428</v>
      </c>
      <c r="AQ32" s="19">
        <f t="shared" si="73"/>
        <v>8.5727029438001843</v>
      </c>
      <c r="AR32" s="19">
        <f t="shared" si="73"/>
        <v>23.319964349376114</v>
      </c>
      <c r="AS32" s="19">
        <f t="shared" si="73"/>
        <v>17.830553116769096</v>
      </c>
      <c r="AT32" s="19">
        <f t="shared" si="73"/>
        <v>23.787102473498226</v>
      </c>
      <c r="AU32" s="19">
        <f t="shared" si="73"/>
        <v>8.7358326068003507</v>
      </c>
      <c r="AV32" s="19">
        <f t="shared" si="73"/>
        <v>8.9194107452339715</v>
      </c>
      <c r="AW32" s="19">
        <f t="shared" si="73"/>
        <v>12.250886524822697</v>
      </c>
      <c r="AX32" s="19">
        <f t="shared" si="73"/>
        <v>11.385964912280702</v>
      </c>
      <c r="AY32" s="19">
        <f t="shared" ref="AY32" si="74">+AY31/AY33</f>
        <v>11.325877192982457</v>
      </c>
      <c r="AZ32" s="19">
        <f t="shared" ref="AZ32" si="75">+AZ31/AZ33</f>
        <v>10.878508771929825</v>
      </c>
      <c r="BA32" s="19">
        <f t="shared" ref="BA32" si="76">+BA31/BA33</f>
        <v>19.065921271929827</v>
      </c>
      <c r="BB32" s="19">
        <f t="shared" ref="BB32:BD32" si="77">+BB31/BB33</f>
        <v>17.892274638157897</v>
      </c>
      <c r="BC32" s="19">
        <f t="shared" si="77"/>
        <v>10.903508771929825</v>
      </c>
      <c r="BD32" s="19">
        <f t="shared" si="77"/>
        <v>13.982456140350877</v>
      </c>
      <c r="BE32" s="19"/>
      <c r="BF32" s="19"/>
      <c r="BG32" s="19"/>
      <c r="BH32" s="19"/>
      <c r="BL32" s="25">
        <f>+BL31/BL33</f>
        <v>0</v>
      </c>
      <c r="BM32" s="25">
        <f>+BM31/BM33</f>
        <v>-2.4476768568590654</v>
      </c>
      <c r="BN32" s="25">
        <f>+BN31/BN33</f>
        <v>3.5919294170667873</v>
      </c>
      <c r="BO32" s="25">
        <f>+BO31/BO33</f>
        <v>3.8127145296073337</v>
      </c>
      <c r="BP32" s="25">
        <f>+BP31/BP33</f>
        <v>3.3645701991835164</v>
      </c>
      <c r="BQ32" s="25">
        <f>+BQ31/BQ33</f>
        <v>5.683320315889957</v>
      </c>
      <c r="BV32" s="25">
        <f>+BV31/BV33</f>
        <v>29.268186753528777</v>
      </c>
      <c r="BW32" s="25">
        <f t="shared" ref="BW32:BY32" si="78">+BW31/BW33</f>
        <v>73.558706247230845</v>
      </c>
      <c r="BX32" s="25">
        <f t="shared" si="78"/>
        <v>41.244911359159566</v>
      </c>
      <c r="BY32" s="25">
        <f t="shared" si="78"/>
        <v>59.162581875000001</v>
      </c>
    </row>
    <row r="33" spans="2:77" s="1" customFormat="1" x14ac:dyDescent="0.2">
      <c r="B33" s="1" t="s">
        <v>38</v>
      </c>
      <c r="C33" s="18">
        <v>89.162000000000006</v>
      </c>
      <c r="D33" s="18">
        <v>90.436000000000007</v>
      </c>
      <c r="E33" s="18">
        <v>91.046000000000006</v>
      </c>
      <c r="F33" s="56">
        <f>+E33</f>
        <v>91.046000000000006</v>
      </c>
      <c r="G33" s="18">
        <v>107.73399999999999</v>
      </c>
      <c r="H33" s="18">
        <v>110.167</v>
      </c>
      <c r="I33" s="18">
        <v>115.83</v>
      </c>
      <c r="J33" s="56">
        <f>+I33</f>
        <v>115.83</v>
      </c>
      <c r="K33" s="18">
        <v>109.369</v>
      </c>
      <c r="L33" s="18">
        <v>111.06</v>
      </c>
      <c r="M33" s="18">
        <v>116.71299999999999</v>
      </c>
      <c r="N33" s="56">
        <f>+M33</f>
        <v>116.71299999999999</v>
      </c>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v>115.1</v>
      </c>
      <c r="AN33" s="18">
        <v>119.3</v>
      </c>
      <c r="AO33" s="18">
        <v>113.9</v>
      </c>
      <c r="AP33" s="18">
        <v>112.2</v>
      </c>
      <c r="AQ33" s="18">
        <v>112.1</v>
      </c>
      <c r="AR33" s="18">
        <v>112.2</v>
      </c>
      <c r="AS33" s="18">
        <v>113.9</v>
      </c>
      <c r="AT33" s="18">
        <v>113.2</v>
      </c>
      <c r="AU33" s="18">
        <v>114.7</v>
      </c>
      <c r="AV33" s="18">
        <v>115.4</v>
      </c>
      <c r="AW33" s="18">
        <v>112.8</v>
      </c>
      <c r="AX33" s="18">
        <v>114</v>
      </c>
      <c r="AY33" s="18">
        <f t="shared" ref="AY33:BD33" si="79">+AX33</f>
        <v>114</v>
      </c>
      <c r="AZ33" s="18">
        <f t="shared" si="79"/>
        <v>114</v>
      </c>
      <c r="BA33" s="18">
        <f t="shared" si="79"/>
        <v>114</v>
      </c>
      <c r="BB33" s="18">
        <f t="shared" si="79"/>
        <v>114</v>
      </c>
      <c r="BC33" s="18">
        <f t="shared" si="79"/>
        <v>114</v>
      </c>
      <c r="BD33" s="18">
        <f t="shared" si="79"/>
        <v>114</v>
      </c>
      <c r="BE33" s="18"/>
      <c r="BF33" s="18"/>
      <c r="BG33" s="18"/>
      <c r="BH33" s="18"/>
      <c r="BL33" s="1">
        <v>82.926000000000002</v>
      </c>
      <c r="BM33" s="1">
        <v>90.61</v>
      </c>
      <c r="BN33" s="1">
        <v>115.38200000000001</v>
      </c>
      <c r="BO33" s="1">
        <v>111.29</v>
      </c>
      <c r="BP33" s="1">
        <v>113.413</v>
      </c>
      <c r="BQ33" s="1">
        <v>115.23</v>
      </c>
      <c r="BV33" s="1">
        <f>AVERAGE(AM33:AP33)</f>
        <v>115.12499999999999</v>
      </c>
      <c r="BW33" s="1">
        <f>AVERAGE(AQ33:AT33)</f>
        <v>112.85000000000001</v>
      </c>
      <c r="BX33" s="1">
        <f>AVERAGE(AU33:AX33)</f>
        <v>114.22500000000001</v>
      </c>
      <c r="BY33" s="1">
        <f>AVERAGE(AY33:BB33)</f>
        <v>114</v>
      </c>
    </row>
    <row r="35" spans="2:77" s="52" customFormat="1" x14ac:dyDescent="0.2">
      <c r="B35" s="20" t="s">
        <v>249</v>
      </c>
      <c r="C35" s="50"/>
      <c r="D35" s="50"/>
      <c r="E35" s="50"/>
      <c r="F35" s="50"/>
      <c r="G35" s="50"/>
      <c r="H35" s="50"/>
      <c r="I35" s="50"/>
      <c r="J35" s="50"/>
      <c r="K35" s="50"/>
      <c r="L35" s="50"/>
      <c r="M35" s="50"/>
      <c r="N35" s="50"/>
      <c r="O35" s="50"/>
      <c r="P35" s="50"/>
      <c r="Q35" s="50"/>
      <c r="R35" s="50"/>
      <c r="S35" s="50"/>
      <c r="T35" s="50"/>
      <c r="U35" s="50"/>
      <c r="V35" s="50"/>
      <c r="W35" s="50"/>
      <c r="X35" s="50"/>
      <c r="Y35" s="50"/>
      <c r="Z35" s="50"/>
      <c r="AA35" s="50"/>
      <c r="AB35" s="50"/>
      <c r="AC35" s="50"/>
      <c r="AD35" s="50"/>
      <c r="AE35" s="50"/>
      <c r="AF35" s="50"/>
      <c r="AG35" s="50"/>
      <c r="AH35" s="50"/>
      <c r="AI35" s="50"/>
      <c r="AJ35" s="50"/>
      <c r="AK35" s="50"/>
      <c r="AL35" s="50"/>
      <c r="AM35" s="50"/>
      <c r="AN35" s="50"/>
      <c r="AO35" s="50"/>
      <c r="AP35" s="50"/>
      <c r="AQ35" s="51">
        <f t="shared" ref="AQ35" si="80">AQ21/AM21-1</f>
        <v>0.38354665791488918</v>
      </c>
      <c r="AR35" s="51">
        <f t="shared" ref="AR35" si="81">AR21/AN21-1</f>
        <v>1.6321262101111507</v>
      </c>
      <c r="AS35" s="51">
        <f t="shared" ref="AS35:AU35" si="82">AS21/AO21-1</f>
        <v>0.50531868515127765</v>
      </c>
      <c r="AT35" s="51">
        <f t="shared" si="82"/>
        <v>1.153106926990477</v>
      </c>
      <c r="AU35" s="51">
        <f t="shared" si="82"/>
        <v>0.17241242982525495</v>
      </c>
      <c r="AV35" s="51">
        <f>AV21/AR21-1</f>
        <v>-0.44412010819857162</v>
      </c>
      <c r="AW35" s="51">
        <f t="shared" ref="AW35" si="83">AW21/AS21-1</f>
        <v>-0.14958440730979761</v>
      </c>
      <c r="AX35" s="51">
        <f>AX21/AT21-1</f>
        <v>-0.31049177017065521</v>
      </c>
      <c r="AY35" s="51">
        <f t="shared" ref="AY35" si="84">AY21/AU21-1</f>
        <v>6.626201315123903E-2</v>
      </c>
      <c r="AZ35" s="51">
        <f t="shared" ref="AZ35" si="85">AZ21/AV21-1</f>
        <v>0.10554874846840545</v>
      </c>
      <c r="BA35" s="51">
        <f t="shared" ref="BA35" si="86">BA21/AW21-1</f>
        <v>0.14428722244925751</v>
      </c>
      <c r="BB35" s="51">
        <f t="shared" ref="BB35:BD35" si="87">BB21/AX21-1</f>
        <v>-5.2137459359713478E-3</v>
      </c>
      <c r="BC35" s="51">
        <f t="shared" si="87"/>
        <v>-5.3763440860215006E-3</v>
      </c>
      <c r="BD35" s="51">
        <f t="shared" si="87"/>
        <v>0.12317922735908793</v>
      </c>
      <c r="BE35" s="51"/>
      <c r="BF35" s="51"/>
      <c r="BG35" s="51"/>
      <c r="BH35" s="51"/>
    </row>
    <row r="36" spans="2:77" s="52" customFormat="1" x14ac:dyDescent="0.2">
      <c r="B36" s="20" t="s">
        <v>257</v>
      </c>
      <c r="C36" s="50"/>
      <c r="D36" s="50"/>
      <c r="E36" s="50"/>
      <c r="F36" s="50"/>
      <c r="G36" s="50"/>
      <c r="H36" s="50"/>
      <c r="I36" s="50"/>
      <c r="J36" s="50"/>
      <c r="K36" s="50"/>
      <c r="L36" s="50"/>
      <c r="M36" s="50"/>
      <c r="N36" s="50"/>
      <c r="O36" s="50"/>
      <c r="P36" s="50"/>
      <c r="Q36" s="50"/>
      <c r="R36" s="50"/>
      <c r="S36" s="50"/>
      <c r="T36" s="50"/>
      <c r="U36" s="50"/>
      <c r="V36" s="50"/>
      <c r="W36" s="50"/>
      <c r="X36" s="50"/>
      <c r="Y36" s="50"/>
      <c r="Z36" s="50"/>
      <c r="AA36" s="50"/>
      <c r="AB36" s="50"/>
      <c r="AC36" s="50"/>
      <c r="AD36" s="50"/>
      <c r="AE36" s="50"/>
      <c r="AF36" s="50"/>
      <c r="AG36" s="50"/>
      <c r="AH36" s="50"/>
      <c r="AI36" s="50"/>
      <c r="AJ36" s="50"/>
      <c r="AK36" s="50"/>
      <c r="AL36" s="50"/>
      <c r="AM36" s="50"/>
      <c r="AN36" s="50"/>
      <c r="AO36" s="50"/>
      <c r="AP36" s="50"/>
      <c r="AQ36" s="49">
        <f t="shared" ref="AQ36" si="88">+AQ3/AM3-1</f>
        <v>0.14931740614334466</v>
      </c>
      <c r="AR36" s="49">
        <f t="shared" ref="AR36" si="89">+AR3/AN3-1</f>
        <v>0.2791741472172351</v>
      </c>
      <c r="AS36" s="49">
        <f>+AS3/AO3-1</f>
        <v>0.11760242792109254</v>
      </c>
      <c r="AT36" s="49">
        <f t="shared" ref="AT36:BD36" si="90">+AT3/AP3-1</f>
        <v>0.15189873417721511</v>
      </c>
      <c r="AU36" s="49">
        <f t="shared" si="90"/>
        <v>0.12694877505567925</v>
      </c>
      <c r="AV36" s="49">
        <f t="shared" si="90"/>
        <v>0.13754385964912275</v>
      </c>
      <c r="AW36" s="49">
        <f t="shared" si="90"/>
        <v>0.10590631364562109</v>
      </c>
      <c r="AX36" s="49">
        <f>+AX3/AT3-1</f>
        <v>-3.2967032967032961E-2</v>
      </c>
      <c r="AY36" s="49">
        <f t="shared" si="90"/>
        <v>-5.5335968379446654E-2</v>
      </c>
      <c r="AZ36" s="49">
        <f t="shared" si="90"/>
        <v>-7.464528069093157E-2</v>
      </c>
      <c r="BA36" s="49">
        <f t="shared" si="90"/>
        <v>0.10000000000000009</v>
      </c>
      <c r="BB36" s="49">
        <f t="shared" si="90"/>
        <v>0.10000000000000009</v>
      </c>
      <c r="BC36" s="49">
        <f t="shared" si="90"/>
        <v>-0.1617852161785216</v>
      </c>
      <c r="BD36" s="49">
        <f t="shared" si="90"/>
        <v>-0.17933333333333334</v>
      </c>
      <c r="BE36" s="49"/>
      <c r="BF36" s="49"/>
      <c r="BG36" s="49"/>
      <c r="BH36" s="49"/>
    </row>
    <row r="37" spans="2:77" x14ac:dyDescent="0.2">
      <c r="B37" s="1" t="s">
        <v>250</v>
      </c>
      <c r="AQ37" s="49">
        <f t="shared" ref="AQ37" si="91">AQ10/AM10-1</f>
        <v>0.47752126366950209</v>
      </c>
      <c r="AR37" s="49">
        <f t="shared" ref="AR37" si="92">AR10/AN10-1</f>
        <v>0.6265328874024525</v>
      </c>
      <c r="AS37" s="49">
        <f>AS10/AO10-1</f>
        <v>0.64675912821964343</v>
      </c>
      <c r="AT37" s="49">
        <f t="shared" ref="AT37:AW37" si="93">AT10/AP10-1</f>
        <v>0.63323872595395758</v>
      </c>
      <c r="AU37" s="49">
        <f t="shared" si="93"/>
        <v>0.72944078947368385</v>
      </c>
      <c r="AV37" s="49">
        <f t="shared" si="93"/>
        <v>0.54786383367603375</v>
      </c>
      <c r="AW37" s="49">
        <f t="shared" si="93"/>
        <v>0.22275696115503596</v>
      </c>
      <c r="AX37" s="49">
        <f>AX10/AT10-1</f>
        <v>0.61401815022205053</v>
      </c>
      <c r="AY37" s="49">
        <f t="shared" ref="AY37" si="94">AY10/AU10-1</f>
        <v>0.26485972420351889</v>
      </c>
      <c r="AZ37" s="49">
        <f t="shared" ref="AZ37" si="95">AZ10/AV10-1</f>
        <v>0.39335793357933579</v>
      </c>
      <c r="BA37" s="49">
        <f t="shared" ref="BA37" si="96">BA10/AW10-1</f>
        <v>0.19999999999999996</v>
      </c>
      <c r="BB37" s="49">
        <f t="shared" ref="BB37:BD37" si="97">BB10/AX10-1</f>
        <v>0.19999999999999996</v>
      </c>
      <c r="BC37" s="49">
        <f t="shared" si="97"/>
        <v>0.14035087719298245</v>
      </c>
      <c r="BD37" s="49">
        <f t="shared" si="97"/>
        <v>0.21398305084745761</v>
      </c>
      <c r="BE37" s="49"/>
      <c r="BF37" s="49"/>
      <c r="BG37" s="49"/>
      <c r="BH37" s="49"/>
    </row>
    <row r="38" spans="2:77" x14ac:dyDescent="0.2">
      <c r="B38" s="1" t="s">
        <v>251</v>
      </c>
      <c r="AQ38" s="49">
        <f t="shared" ref="AQ38" si="98">AQ14/AM14-1</f>
        <v>0.47707602339181299</v>
      </c>
      <c r="AR38" s="49">
        <f t="shared" ref="AR38" si="99">AR14/AN14-1</f>
        <v>0.58624338624338623</v>
      </c>
      <c r="AS38" s="49">
        <f>AS14/AO14-1</f>
        <v>0.55034495618124213</v>
      </c>
      <c r="AT38" s="49">
        <f t="shared" ref="AT38:AW38" si="100">AT14/AP14-1</f>
        <v>0.51348122866894186</v>
      </c>
      <c r="AU38" s="49">
        <f t="shared" si="100"/>
        <v>0.43352601156069359</v>
      </c>
      <c r="AV38" s="49">
        <f t="shared" si="100"/>
        <v>0.39546364242828558</v>
      </c>
      <c r="AW38" s="49">
        <f t="shared" si="100"/>
        <v>0.40122677250586314</v>
      </c>
      <c r="AX38" s="49">
        <f>AX14/AT14-1</f>
        <v>0.38059533205547424</v>
      </c>
      <c r="AY38" s="49">
        <f t="shared" ref="AY38" si="101">AY14/AU14-1</f>
        <v>-1</v>
      </c>
      <c r="AZ38" s="49">
        <f t="shared" ref="AZ38" si="102">AZ14/AV14-1</f>
        <v>0.33349268572521273</v>
      </c>
      <c r="BA38" s="49">
        <f t="shared" ref="BA38" si="103">BA14/AW14-1</f>
        <v>-1</v>
      </c>
      <c r="BB38" s="49">
        <f t="shared" ref="BB38:BD38" si="104">BB14/AX14-1</f>
        <v>-1</v>
      </c>
      <c r="BC38" s="49" t="e">
        <f t="shared" si="104"/>
        <v>#DIV/0!</v>
      </c>
      <c r="BD38" s="49">
        <f t="shared" si="104"/>
        <v>0.2749695274969528</v>
      </c>
      <c r="BE38" s="49"/>
      <c r="BF38" s="49"/>
      <c r="BG38" s="49"/>
      <c r="BH38" s="49"/>
    </row>
    <row r="40" spans="2:77" x14ac:dyDescent="0.2">
      <c r="B40" s="1" t="s">
        <v>223</v>
      </c>
      <c r="AM40" s="49">
        <f t="shared" ref="AM40" si="105">+AM23/AM21</f>
        <v>0.88113991904605626</v>
      </c>
      <c r="AN40" s="49">
        <f t="shared" ref="AN40:AU40" si="106">+AN23/AN21</f>
        <v>0.863648004917277</v>
      </c>
      <c r="AO40" s="49">
        <f t="shared" si="106"/>
        <v>0.94681314848722642</v>
      </c>
      <c r="AP40" s="49">
        <f t="shared" si="106"/>
        <v>0.85237204852806892</v>
      </c>
      <c r="AQ40" s="49">
        <f t="shared" si="106"/>
        <v>0.87823199177670597</v>
      </c>
      <c r="AR40" s="49">
        <f t="shared" si="106"/>
        <v>0.86500476774281432</v>
      </c>
      <c r="AS40" s="49">
        <f t="shared" si="106"/>
        <v>0.93512699470010718</v>
      </c>
      <c r="AT40" s="49">
        <f t="shared" si="106"/>
        <v>0.85259012420478653</v>
      </c>
      <c r="AU40" s="49">
        <f t="shared" si="106"/>
        <v>0.86346315966953291</v>
      </c>
      <c r="AV40" s="49">
        <f>+AV23/AV21</f>
        <v>0.89599159810957474</v>
      </c>
      <c r="AW40" s="49">
        <f t="shared" ref="AW40" si="107">+AW23/AW21</f>
        <v>0.96287971665985561</v>
      </c>
      <c r="AX40" s="49">
        <f t="shared" ref="AX40:BD40" si="108">+AX23/AX21</f>
        <v>0.88658797340441109</v>
      </c>
      <c r="AY40" s="49">
        <f t="shared" si="108"/>
        <v>0.94686907020872868</v>
      </c>
      <c r="AZ40" s="49">
        <f t="shared" si="108"/>
        <v>0.94838505383153893</v>
      </c>
      <c r="BA40" s="49">
        <f t="shared" si="108"/>
        <v>0.9</v>
      </c>
      <c r="BB40" s="49">
        <f t="shared" si="108"/>
        <v>0.9</v>
      </c>
      <c r="BC40" s="49">
        <f t="shared" si="108"/>
        <v>0.93767885532591411</v>
      </c>
      <c r="BD40" s="49">
        <f t="shared" si="108"/>
        <v>0.93966732449957713</v>
      </c>
      <c r="BE40" s="49"/>
      <c r="BF40" s="49"/>
      <c r="BG40" s="49"/>
      <c r="BH40" s="49"/>
    </row>
    <row r="47" spans="2:77" s="1" customFormat="1" x14ac:dyDescent="0.2">
      <c r="B47" s="1" t="s">
        <v>33</v>
      </c>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f>3105.9+4636.4+6591.8</f>
        <v>14334.099999999999</v>
      </c>
      <c r="BD47" s="1">
        <v>17531</v>
      </c>
    </row>
    <row r="48" spans="2:77" s="1" customFormat="1" x14ac:dyDescent="0.2">
      <c r="B48" s="1" t="s">
        <v>313</v>
      </c>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v>5328.7</v>
      </c>
    </row>
    <row r="49" spans="2:56" s="1" customFormat="1" x14ac:dyDescent="0.2">
      <c r="B49" s="1" t="s">
        <v>314</v>
      </c>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v>2401.9</v>
      </c>
    </row>
    <row r="50" spans="2:56" s="1" customFormat="1" x14ac:dyDescent="0.2">
      <c r="B50" s="1" t="s">
        <v>315</v>
      </c>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v>411.2</v>
      </c>
    </row>
    <row r="51" spans="2:56" s="1" customFormat="1" x14ac:dyDescent="0.2">
      <c r="B51" s="1" t="s">
        <v>316</v>
      </c>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v>3763</v>
      </c>
    </row>
    <row r="52" spans="2:56" s="1" customFormat="1" x14ac:dyDescent="0.2">
      <c r="B52" s="1" t="s">
        <v>317</v>
      </c>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v>915.5</v>
      </c>
    </row>
    <row r="53" spans="2:56" s="1" customFormat="1" x14ac:dyDescent="0.2">
      <c r="B53" s="1" t="s">
        <v>230</v>
      </c>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v>1723.7</v>
      </c>
    </row>
    <row r="54" spans="2:56" s="1" customFormat="1" x14ac:dyDescent="0.2">
      <c r="B54" s="1" t="s">
        <v>318</v>
      </c>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v>336.4</v>
      </c>
    </row>
    <row r="55" spans="2:56" s="1" customFormat="1" x14ac:dyDescent="0.2">
      <c r="B55" s="1" t="s">
        <v>319</v>
      </c>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f>SUM(AX47:AX54)</f>
        <v>29214.500000000004</v>
      </c>
    </row>
    <row r="56" spans="2:56" x14ac:dyDescent="0.2">
      <c r="BD56" s="1"/>
    </row>
    <row r="57" spans="2:56" x14ac:dyDescent="0.2">
      <c r="B57" s="1" t="s">
        <v>320</v>
      </c>
      <c r="AX57" s="18">
        <v>589.20000000000005</v>
      </c>
      <c r="BD57" s="1"/>
    </row>
    <row r="58" spans="2:56" x14ac:dyDescent="0.2">
      <c r="B58" s="1" t="s">
        <v>321</v>
      </c>
      <c r="AX58" s="18">
        <v>2074.1999999999998</v>
      </c>
      <c r="BD58" s="1"/>
    </row>
    <row r="59" spans="2:56" x14ac:dyDescent="0.2">
      <c r="B59" s="1" t="s">
        <v>322</v>
      </c>
      <c r="AX59" s="18">
        <f>477.9+69.8</f>
        <v>547.69999999999993</v>
      </c>
      <c r="BD59" s="1"/>
    </row>
    <row r="60" spans="2:56" x14ac:dyDescent="0.2">
      <c r="B60" t="s">
        <v>29</v>
      </c>
      <c r="AX60" s="18">
        <v>1981.4</v>
      </c>
      <c r="BD60" s="1">
        <v>1983.6</v>
      </c>
    </row>
    <row r="61" spans="2:56" x14ac:dyDescent="0.2">
      <c r="B61" s="1" t="s">
        <v>323</v>
      </c>
      <c r="AX61" s="18">
        <v>720</v>
      </c>
      <c r="BD61" s="1"/>
    </row>
    <row r="62" spans="2:56" x14ac:dyDescent="0.2">
      <c r="B62" s="1" t="s">
        <v>326</v>
      </c>
      <c r="AX62" s="18">
        <v>638</v>
      </c>
    </row>
    <row r="63" spans="2:56" x14ac:dyDescent="0.2">
      <c r="B63" s="1" t="s">
        <v>325</v>
      </c>
      <c r="AX63" s="18">
        <v>22664</v>
      </c>
    </row>
    <row r="64" spans="2:56" x14ac:dyDescent="0.2">
      <c r="B64" t="s">
        <v>324</v>
      </c>
      <c r="AX64" s="18">
        <f>SUM(AX57:AX63)</f>
        <v>29214.5</v>
      </c>
    </row>
  </sheetData>
  <hyperlinks>
    <hyperlink ref="A1" location="Main!A1" display="Main" xr:uid="{D2C01981-FEC3-4A39-A852-FDD02C9DCC1E}"/>
  </hyperlink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2A577-FE61-4AC6-8EA6-0BAD78F2F516}">
  <dimension ref="A1:C15"/>
  <sheetViews>
    <sheetView workbookViewId="0"/>
  </sheetViews>
  <sheetFormatPr defaultColWidth="9.140625" defaultRowHeight="12.75" x14ac:dyDescent="0.2"/>
  <cols>
    <col min="1" max="1" width="5" style="12" bestFit="1" customWidth="1"/>
    <col min="2" max="2" width="12.85546875" style="12" bestFit="1" customWidth="1"/>
    <col min="3" max="16384" width="9.140625" style="12"/>
  </cols>
  <sheetData>
    <row r="1" spans="1:3" x14ac:dyDescent="0.2">
      <c r="A1" s="16" t="s">
        <v>79</v>
      </c>
    </row>
    <row r="2" spans="1:3" x14ac:dyDescent="0.2">
      <c r="B2" s="12" t="s">
        <v>78</v>
      </c>
      <c r="C2" s="12" t="s">
        <v>202</v>
      </c>
    </row>
    <row r="3" spans="1:3" x14ac:dyDescent="0.2">
      <c r="B3" s="12" t="s">
        <v>76</v>
      </c>
      <c r="C3" s="12" t="s">
        <v>203</v>
      </c>
    </row>
    <row r="4" spans="1:3" x14ac:dyDescent="0.2">
      <c r="B4" s="12" t="s">
        <v>44</v>
      </c>
      <c r="C4" s="12" t="s">
        <v>201</v>
      </c>
    </row>
    <row r="5" spans="1:3" x14ac:dyDescent="0.2">
      <c r="B5" s="12" t="s">
        <v>48</v>
      </c>
      <c r="C5" s="12" t="s">
        <v>200</v>
      </c>
    </row>
    <row r="6" spans="1:3" x14ac:dyDescent="0.2">
      <c r="B6" s="12" t="s">
        <v>46</v>
      </c>
    </row>
    <row r="7" spans="1:3" x14ac:dyDescent="0.2">
      <c r="B7" s="12" t="s">
        <v>45</v>
      </c>
    </row>
    <row r="8" spans="1:3" x14ac:dyDescent="0.2">
      <c r="B8" s="12" t="s">
        <v>134</v>
      </c>
    </row>
    <row r="9" spans="1:3" x14ac:dyDescent="0.2">
      <c r="B9" s="12" t="s">
        <v>66</v>
      </c>
    </row>
    <row r="11" spans="1:3" x14ac:dyDescent="0.2">
      <c r="C11" s="13" t="s">
        <v>199</v>
      </c>
    </row>
    <row r="15" spans="1:3" x14ac:dyDescent="0.2">
      <c r="C15" s="13" t="s">
        <v>198</v>
      </c>
    </row>
  </sheetData>
  <hyperlinks>
    <hyperlink ref="A1" location="Main!A1" display="Main" xr:uid="{7F512D4E-C7B1-4959-AD4C-AD4ABBB478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D28E7-A294-46A1-850A-3A0B8CF7E06D}">
  <dimension ref="A1:L68"/>
  <sheetViews>
    <sheetView zoomScaleNormal="100" workbookViewId="0">
      <selection activeCell="C54" sqref="C54"/>
    </sheetView>
  </sheetViews>
  <sheetFormatPr defaultColWidth="9.140625" defaultRowHeight="12.75" x14ac:dyDescent="0.2"/>
  <cols>
    <col min="1" max="1" width="5" style="2" bestFit="1" customWidth="1"/>
    <col min="2" max="2" width="13.140625" style="2" customWidth="1"/>
    <col min="3" max="6" width="9.140625" style="2"/>
    <col min="7" max="7" width="12.85546875" style="2" bestFit="1" customWidth="1"/>
    <col min="8" max="8" width="9.140625" style="2"/>
    <col min="9" max="9" width="12.7109375" style="2" bestFit="1" customWidth="1"/>
    <col min="10" max="10" width="14.42578125" style="2" bestFit="1" customWidth="1"/>
    <col min="11" max="11" width="12.7109375" style="2" bestFit="1" customWidth="1"/>
    <col min="12" max="16384" width="9.140625" style="2"/>
  </cols>
  <sheetData>
    <row r="1" spans="1:11" x14ac:dyDescent="0.2">
      <c r="A1" s="8" t="s">
        <v>79</v>
      </c>
    </row>
    <row r="2" spans="1:11" x14ac:dyDescent="0.2">
      <c r="B2" s="2" t="s">
        <v>78</v>
      </c>
      <c r="C2" s="2" t="s">
        <v>32</v>
      </c>
    </row>
    <row r="3" spans="1:11" x14ac:dyDescent="0.2">
      <c r="B3" s="2" t="s">
        <v>76</v>
      </c>
      <c r="C3" s="12" t="s">
        <v>138</v>
      </c>
    </row>
    <row r="4" spans="1:11" x14ac:dyDescent="0.2">
      <c r="B4" s="2" t="s">
        <v>44</v>
      </c>
      <c r="C4" s="2" t="s">
        <v>137</v>
      </c>
    </row>
    <row r="5" spans="1:11" x14ac:dyDescent="0.2">
      <c r="B5" s="2" t="s">
        <v>48</v>
      </c>
      <c r="C5" s="2" t="s">
        <v>31</v>
      </c>
    </row>
    <row r="6" spans="1:11" x14ac:dyDescent="0.2">
      <c r="B6" s="2" t="s">
        <v>46</v>
      </c>
      <c r="C6" s="2" t="s">
        <v>136</v>
      </c>
    </row>
    <row r="7" spans="1:11" x14ac:dyDescent="0.2">
      <c r="B7" s="2" t="s">
        <v>45</v>
      </c>
      <c r="C7" s="2" t="s">
        <v>135</v>
      </c>
    </row>
    <row r="8" spans="1:11" x14ac:dyDescent="0.2">
      <c r="B8" s="2" t="s">
        <v>134</v>
      </c>
      <c r="C8" s="2" t="s">
        <v>133</v>
      </c>
    </row>
    <row r="9" spans="1:11" x14ac:dyDescent="0.2">
      <c r="B9" s="2" t="s">
        <v>66</v>
      </c>
      <c r="C9" s="2" t="s">
        <v>132</v>
      </c>
    </row>
    <row r="11" spans="1:11" x14ac:dyDescent="0.2">
      <c r="C11" s="5" t="s">
        <v>131</v>
      </c>
    </row>
    <row r="12" spans="1:11" x14ac:dyDescent="0.2">
      <c r="C12" s="2" t="s">
        <v>130</v>
      </c>
    </row>
    <row r="13" spans="1:11" x14ac:dyDescent="0.2">
      <c r="C13" s="2" t="s">
        <v>124</v>
      </c>
    </row>
    <row r="14" spans="1:11" x14ac:dyDescent="0.2">
      <c r="C14" s="2" t="s">
        <v>123</v>
      </c>
    </row>
    <row r="15" spans="1:11" x14ac:dyDescent="0.2">
      <c r="C15" s="2" t="s">
        <v>122</v>
      </c>
    </row>
    <row r="16" spans="1:11" x14ac:dyDescent="0.2">
      <c r="C16" s="2" t="s">
        <v>121</v>
      </c>
      <c r="H16" s="2" t="s">
        <v>119</v>
      </c>
      <c r="I16" s="2" t="s">
        <v>118</v>
      </c>
      <c r="J16" s="2" t="s">
        <v>116</v>
      </c>
      <c r="K16" s="2" t="s">
        <v>114</v>
      </c>
    </row>
    <row r="17" spans="3:12" x14ac:dyDescent="0.2">
      <c r="C17" s="2" t="s">
        <v>120</v>
      </c>
      <c r="E17" s="11">
        <v>0.93</v>
      </c>
      <c r="G17" s="2" t="s">
        <v>117</v>
      </c>
      <c r="H17" s="9">
        <v>304</v>
      </c>
      <c r="I17" s="9">
        <v>304</v>
      </c>
      <c r="J17" s="9">
        <v>301</v>
      </c>
      <c r="K17" s="9">
        <v>301</v>
      </c>
    </row>
    <row r="18" spans="3:12" x14ac:dyDescent="0.2">
      <c r="C18" s="2" t="s">
        <v>118</v>
      </c>
      <c r="E18" s="11">
        <v>0.96</v>
      </c>
      <c r="G18" s="2" t="s">
        <v>115</v>
      </c>
      <c r="H18" s="9">
        <v>78</v>
      </c>
      <c r="I18" s="9">
        <v>78</v>
      </c>
      <c r="J18" s="9">
        <v>78</v>
      </c>
      <c r="K18" s="9">
        <v>78</v>
      </c>
    </row>
    <row r="19" spans="3:12" x14ac:dyDescent="0.2">
      <c r="C19" s="2" t="s">
        <v>116</v>
      </c>
      <c r="E19" s="11">
        <v>0.91</v>
      </c>
      <c r="G19" s="2" t="s">
        <v>129</v>
      </c>
      <c r="H19" s="9">
        <v>57</v>
      </c>
      <c r="I19" s="9">
        <v>64</v>
      </c>
      <c r="J19" s="9">
        <v>56</v>
      </c>
      <c r="K19" s="9">
        <v>59</v>
      </c>
    </row>
    <row r="20" spans="3:12" x14ac:dyDescent="0.2">
      <c r="C20" s="2" t="s">
        <v>114</v>
      </c>
      <c r="E20" s="11">
        <v>0.91</v>
      </c>
      <c r="G20" s="2" t="s">
        <v>112</v>
      </c>
      <c r="H20" s="9">
        <v>54</v>
      </c>
      <c r="I20" s="9">
        <v>55</v>
      </c>
      <c r="J20" s="9">
        <v>56</v>
      </c>
      <c r="K20" s="9">
        <v>56</v>
      </c>
    </row>
    <row r="21" spans="3:12" x14ac:dyDescent="0.2">
      <c r="G21" s="4" t="s">
        <v>111</v>
      </c>
      <c r="H21" s="10">
        <v>0.94</v>
      </c>
      <c r="I21" s="10">
        <v>0.95</v>
      </c>
      <c r="J21" s="10">
        <v>0.96</v>
      </c>
      <c r="K21" s="10">
        <v>0.96</v>
      </c>
    </row>
    <row r="22" spans="3:12" x14ac:dyDescent="0.2">
      <c r="G22" s="4" t="s">
        <v>110</v>
      </c>
      <c r="H22" s="9">
        <v>8.1</v>
      </c>
      <c r="I22" s="9">
        <v>10.9</v>
      </c>
      <c r="J22" s="9" t="s">
        <v>128</v>
      </c>
      <c r="K22" s="9" t="s">
        <v>127</v>
      </c>
      <c r="L22" s="2" t="s">
        <v>106</v>
      </c>
    </row>
    <row r="23" spans="3:12" x14ac:dyDescent="0.2">
      <c r="G23" s="4" t="s">
        <v>105</v>
      </c>
      <c r="H23" s="9">
        <v>31</v>
      </c>
      <c r="I23" s="9">
        <v>38</v>
      </c>
      <c r="J23" s="9">
        <v>25</v>
      </c>
      <c r="K23" s="9">
        <v>31</v>
      </c>
    </row>
    <row r="24" spans="3:12" x14ac:dyDescent="0.2">
      <c r="H24" s="9"/>
      <c r="I24" s="9"/>
      <c r="J24" s="9"/>
      <c r="K24" s="9"/>
    </row>
    <row r="25" spans="3:12" x14ac:dyDescent="0.2">
      <c r="C25" s="5" t="s">
        <v>126</v>
      </c>
    </row>
    <row r="26" spans="3:12" x14ac:dyDescent="0.2">
      <c r="C26" s="2" t="s">
        <v>125</v>
      </c>
    </row>
    <row r="27" spans="3:12" x14ac:dyDescent="0.2">
      <c r="C27" s="2" t="s">
        <v>124</v>
      </c>
    </row>
    <row r="28" spans="3:12" x14ac:dyDescent="0.2">
      <c r="C28" s="2" t="s">
        <v>123</v>
      </c>
    </row>
    <row r="29" spans="3:12" x14ac:dyDescent="0.2">
      <c r="C29" s="2" t="s">
        <v>122</v>
      </c>
    </row>
    <row r="30" spans="3:12" x14ac:dyDescent="0.2">
      <c r="C30" s="2" t="s">
        <v>121</v>
      </c>
    </row>
    <row r="31" spans="3:12" x14ac:dyDescent="0.2">
      <c r="C31" s="2" t="s">
        <v>120</v>
      </c>
      <c r="E31" s="11">
        <v>0.91</v>
      </c>
      <c r="H31" s="2" t="s">
        <v>119</v>
      </c>
      <c r="I31" s="2" t="s">
        <v>118</v>
      </c>
      <c r="J31" s="2" t="s">
        <v>116</v>
      </c>
      <c r="K31" s="2" t="s">
        <v>114</v>
      </c>
    </row>
    <row r="32" spans="3:12" x14ac:dyDescent="0.2">
      <c r="C32" s="2" t="s">
        <v>118</v>
      </c>
      <c r="E32" s="11">
        <v>0.9</v>
      </c>
      <c r="G32" s="2" t="s">
        <v>117</v>
      </c>
      <c r="H32" s="9">
        <v>291</v>
      </c>
      <c r="I32" s="9">
        <v>309</v>
      </c>
      <c r="J32" s="9">
        <v>296</v>
      </c>
      <c r="K32" s="9">
        <v>306</v>
      </c>
    </row>
    <row r="33" spans="3:12" x14ac:dyDescent="0.2">
      <c r="C33" s="2" t="s">
        <v>116</v>
      </c>
      <c r="E33" s="11">
        <v>0.88</v>
      </c>
      <c r="G33" s="2" t="s">
        <v>115</v>
      </c>
      <c r="H33" s="9">
        <v>73</v>
      </c>
      <c r="I33" s="9">
        <v>74</v>
      </c>
      <c r="J33" s="9">
        <v>75</v>
      </c>
      <c r="K33" s="9">
        <v>74</v>
      </c>
    </row>
    <row r="34" spans="3:12" x14ac:dyDescent="0.2">
      <c r="C34" s="2" t="s">
        <v>114</v>
      </c>
      <c r="E34" s="11">
        <v>0.91</v>
      </c>
      <c r="G34" s="2" t="s">
        <v>113</v>
      </c>
      <c r="H34" s="9">
        <v>58</v>
      </c>
      <c r="I34" s="9">
        <v>57</v>
      </c>
      <c r="J34" s="9">
        <v>50</v>
      </c>
      <c r="K34" s="9">
        <v>57</v>
      </c>
    </row>
    <row r="35" spans="3:12" x14ac:dyDescent="0.2">
      <c r="G35" s="2" t="s">
        <v>112</v>
      </c>
      <c r="H35" s="9">
        <v>54</v>
      </c>
      <c r="I35" s="9">
        <v>53</v>
      </c>
      <c r="J35" s="9">
        <v>52</v>
      </c>
      <c r="K35" s="9">
        <v>52</v>
      </c>
    </row>
    <row r="36" spans="3:12" x14ac:dyDescent="0.2">
      <c r="G36" s="4" t="s">
        <v>111</v>
      </c>
      <c r="H36" s="10">
        <v>0.94</v>
      </c>
      <c r="I36" s="10">
        <v>0.95</v>
      </c>
      <c r="J36" s="10">
        <v>0.96</v>
      </c>
      <c r="K36" s="10">
        <v>0.96</v>
      </c>
    </row>
    <row r="37" spans="3:12" x14ac:dyDescent="0.2">
      <c r="G37" s="4" t="s">
        <v>110</v>
      </c>
      <c r="H37" s="9">
        <v>9.4</v>
      </c>
      <c r="I37" s="9" t="s">
        <v>109</v>
      </c>
      <c r="J37" s="9" t="s">
        <v>108</v>
      </c>
      <c r="K37" s="9" t="s">
        <v>107</v>
      </c>
      <c r="L37" s="2" t="s">
        <v>106</v>
      </c>
    </row>
    <row r="38" spans="3:12" x14ac:dyDescent="0.2">
      <c r="G38" s="4" t="s">
        <v>105</v>
      </c>
      <c r="H38" s="9">
        <v>34</v>
      </c>
      <c r="I38" s="9">
        <v>29</v>
      </c>
      <c r="J38" s="9">
        <v>35</v>
      </c>
      <c r="K38" s="9">
        <v>31</v>
      </c>
    </row>
    <row r="39" spans="3:12" x14ac:dyDescent="0.2">
      <c r="G39" s="4"/>
      <c r="H39" s="9"/>
      <c r="I39" s="9"/>
      <c r="J39" s="9"/>
      <c r="K39" s="9"/>
    </row>
    <row r="40" spans="3:12" x14ac:dyDescent="0.2">
      <c r="C40" s="5" t="s">
        <v>104</v>
      </c>
      <c r="G40" s="4"/>
      <c r="H40" s="9"/>
      <c r="I40" s="9"/>
      <c r="J40" s="9"/>
      <c r="K40" s="9"/>
    </row>
    <row r="41" spans="3:12" x14ac:dyDescent="0.2">
      <c r="C41" s="2" t="s">
        <v>103</v>
      </c>
      <c r="G41" s="4"/>
      <c r="H41" s="9"/>
      <c r="I41" s="9"/>
      <c r="J41" s="9"/>
      <c r="K41" s="9"/>
    </row>
    <row r="42" spans="3:12" x14ac:dyDescent="0.2">
      <c r="C42" s="2" t="s">
        <v>102</v>
      </c>
      <c r="G42" s="4"/>
      <c r="H42" s="9"/>
      <c r="I42" s="9"/>
      <c r="J42" s="9"/>
      <c r="K42" s="9"/>
    </row>
    <row r="43" spans="3:12" x14ac:dyDescent="0.2">
      <c r="C43" s="2" t="s">
        <v>101</v>
      </c>
      <c r="G43" s="4"/>
      <c r="H43" s="9"/>
      <c r="I43" s="9"/>
      <c r="J43" s="9"/>
      <c r="K43" s="9"/>
    </row>
    <row r="44" spans="3:12" x14ac:dyDescent="0.2">
      <c r="G44" s="4"/>
      <c r="H44" s="9"/>
      <c r="I44" s="9"/>
      <c r="J44" s="9"/>
      <c r="K44" s="9"/>
    </row>
    <row r="45" spans="3:12" x14ac:dyDescent="0.2">
      <c r="C45" s="5" t="s">
        <v>100</v>
      </c>
      <c r="G45" s="4"/>
      <c r="H45" s="9"/>
      <c r="I45" s="9"/>
      <c r="J45" s="9"/>
      <c r="K45" s="9"/>
    </row>
    <row r="46" spans="3:12" x14ac:dyDescent="0.2">
      <c r="C46" s="2" t="s">
        <v>99</v>
      </c>
      <c r="G46" s="4"/>
      <c r="H46" s="9"/>
      <c r="I46" s="9"/>
      <c r="J46" s="9"/>
      <c r="K46" s="9"/>
    </row>
    <row r="47" spans="3:12" x14ac:dyDescent="0.2">
      <c r="C47" s="2" t="s">
        <v>98</v>
      </c>
      <c r="G47" s="4"/>
      <c r="H47" s="9"/>
      <c r="I47" s="9"/>
      <c r="J47" s="9"/>
      <c r="K47" s="9"/>
    </row>
    <row r="48" spans="3:12" x14ac:dyDescent="0.2">
      <c r="C48" s="2" t="s">
        <v>97</v>
      </c>
      <c r="G48" s="4"/>
      <c r="H48" s="9"/>
      <c r="I48" s="9"/>
      <c r="J48" s="9"/>
      <c r="K48" s="9"/>
    </row>
    <row r="49" spans="3:11" x14ac:dyDescent="0.2">
      <c r="C49" s="2" t="s">
        <v>96</v>
      </c>
      <c r="G49" s="4"/>
      <c r="H49" s="9"/>
      <c r="I49" s="9"/>
      <c r="J49" s="9"/>
      <c r="K49" s="9"/>
    </row>
    <row r="50" spans="3:11" x14ac:dyDescent="0.2">
      <c r="C50" s="2" t="s">
        <v>95</v>
      </c>
      <c r="G50" s="4"/>
      <c r="H50" s="9"/>
      <c r="I50" s="9"/>
      <c r="J50" s="9"/>
      <c r="K50" s="9"/>
    </row>
    <row r="51" spans="3:11" x14ac:dyDescent="0.2">
      <c r="C51" s="2" t="s">
        <v>94</v>
      </c>
      <c r="G51" s="4"/>
      <c r="H51" s="9"/>
      <c r="I51" s="9"/>
      <c r="J51" s="9"/>
      <c r="K51" s="9"/>
    </row>
    <row r="52" spans="3:11" x14ac:dyDescent="0.2">
      <c r="C52" s="2" t="s">
        <v>93</v>
      </c>
      <c r="G52" s="4"/>
      <c r="H52" s="9"/>
      <c r="I52" s="9"/>
      <c r="J52" s="9"/>
      <c r="K52" s="9"/>
    </row>
    <row r="53" spans="3:11" x14ac:dyDescent="0.2">
      <c r="C53" s="2" t="s">
        <v>92</v>
      </c>
      <c r="G53" s="4"/>
      <c r="H53" s="9"/>
      <c r="I53" s="9"/>
      <c r="J53" s="9"/>
      <c r="K53" s="9"/>
    </row>
    <row r="54" spans="3:11" x14ac:dyDescent="0.2">
      <c r="C54" s="2" t="s">
        <v>91</v>
      </c>
      <c r="G54" s="4"/>
      <c r="H54" s="9"/>
      <c r="I54" s="9"/>
      <c r="J54" s="9"/>
      <c r="K54" s="9"/>
    </row>
    <row r="56" spans="3:11" x14ac:dyDescent="0.2">
      <c r="C56" s="5" t="s">
        <v>90</v>
      </c>
    </row>
    <row r="57" spans="3:11" x14ac:dyDescent="0.2">
      <c r="C57" s="2" t="s">
        <v>89</v>
      </c>
    </row>
    <row r="59" spans="3:11" x14ac:dyDescent="0.2">
      <c r="C59" s="5" t="s">
        <v>88</v>
      </c>
    </row>
    <row r="60" spans="3:11" x14ac:dyDescent="0.2">
      <c r="C60" s="2" t="s">
        <v>87</v>
      </c>
    </row>
    <row r="61" spans="3:11" x14ac:dyDescent="0.2">
      <c r="C61" s="2" t="s">
        <v>86</v>
      </c>
    </row>
    <row r="62" spans="3:11" x14ac:dyDescent="0.2">
      <c r="C62" s="2" t="s">
        <v>85</v>
      </c>
    </row>
    <row r="64" spans="3:11" x14ac:dyDescent="0.2">
      <c r="C64" s="2" t="s">
        <v>84</v>
      </c>
    </row>
    <row r="65" spans="3:3" x14ac:dyDescent="0.2">
      <c r="C65" s="2" t="s">
        <v>83</v>
      </c>
    </row>
    <row r="66" spans="3:3" x14ac:dyDescent="0.2">
      <c r="C66" s="2" t="s">
        <v>82</v>
      </c>
    </row>
    <row r="67" spans="3:3" x14ac:dyDescent="0.2">
      <c r="C67" s="2" t="s">
        <v>81</v>
      </c>
    </row>
    <row r="68" spans="3:3" x14ac:dyDescent="0.2">
      <c r="C68" s="2" t="s">
        <v>80</v>
      </c>
    </row>
  </sheetData>
  <hyperlinks>
    <hyperlink ref="A1" location="Main!A1" display="Main" xr:uid="{55DDCF10-B603-4C33-8235-AC36ACB13C73}"/>
  </hyperlink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7B461-B0FA-4F01-9F54-E9771F481DED}">
  <dimension ref="A1:F28"/>
  <sheetViews>
    <sheetView zoomScale="110" zoomScaleNormal="110" workbookViewId="0"/>
  </sheetViews>
  <sheetFormatPr defaultColWidth="9.140625" defaultRowHeight="12.75" x14ac:dyDescent="0.2"/>
  <cols>
    <col min="1" max="1" width="5" style="2" bestFit="1" customWidth="1"/>
    <col min="2" max="2" width="12.85546875" style="2" bestFit="1" customWidth="1"/>
    <col min="3" max="4" width="9.140625" style="2"/>
    <col min="5" max="5" width="13.7109375" style="2" bestFit="1" customWidth="1"/>
    <col min="6" max="16384" width="9.140625" style="2"/>
  </cols>
  <sheetData>
    <row r="1" spans="1:4" x14ac:dyDescent="0.2">
      <c r="A1" s="8" t="s">
        <v>79</v>
      </c>
    </row>
    <row r="2" spans="1:4" x14ac:dyDescent="0.2">
      <c r="B2" s="2" t="s">
        <v>78</v>
      </c>
      <c r="C2" s="2" t="s">
        <v>77</v>
      </c>
    </row>
    <row r="3" spans="1:4" x14ac:dyDescent="0.2">
      <c r="B3" s="2" t="s">
        <v>76</v>
      </c>
      <c r="C3" s="2" t="s">
        <v>75</v>
      </c>
    </row>
    <row r="4" spans="1:4" x14ac:dyDescent="0.2">
      <c r="B4" s="2" t="s">
        <v>48</v>
      </c>
      <c r="C4" s="2" t="s">
        <v>74</v>
      </c>
    </row>
    <row r="5" spans="1:4" x14ac:dyDescent="0.2">
      <c r="C5" s="2" t="s">
        <v>73</v>
      </c>
    </row>
    <row r="6" spans="1:4" x14ac:dyDescent="0.2">
      <c r="B6" s="2" t="s">
        <v>44</v>
      </c>
      <c r="C6" s="2" t="s">
        <v>72</v>
      </c>
    </row>
    <row r="7" spans="1:4" x14ac:dyDescent="0.2">
      <c r="C7" s="2" t="s">
        <v>71</v>
      </c>
    </row>
    <row r="8" spans="1:4" x14ac:dyDescent="0.2">
      <c r="C8" s="2" t="s">
        <v>70</v>
      </c>
    </row>
    <row r="9" spans="1:4" x14ac:dyDescent="0.2">
      <c r="C9" s="2" t="s">
        <v>69</v>
      </c>
    </row>
    <row r="10" spans="1:4" x14ac:dyDescent="0.2">
      <c r="C10" s="2" t="s">
        <v>68</v>
      </c>
    </row>
    <row r="11" spans="1:4" x14ac:dyDescent="0.2">
      <c r="C11" s="2" t="s">
        <v>67</v>
      </c>
    </row>
    <row r="12" spans="1:4" x14ac:dyDescent="0.2">
      <c r="B12" s="2" t="s">
        <v>66</v>
      </c>
    </row>
    <row r="13" spans="1:4" x14ac:dyDescent="0.2">
      <c r="C13" s="7" t="s">
        <v>65</v>
      </c>
    </row>
    <row r="14" spans="1:4" x14ac:dyDescent="0.2">
      <c r="C14" s="2" t="s">
        <v>64</v>
      </c>
    </row>
    <row r="15" spans="1:4" x14ac:dyDescent="0.2">
      <c r="D15" s="2" t="s">
        <v>63</v>
      </c>
    </row>
    <row r="16" spans="1:4" x14ac:dyDescent="0.2">
      <c r="C16" s="2" t="s">
        <v>62</v>
      </c>
    </row>
    <row r="17" spans="3:6" x14ac:dyDescent="0.2">
      <c r="D17" s="2" t="s">
        <v>61</v>
      </c>
    </row>
    <row r="18" spans="3:6" x14ac:dyDescent="0.2">
      <c r="C18" s="2" t="s">
        <v>60</v>
      </c>
    </row>
    <row r="19" spans="3:6" x14ac:dyDescent="0.2">
      <c r="D19" s="6" t="s">
        <v>59</v>
      </c>
    </row>
    <row r="21" spans="3:6" x14ac:dyDescent="0.2">
      <c r="C21" s="5" t="s">
        <v>58</v>
      </c>
    </row>
    <row r="22" spans="3:6" x14ac:dyDescent="0.2">
      <c r="C22" s="2" t="s">
        <v>57</v>
      </c>
      <c r="D22" s="3"/>
    </row>
    <row r="23" spans="3:6" x14ac:dyDescent="0.2">
      <c r="D23" s="2" t="s">
        <v>56</v>
      </c>
      <c r="E23" s="2" t="s">
        <v>55</v>
      </c>
      <c r="F23" s="2" t="s">
        <v>54</v>
      </c>
    </row>
    <row r="24" spans="3:6" x14ac:dyDescent="0.2">
      <c r="C24" s="4" t="s">
        <v>53</v>
      </c>
      <c r="D24" s="3">
        <v>1.23</v>
      </c>
      <c r="E24" s="2">
        <v>0.35</v>
      </c>
      <c r="F24" s="2">
        <v>0.34</v>
      </c>
    </row>
    <row r="26" spans="3:6" x14ac:dyDescent="0.2">
      <c r="C26" s="2" t="s">
        <v>52</v>
      </c>
    </row>
    <row r="27" spans="3:6" x14ac:dyDescent="0.2">
      <c r="C27" s="2" t="s">
        <v>51</v>
      </c>
    </row>
    <row r="28" spans="3:6" x14ac:dyDescent="0.2">
      <c r="C28" s="2" t="s">
        <v>50</v>
      </c>
    </row>
  </sheetData>
  <hyperlinks>
    <hyperlink ref="A1" location="Main!A1" display="Main" xr:uid="{3F382476-9EC9-4FBC-B2E6-2DD8F39075F6}"/>
  </hyperlinks>
  <pageMargins left="0.75" right="0.75" top="1" bottom="1" header="0.5" footer="0.5"/>
  <pageSetup orientation="portrait" horizontalDpi="200" verticalDpi="2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3CDFA-6D13-4032-9792-01B88E364A31}">
  <dimension ref="A1:F24"/>
  <sheetViews>
    <sheetView workbookViewId="0"/>
  </sheetViews>
  <sheetFormatPr defaultColWidth="9.140625" defaultRowHeight="12.75" x14ac:dyDescent="0.2"/>
  <cols>
    <col min="1" max="1" width="5" style="12" bestFit="1" customWidth="1"/>
    <col min="2" max="2" width="17.42578125" style="12" bestFit="1" customWidth="1"/>
    <col min="3" max="3" width="9.140625" style="12"/>
    <col min="4" max="4" width="10.85546875" style="12" bestFit="1" customWidth="1"/>
    <col min="5" max="16384" width="9.140625" style="12"/>
  </cols>
  <sheetData>
    <row r="1" spans="1:6" x14ac:dyDescent="0.2">
      <c r="A1" s="8" t="s">
        <v>79</v>
      </c>
      <c r="B1" s="2"/>
      <c r="C1" s="2"/>
      <c r="D1" s="2"/>
    </row>
    <row r="2" spans="1:6" x14ac:dyDescent="0.2">
      <c r="A2" s="2"/>
      <c r="B2" s="2" t="s">
        <v>78</v>
      </c>
      <c r="C2" s="2" t="s">
        <v>37</v>
      </c>
      <c r="D2" s="2"/>
    </row>
    <row r="3" spans="1:6" x14ac:dyDescent="0.2">
      <c r="A3" s="2"/>
      <c r="B3" s="2" t="s">
        <v>76</v>
      </c>
      <c r="C3" s="12" t="s">
        <v>138</v>
      </c>
      <c r="D3" s="2"/>
    </row>
    <row r="4" spans="1:6" x14ac:dyDescent="0.2">
      <c r="A4" s="2"/>
      <c r="B4" s="2" t="s">
        <v>44</v>
      </c>
      <c r="C4" s="2" t="s">
        <v>156</v>
      </c>
      <c r="D4" s="2"/>
    </row>
    <row r="5" spans="1:6" x14ac:dyDescent="0.2">
      <c r="A5" s="2"/>
      <c r="B5" s="2" t="s">
        <v>48</v>
      </c>
      <c r="C5" s="2" t="s">
        <v>36</v>
      </c>
      <c r="D5" s="2"/>
    </row>
    <row r="6" spans="1:6" x14ac:dyDescent="0.2">
      <c r="A6" s="2"/>
      <c r="B6" s="2" t="s">
        <v>46</v>
      </c>
      <c r="C6" s="2"/>
      <c r="D6" s="2"/>
    </row>
    <row r="7" spans="1:6" x14ac:dyDescent="0.2">
      <c r="A7" s="2"/>
      <c r="B7" s="2" t="s">
        <v>45</v>
      </c>
      <c r="C7" s="2" t="s">
        <v>155</v>
      </c>
      <c r="D7" s="2"/>
    </row>
    <row r="8" spans="1:6" x14ac:dyDescent="0.2">
      <c r="A8" s="2"/>
      <c r="B8" s="2" t="s">
        <v>134</v>
      </c>
      <c r="C8" s="2" t="s">
        <v>154</v>
      </c>
      <c r="D8" s="2"/>
    </row>
    <row r="9" spans="1:6" x14ac:dyDescent="0.2">
      <c r="A9" s="2"/>
      <c r="B9" s="2" t="s">
        <v>66</v>
      </c>
      <c r="C9" s="2"/>
      <c r="D9" s="2"/>
    </row>
    <row r="11" spans="1:6" x14ac:dyDescent="0.2">
      <c r="C11" s="13" t="s">
        <v>153</v>
      </c>
    </row>
    <row r="12" spans="1:6" x14ac:dyDescent="0.2">
      <c r="C12" s="12" t="s">
        <v>152</v>
      </c>
      <c r="E12" s="12" t="s">
        <v>151</v>
      </c>
    </row>
    <row r="13" spans="1:6" x14ac:dyDescent="0.2">
      <c r="C13" s="12" t="s">
        <v>150</v>
      </c>
      <c r="D13" s="12" t="s">
        <v>149</v>
      </c>
      <c r="E13" s="12" t="s">
        <v>148</v>
      </c>
      <c r="F13" s="12" t="s">
        <v>147</v>
      </c>
    </row>
    <row r="14" spans="1:6" x14ac:dyDescent="0.2">
      <c r="B14" s="12" t="s">
        <v>117</v>
      </c>
      <c r="C14" s="12">
        <v>292</v>
      </c>
      <c r="D14" s="12">
        <v>293</v>
      </c>
      <c r="E14" s="12">
        <v>612</v>
      </c>
      <c r="F14" s="12">
        <v>614</v>
      </c>
    </row>
    <row r="15" spans="1:6" x14ac:dyDescent="0.2">
      <c r="B15" s="12" t="s">
        <v>146</v>
      </c>
      <c r="C15" s="14">
        <v>8.5999999999999993E-2</v>
      </c>
      <c r="D15" s="14">
        <v>0.22700000000000001</v>
      </c>
      <c r="E15" s="14">
        <v>0.111</v>
      </c>
      <c r="F15" s="14">
        <v>0.19800000000000001</v>
      </c>
    </row>
    <row r="16" spans="1:6" x14ac:dyDescent="0.2">
      <c r="B16" s="12" t="s">
        <v>145</v>
      </c>
      <c r="C16" s="12">
        <v>4.5</v>
      </c>
      <c r="D16" s="12">
        <v>7.5</v>
      </c>
      <c r="E16" s="12">
        <v>4.7</v>
      </c>
      <c r="F16" s="12">
        <v>6.9</v>
      </c>
    </row>
    <row r="17" spans="2:6" x14ac:dyDescent="0.2">
      <c r="B17" s="12" t="s">
        <v>144</v>
      </c>
      <c r="C17" s="12">
        <v>10.8</v>
      </c>
      <c r="D17" s="12">
        <v>12.9</v>
      </c>
      <c r="E17" s="12">
        <v>12.1</v>
      </c>
      <c r="F17" s="12">
        <v>13.5</v>
      </c>
    </row>
    <row r="19" spans="2:6" x14ac:dyDescent="0.2">
      <c r="C19" s="12" t="s">
        <v>143</v>
      </c>
    </row>
    <row r="20" spans="2:6" x14ac:dyDescent="0.2">
      <c r="C20" s="12" t="s">
        <v>142</v>
      </c>
    </row>
    <row r="22" spans="2:6" x14ac:dyDescent="0.2">
      <c r="C22" s="13" t="s">
        <v>141</v>
      </c>
    </row>
    <row r="23" spans="2:6" x14ac:dyDescent="0.2">
      <c r="C23" s="12" t="s">
        <v>140</v>
      </c>
    </row>
    <row r="24" spans="2:6" x14ac:dyDescent="0.2">
      <c r="C24" s="12" t="s">
        <v>139</v>
      </c>
    </row>
  </sheetData>
  <hyperlinks>
    <hyperlink ref="A1" location="Main!A1" display="Main" xr:uid="{C182237B-2283-4E6B-8D81-C09B2FE4724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35DF0-8027-4157-B016-1C12AF5A0969}">
  <dimension ref="A1:C28"/>
  <sheetViews>
    <sheetView zoomScale="115" zoomScaleNormal="115" workbookViewId="0">
      <selection activeCell="C5" sqref="C5"/>
    </sheetView>
  </sheetViews>
  <sheetFormatPr defaultColWidth="9.140625" defaultRowHeight="12.75" x14ac:dyDescent="0.2"/>
  <cols>
    <col min="1" max="1" width="5" style="2" bestFit="1" customWidth="1"/>
    <col min="2" max="2" width="12.42578125" style="2" customWidth="1"/>
    <col min="3" max="16384" width="9.140625" style="2"/>
  </cols>
  <sheetData>
    <row r="1" spans="1:3" x14ac:dyDescent="0.2">
      <c r="A1" s="8" t="s">
        <v>79</v>
      </c>
    </row>
    <row r="2" spans="1:3" x14ac:dyDescent="0.2">
      <c r="B2" s="2" t="s">
        <v>78</v>
      </c>
      <c r="C2" s="2" t="s">
        <v>175</v>
      </c>
    </row>
    <row r="3" spans="1:3" x14ac:dyDescent="0.2">
      <c r="B3" s="2" t="s">
        <v>76</v>
      </c>
      <c r="C3" s="2" t="s">
        <v>174</v>
      </c>
    </row>
    <row r="4" spans="1:3" x14ac:dyDescent="0.2">
      <c r="B4" s="2" t="s">
        <v>48</v>
      </c>
      <c r="C4" s="2" t="s">
        <v>173</v>
      </c>
    </row>
    <row r="5" spans="1:3" x14ac:dyDescent="0.2">
      <c r="B5" s="2" t="s">
        <v>44</v>
      </c>
      <c r="C5" s="2" t="s">
        <v>172</v>
      </c>
    </row>
    <row r="6" spans="1:3" x14ac:dyDescent="0.2">
      <c r="B6" s="2" t="s">
        <v>45</v>
      </c>
      <c r="C6" s="2" t="s">
        <v>171</v>
      </c>
    </row>
    <row r="7" spans="1:3" x14ac:dyDescent="0.2">
      <c r="B7" s="2" t="s">
        <v>66</v>
      </c>
    </row>
    <row r="8" spans="1:3" x14ac:dyDescent="0.2">
      <c r="C8" s="5" t="s">
        <v>170</v>
      </c>
    </row>
    <row r="10" spans="1:3" x14ac:dyDescent="0.2">
      <c r="C10" s="5" t="s">
        <v>169</v>
      </c>
    </row>
    <row r="11" spans="1:3" x14ac:dyDescent="0.2">
      <c r="C11" s="5"/>
    </row>
    <row r="12" spans="1:3" x14ac:dyDescent="0.2">
      <c r="C12" s="5" t="s">
        <v>168</v>
      </c>
    </row>
    <row r="13" spans="1:3" x14ac:dyDescent="0.2">
      <c r="C13" s="5"/>
    </row>
    <row r="14" spans="1:3" x14ac:dyDescent="0.2">
      <c r="C14" s="5" t="s">
        <v>167</v>
      </c>
    </row>
    <row r="16" spans="1:3" x14ac:dyDescent="0.2">
      <c r="C16" s="5" t="s">
        <v>166</v>
      </c>
    </row>
    <row r="17" spans="3:3" x14ac:dyDescent="0.2">
      <c r="C17" s="2" t="s">
        <v>165</v>
      </c>
    </row>
    <row r="18" spans="3:3" x14ac:dyDescent="0.2">
      <c r="C18" s="2" t="s">
        <v>164</v>
      </c>
    </row>
    <row r="20" spans="3:3" x14ac:dyDescent="0.2">
      <c r="C20" s="5" t="s">
        <v>163</v>
      </c>
    </row>
    <row r="21" spans="3:3" x14ac:dyDescent="0.2">
      <c r="C21" s="2" t="s">
        <v>162</v>
      </c>
    </row>
    <row r="22" spans="3:3" x14ac:dyDescent="0.2">
      <c r="C22" s="2" t="s">
        <v>161</v>
      </c>
    </row>
    <row r="24" spans="3:3" x14ac:dyDescent="0.2">
      <c r="C24" s="5" t="s">
        <v>160</v>
      </c>
    </row>
    <row r="25" spans="3:3" x14ac:dyDescent="0.2">
      <c r="C25" s="2" t="s">
        <v>159</v>
      </c>
    </row>
    <row r="27" spans="3:3" x14ac:dyDescent="0.2">
      <c r="C27" s="15" t="s">
        <v>158</v>
      </c>
    </row>
    <row r="28" spans="3:3" x14ac:dyDescent="0.2">
      <c r="C28" s="15" t="s">
        <v>157</v>
      </c>
    </row>
  </sheetData>
  <hyperlinks>
    <hyperlink ref="A1" location="Main!A1" display="Main" xr:uid="{3B461243-A27C-412E-8A2C-014DB1DF39EA}"/>
  </hyperlinks>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99AEC-5D41-41E2-A738-1BC200DF53F7}">
  <dimension ref="A1:C21"/>
  <sheetViews>
    <sheetView zoomScale="145" zoomScaleNormal="145" workbookViewId="0"/>
  </sheetViews>
  <sheetFormatPr defaultColWidth="9.140625" defaultRowHeight="12.75" x14ac:dyDescent="0.2"/>
  <cols>
    <col min="1" max="1" width="5" style="12" bestFit="1" customWidth="1"/>
    <col min="2" max="2" width="12.85546875" style="12" bestFit="1" customWidth="1"/>
    <col min="3" max="16384" width="9.140625" style="12"/>
  </cols>
  <sheetData>
    <row r="1" spans="1:3" x14ac:dyDescent="0.2">
      <c r="A1" s="16" t="s">
        <v>79</v>
      </c>
    </row>
    <row r="2" spans="1:3" x14ac:dyDescent="0.2">
      <c r="B2" s="12" t="s">
        <v>78</v>
      </c>
      <c r="C2" s="12" t="s">
        <v>216</v>
      </c>
    </row>
    <row r="3" spans="1:3" x14ac:dyDescent="0.2">
      <c r="B3" s="12" t="s">
        <v>76</v>
      </c>
      <c r="C3" s="12" t="s">
        <v>189</v>
      </c>
    </row>
    <row r="4" spans="1:3" x14ac:dyDescent="0.2">
      <c r="B4" s="12" t="s">
        <v>44</v>
      </c>
      <c r="C4" s="12" t="s">
        <v>188</v>
      </c>
    </row>
    <row r="5" spans="1:3" x14ac:dyDescent="0.2">
      <c r="B5" s="12" t="s">
        <v>48</v>
      </c>
      <c r="C5" s="12" t="s">
        <v>187</v>
      </c>
    </row>
    <row r="6" spans="1:3" x14ac:dyDescent="0.2">
      <c r="B6" s="12" t="s">
        <v>46</v>
      </c>
      <c r="C6" s="12" t="s">
        <v>186</v>
      </c>
    </row>
    <row r="7" spans="1:3" x14ac:dyDescent="0.2">
      <c r="B7" s="12" t="s">
        <v>45</v>
      </c>
      <c r="C7" s="12" t="s">
        <v>20</v>
      </c>
    </row>
    <row r="8" spans="1:3" x14ac:dyDescent="0.2">
      <c r="B8" s="12" t="s">
        <v>134</v>
      </c>
      <c r="C8" s="12" t="s">
        <v>185</v>
      </c>
    </row>
    <row r="9" spans="1:3" x14ac:dyDescent="0.2">
      <c r="B9" s="12" t="s">
        <v>66</v>
      </c>
    </row>
    <row r="10" spans="1:3" x14ac:dyDescent="0.2">
      <c r="C10" s="13" t="s">
        <v>184</v>
      </c>
    </row>
    <row r="13" spans="1:3" x14ac:dyDescent="0.2">
      <c r="C13" s="13" t="s">
        <v>183</v>
      </c>
    </row>
    <row r="14" spans="1:3" x14ac:dyDescent="0.2">
      <c r="C14" s="12" t="s">
        <v>182</v>
      </c>
    </row>
    <row r="15" spans="1:3" x14ac:dyDescent="0.2">
      <c r="C15" s="12" t="s">
        <v>181</v>
      </c>
    </row>
    <row r="16" spans="1:3" x14ac:dyDescent="0.2">
      <c r="C16" s="12" t="s">
        <v>180</v>
      </c>
    </row>
    <row r="17" spans="3:3" x14ac:dyDescent="0.2">
      <c r="C17" s="12" t="s">
        <v>179</v>
      </c>
    </row>
    <row r="19" spans="3:3" x14ac:dyDescent="0.2">
      <c r="C19" s="13" t="s">
        <v>178</v>
      </c>
    </row>
    <row r="20" spans="3:3" x14ac:dyDescent="0.2">
      <c r="C20" s="12" t="s">
        <v>177</v>
      </c>
    </row>
    <row r="21" spans="3:3" x14ac:dyDescent="0.2">
      <c r="C21" s="12" t="s">
        <v>176</v>
      </c>
    </row>
  </sheetData>
  <hyperlinks>
    <hyperlink ref="A1" location="Main!A1" display="Main" xr:uid="{018ACD3C-B36E-4B21-86E9-837BC80B5FDB}"/>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00FF4-2FBC-49A7-B526-7ABB67AE6974}">
  <dimension ref="A1:C17"/>
  <sheetViews>
    <sheetView zoomScale="145" zoomScaleNormal="145" workbookViewId="0"/>
  </sheetViews>
  <sheetFormatPr defaultColWidth="9.140625" defaultRowHeight="12.75" x14ac:dyDescent="0.2"/>
  <cols>
    <col min="1" max="1" width="5" style="12" bestFit="1" customWidth="1"/>
    <col min="2" max="2" width="12.85546875" style="12" bestFit="1" customWidth="1"/>
    <col min="3" max="16384" width="9.140625" style="12"/>
  </cols>
  <sheetData>
    <row r="1" spans="1:3" x14ac:dyDescent="0.2">
      <c r="A1" s="16" t="s">
        <v>79</v>
      </c>
    </row>
    <row r="2" spans="1:3" x14ac:dyDescent="0.2">
      <c r="B2" s="12" t="s">
        <v>78</v>
      </c>
      <c r="C2" s="12" t="s">
        <v>269</v>
      </c>
    </row>
    <row r="3" spans="1:3" x14ac:dyDescent="0.2">
      <c r="B3" s="12" t="s">
        <v>76</v>
      </c>
      <c r="C3" s="12" t="s">
        <v>197</v>
      </c>
    </row>
    <row r="4" spans="1:3" x14ac:dyDescent="0.2">
      <c r="B4" s="12" t="s">
        <v>44</v>
      </c>
      <c r="C4" s="12" t="s">
        <v>196</v>
      </c>
    </row>
    <row r="5" spans="1:3" x14ac:dyDescent="0.2">
      <c r="B5" s="12" t="s">
        <v>48</v>
      </c>
      <c r="C5" s="12" t="s">
        <v>195</v>
      </c>
    </row>
    <row r="6" spans="1:3" x14ac:dyDescent="0.2">
      <c r="B6" s="12" t="s">
        <v>46</v>
      </c>
      <c r="C6" s="12" t="s">
        <v>194</v>
      </c>
    </row>
    <row r="7" spans="1:3" x14ac:dyDescent="0.2">
      <c r="B7" s="12" t="s">
        <v>45</v>
      </c>
      <c r="C7" s="12" t="s">
        <v>20</v>
      </c>
    </row>
    <row r="8" spans="1:3" x14ac:dyDescent="0.2">
      <c r="B8" s="12" t="s">
        <v>134</v>
      </c>
    </row>
    <row r="9" spans="1:3" x14ac:dyDescent="0.2">
      <c r="B9" s="12" t="s">
        <v>66</v>
      </c>
    </row>
    <row r="10" spans="1:3" x14ac:dyDescent="0.2">
      <c r="C10" s="13" t="s">
        <v>193</v>
      </c>
    </row>
    <row r="13" spans="1:3" x14ac:dyDescent="0.2">
      <c r="C13" s="13" t="s">
        <v>192</v>
      </c>
    </row>
    <row r="16" spans="1:3" x14ac:dyDescent="0.2">
      <c r="C16" s="13" t="s">
        <v>191</v>
      </c>
    </row>
    <row r="17" spans="3:3" x14ac:dyDescent="0.2">
      <c r="C17" s="12" t="s">
        <v>190</v>
      </c>
    </row>
  </sheetData>
  <hyperlinks>
    <hyperlink ref="A1" location="Main!A1" display="Main" xr:uid="{3A765EE9-AE7C-4B13-9916-378DECED3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Model</vt:lpstr>
      <vt:lpstr>Dupixent</vt:lpstr>
      <vt:lpstr>Eylea</vt:lpstr>
      <vt:lpstr>Arcalyst</vt:lpstr>
      <vt:lpstr>Zaltrap</vt:lpstr>
      <vt:lpstr>VEGF Trap</vt:lpstr>
      <vt:lpstr>Praluent</vt:lpstr>
      <vt:lpstr>Kevzara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Shkreli</dc:creator>
  <cp:lastModifiedBy>Martin Shkreli</cp:lastModifiedBy>
  <dcterms:created xsi:type="dcterms:W3CDTF">2022-08-09T05:58:03Z</dcterms:created>
  <dcterms:modified xsi:type="dcterms:W3CDTF">2024-10-07T22:43:14Z</dcterms:modified>
</cp:coreProperties>
</file>