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FD997F7-C0DF-4B32-BA9D-8629F39C9355}" xr6:coauthVersionLast="47" xr6:coauthVersionMax="47" xr10:uidLastSave="{00000000-0000-0000-0000-000000000000}"/>
  <bookViews>
    <workbookView xWindow="16370" yWindow="4410" windowWidth="20250" windowHeight="14200" firstSheet="1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L12" i="1" l="1"/>
  <c r="DI12" i="1"/>
  <c r="DH12" i="1"/>
  <c r="DQ31" i="1"/>
  <c r="DK31" i="1"/>
  <c r="DL31" i="1" s="1"/>
  <c r="DM31" i="1" s="1"/>
  <c r="DN31" i="1" s="1"/>
  <c r="DO31" i="1" s="1"/>
  <c r="DP31" i="1" s="1"/>
  <c r="DJ31" i="1"/>
  <c r="DP32" i="1"/>
  <c r="DQ32" i="1" s="1"/>
  <c r="CL29" i="1" l="1"/>
  <c r="CM29" i="1" s="1"/>
  <c r="CN29" i="1" s="1"/>
  <c r="CO29" i="1" s="1"/>
  <c r="CP29" i="1" s="1"/>
  <c r="CO60" i="1" l="1"/>
  <c r="CN60" i="1"/>
  <c r="CM60" i="1"/>
  <c r="CO59" i="1"/>
  <c r="CO61" i="1" s="1"/>
  <c r="CN59" i="1"/>
  <c r="CN61" i="1" s="1"/>
  <c r="CM59" i="1"/>
  <c r="CO24" i="1"/>
  <c r="CN24" i="1"/>
  <c r="CM24" i="1"/>
  <c r="CO23" i="1"/>
  <c r="CN23" i="1"/>
  <c r="CM23" i="1"/>
  <c r="CO30" i="1"/>
  <c r="CN30" i="1"/>
  <c r="CM30" i="1"/>
  <c r="CO26" i="1"/>
  <c r="CN26" i="1"/>
  <c r="CM26" i="1"/>
  <c r="CO21" i="1"/>
  <c r="CN21" i="1"/>
  <c r="CM21" i="1"/>
  <c r="CO20" i="1"/>
  <c r="CN20" i="1"/>
  <c r="CM20" i="1"/>
  <c r="CO18" i="1"/>
  <c r="CN18" i="1"/>
  <c r="CM18" i="1"/>
  <c r="CO17" i="1"/>
  <c r="CN17" i="1"/>
  <c r="CM17" i="1"/>
  <c r="CO16" i="1"/>
  <c r="CN16" i="1"/>
  <c r="CM16" i="1"/>
  <c r="CO11" i="1"/>
  <c r="CN11" i="1"/>
  <c r="CM11" i="1"/>
  <c r="CO15" i="1"/>
  <c r="CN15" i="1"/>
  <c r="CM15" i="1"/>
  <c r="CL15" i="1"/>
  <c r="CP15" i="1" s="1"/>
  <c r="CO14" i="1"/>
  <c r="CN14" i="1"/>
  <c r="CM14" i="1"/>
  <c r="CL14" i="1"/>
  <c r="CP14" i="1" s="1"/>
  <c r="CO13" i="1"/>
  <c r="CO79" i="1" s="1"/>
  <c r="CN13" i="1"/>
  <c r="CN79" i="1" s="1"/>
  <c r="CM13" i="1"/>
  <c r="CM79" i="1" s="1"/>
  <c r="CL13" i="1"/>
  <c r="CP13" i="1" s="1"/>
  <c r="CP79" i="1" s="1"/>
  <c r="BX79" i="1"/>
  <c r="CD79" i="1"/>
  <c r="CC79" i="1"/>
  <c r="CB79" i="1"/>
  <c r="CA79" i="1"/>
  <c r="BZ79" i="1"/>
  <c r="BY79" i="1"/>
  <c r="CL79" i="1"/>
  <c r="CJ79" i="1"/>
  <c r="CI79" i="1"/>
  <c r="CH79" i="1"/>
  <c r="CG79" i="1"/>
  <c r="CF79" i="1"/>
  <c r="CE79" i="1"/>
  <c r="CK79" i="1"/>
  <c r="CO12" i="1"/>
  <c r="CO78" i="1" s="1"/>
  <c r="CN12" i="1"/>
  <c r="CN78" i="1" s="1"/>
  <c r="CM12" i="1"/>
  <c r="CL12" i="1"/>
  <c r="CP12" i="1" s="1"/>
  <c r="CO8" i="1"/>
  <c r="CO74" i="1" s="1"/>
  <c r="CN8" i="1"/>
  <c r="CM8" i="1"/>
  <c r="CL8" i="1"/>
  <c r="CP8" i="1" s="1"/>
  <c r="CP74" i="1" s="1"/>
  <c r="CK105" i="1"/>
  <c r="CO10" i="1"/>
  <c r="CO77" i="1" s="1"/>
  <c r="CN10" i="1"/>
  <c r="CN77" i="1" s="1"/>
  <c r="CM10" i="1"/>
  <c r="CM77" i="1" s="1"/>
  <c r="CO9" i="1"/>
  <c r="CO76" i="1" s="1"/>
  <c r="CN9" i="1"/>
  <c r="CN76" i="1" s="1"/>
  <c r="CM9" i="1"/>
  <c r="CM76" i="1" s="1"/>
  <c r="CO7" i="1"/>
  <c r="CO73" i="1" s="1"/>
  <c r="CN7" i="1"/>
  <c r="CN73" i="1" s="1"/>
  <c r="CM7" i="1"/>
  <c r="CM73" i="1" s="1"/>
  <c r="CO5" i="1"/>
  <c r="CN5" i="1"/>
  <c r="CM5" i="1"/>
  <c r="CM78" i="1"/>
  <c r="CN74" i="1"/>
  <c r="CM74" i="1"/>
  <c r="CO72" i="1"/>
  <c r="CN72" i="1"/>
  <c r="CM72" i="1"/>
  <c r="CJ126" i="1"/>
  <c r="CJ124" i="1"/>
  <c r="CK124" i="1" s="1"/>
  <c r="CJ122" i="1"/>
  <c r="CK122" i="1" s="1"/>
  <c r="CJ121" i="1"/>
  <c r="CK121" i="1" s="1"/>
  <c r="CJ120" i="1"/>
  <c r="CK120" i="1" s="1"/>
  <c r="CJ116" i="1"/>
  <c r="CK116" i="1" s="1"/>
  <c r="CJ115" i="1"/>
  <c r="CK115" i="1" s="1"/>
  <c r="CJ110" i="1"/>
  <c r="CK110" i="1" s="1"/>
  <c r="CJ109" i="1"/>
  <c r="CK109" i="1" s="1"/>
  <c r="CJ108" i="1"/>
  <c r="CK108" i="1" s="1"/>
  <c r="CJ106" i="1"/>
  <c r="CK106" i="1" s="1"/>
  <c r="CJ105" i="1"/>
  <c r="CJ104" i="1"/>
  <c r="CK104" i="1" s="1"/>
  <c r="CJ103" i="1"/>
  <c r="CK103" i="1" s="1"/>
  <c r="CI119" i="1"/>
  <c r="CJ119" i="1" s="1"/>
  <c r="CI114" i="1"/>
  <c r="CI117" i="1" s="1"/>
  <c r="CI111" i="1"/>
  <c r="CJ111" i="1" s="1"/>
  <c r="CK111" i="1" s="1"/>
  <c r="CI107" i="1"/>
  <c r="CJ107" i="1" s="1"/>
  <c r="CK107" i="1" s="1"/>
  <c r="CO55" i="1"/>
  <c r="CM55" i="1"/>
  <c r="CK56" i="1"/>
  <c r="DG15" i="1" l="1"/>
  <c r="CM61" i="1"/>
  <c r="DG12" i="1"/>
  <c r="DG14" i="1"/>
  <c r="CM3" i="1"/>
  <c r="DG8" i="1"/>
  <c r="DG13" i="1"/>
  <c r="DG29" i="1"/>
  <c r="CK112" i="1"/>
  <c r="CJ125" i="1"/>
  <c r="CK119" i="1"/>
  <c r="CK125" i="1" s="1"/>
  <c r="CJ112" i="1"/>
  <c r="CJ114" i="1"/>
  <c r="CI125" i="1"/>
  <c r="CK126" i="1"/>
  <c r="CP78" i="1"/>
  <c r="CN3" i="1"/>
  <c r="CO3" i="1"/>
  <c r="CI112" i="1"/>
  <c r="CK63" i="1"/>
  <c r="CK95" i="1"/>
  <c r="CK100" i="1" s="1"/>
  <c r="CK91" i="1"/>
  <c r="CK86" i="1"/>
  <c r="CK85" i="1" s="1"/>
  <c r="H5" i="1"/>
  <c r="H54" i="1" s="1"/>
  <c r="H56" i="1" s="1"/>
  <c r="F54" i="1"/>
  <c r="F56" i="1" s="1"/>
  <c r="E54" i="1"/>
  <c r="E56" i="1" s="1"/>
  <c r="D54" i="1"/>
  <c r="D56" i="1" s="1"/>
  <c r="C54" i="1"/>
  <c r="C56" i="1" s="1"/>
  <c r="J54" i="1"/>
  <c r="J56" i="1" s="1"/>
  <c r="G54" i="1"/>
  <c r="G56" i="1" s="1"/>
  <c r="I54" i="1"/>
  <c r="I56" i="1" s="1"/>
  <c r="M38" i="1"/>
  <c r="M37" i="1"/>
  <c r="M36" i="1"/>
  <c r="M35" i="1"/>
  <c r="M45" i="1"/>
  <c r="M39" i="1"/>
  <c r="M42" i="1"/>
  <c r="M51" i="1"/>
  <c r="M47" i="1"/>
  <c r="M46" i="1"/>
  <c r="M48" i="1"/>
  <c r="M44" i="1"/>
  <c r="M5" i="1"/>
  <c r="N54" i="1"/>
  <c r="N56" i="1" s="1"/>
  <c r="K54" i="1"/>
  <c r="K56" i="1" s="1"/>
  <c r="L54" i="1"/>
  <c r="L56" i="1" s="1"/>
  <c r="Q51" i="1"/>
  <c r="Q48" i="1"/>
  <c r="Q47" i="1"/>
  <c r="Q46" i="1"/>
  <c r="Q45" i="1"/>
  <c r="Q42" i="1"/>
  <c r="Q39" i="1"/>
  <c r="Q38" i="1"/>
  <c r="Q37" i="1"/>
  <c r="Q36" i="1"/>
  <c r="Q35" i="1"/>
  <c r="P5" i="1"/>
  <c r="R54" i="1"/>
  <c r="R56" i="1" s="1"/>
  <c r="P54" i="1"/>
  <c r="P56" i="1" s="1"/>
  <c r="O54" i="1"/>
  <c r="O56" i="1" s="1"/>
  <c r="V54" i="1"/>
  <c r="V56" i="1" s="1"/>
  <c r="U54" i="1"/>
  <c r="U56" i="1" s="1"/>
  <c r="T54" i="1"/>
  <c r="T56" i="1" s="1"/>
  <c r="S54" i="1"/>
  <c r="S56" i="1" s="1"/>
  <c r="W38" i="1"/>
  <c r="W54" i="1" s="1"/>
  <c r="W56" i="1" s="1"/>
  <c r="Z54" i="1"/>
  <c r="Z56" i="1" s="1"/>
  <c r="Y54" i="1"/>
  <c r="Y56" i="1" s="1"/>
  <c r="X54" i="1"/>
  <c r="X56" i="1" s="1"/>
  <c r="AA51" i="1"/>
  <c r="AA49" i="1"/>
  <c r="AA48" i="1"/>
  <c r="AA47" i="1"/>
  <c r="AA39" i="1"/>
  <c r="AA38" i="1"/>
  <c r="AA5" i="1"/>
  <c r="AD54" i="1"/>
  <c r="AD56" i="1" s="1"/>
  <c r="AC54" i="1"/>
  <c r="AC56" i="1" s="1"/>
  <c r="AB54" i="1"/>
  <c r="AB56" i="1" s="1"/>
  <c r="AH54" i="1"/>
  <c r="AH56" i="1" s="1"/>
  <c r="AF54" i="1"/>
  <c r="AF56" i="1" s="1"/>
  <c r="AE54" i="1"/>
  <c r="AE56" i="1" s="1"/>
  <c r="AG54" i="1"/>
  <c r="AG56" i="1" s="1"/>
  <c r="AK51" i="1"/>
  <c r="AK49" i="1"/>
  <c r="AK47" i="1"/>
  <c r="AK39" i="1"/>
  <c r="AK38" i="1"/>
  <c r="AK5" i="1"/>
  <c r="AL54" i="1"/>
  <c r="AL56" i="1" s="1"/>
  <c r="AJ54" i="1"/>
  <c r="AJ56" i="1" s="1"/>
  <c r="AI54" i="1"/>
  <c r="AI56" i="1" s="1"/>
  <c r="AN54" i="1"/>
  <c r="AN56" i="1" s="1"/>
  <c r="AM54" i="1"/>
  <c r="AM56" i="1" s="1"/>
  <c r="AP54" i="1"/>
  <c r="AP56" i="1" s="1"/>
  <c r="BF54" i="1"/>
  <c r="BF56" i="1" s="1"/>
  <c r="BE54" i="1"/>
  <c r="BE56" i="1" s="1"/>
  <c r="BD54" i="1"/>
  <c r="BD56" i="1" s="1"/>
  <c r="BC54" i="1"/>
  <c r="BC56" i="1" s="1"/>
  <c r="BG70" i="1" s="1"/>
  <c r="BB63" i="1"/>
  <c r="BB61" i="1"/>
  <c r="BB54" i="1"/>
  <c r="BB56" i="1" s="1"/>
  <c r="BB58" i="1" s="1"/>
  <c r="BA63" i="1"/>
  <c r="BA61" i="1"/>
  <c r="BA54" i="1"/>
  <c r="BA56" i="1" s="1"/>
  <c r="BA58" i="1" s="1"/>
  <c r="AZ63" i="1"/>
  <c r="AZ61" i="1"/>
  <c r="AZ54" i="1"/>
  <c r="AZ56" i="1" s="1"/>
  <c r="AZ58" i="1" s="1"/>
  <c r="AY63" i="1"/>
  <c r="AY61" i="1"/>
  <c r="AY54" i="1"/>
  <c r="AY56" i="1" s="1"/>
  <c r="AY58" i="1" s="1"/>
  <c r="AX63" i="1"/>
  <c r="AX61" i="1"/>
  <c r="AX54" i="1"/>
  <c r="AX56" i="1" s="1"/>
  <c r="AX58" i="1" s="1"/>
  <c r="AW63" i="1"/>
  <c r="AW61" i="1"/>
  <c r="AW54" i="1"/>
  <c r="AW56" i="1" s="1"/>
  <c r="AW58" i="1" s="1"/>
  <c r="AU63" i="1"/>
  <c r="AU61" i="1"/>
  <c r="AU54" i="1"/>
  <c r="AU56" i="1" s="1"/>
  <c r="AU58" i="1" s="1"/>
  <c r="AT63" i="1"/>
  <c r="AT61" i="1"/>
  <c r="AT54" i="1"/>
  <c r="AT56" i="1" s="1"/>
  <c r="AT58" i="1" s="1"/>
  <c r="AR63" i="1"/>
  <c r="AR61" i="1"/>
  <c r="AQ52" i="1"/>
  <c r="AR54" i="1"/>
  <c r="AR56" i="1" s="1"/>
  <c r="AR58" i="1" s="1"/>
  <c r="BN73" i="1"/>
  <c r="BM73" i="1"/>
  <c r="BL73" i="1"/>
  <c r="BK73" i="1"/>
  <c r="BN72" i="1"/>
  <c r="BM72" i="1"/>
  <c r="BL72" i="1"/>
  <c r="BK72" i="1"/>
  <c r="DH29" i="1" l="1"/>
  <c r="DI29" i="1" s="1"/>
  <c r="DJ29" i="1" s="1"/>
  <c r="DK29" i="1" s="1"/>
  <c r="DL29" i="1" s="1"/>
  <c r="DM29" i="1" s="1"/>
  <c r="DN29" i="1" s="1"/>
  <c r="DO29" i="1" s="1"/>
  <c r="DP29" i="1" s="1"/>
  <c r="DQ29" i="1" s="1"/>
  <c r="CI127" i="1"/>
  <c r="CJ117" i="1"/>
  <c r="CJ127" i="1" s="1"/>
  <c r="CK114" i="1"/>
  <c r="CK117" i="1" s="1"/>
  <c r="CK127" i="1"/>
  <c r="CK93" i="1"/>
  <c r="AW62" i="1"/>
  <c r="AW64" i="1" s="1"/>
  <c r="AW66" i="1" s="1"/>
  <c r="AW67" i="1" s="1"/>
  <c r="M54" i="1"/>
  <c r="M56" i="1" s="1"/>
  <c r="AZ62" i="1"/>
  <c r="AZ64" i="1" s="1"/>
  <c r="AZ66" i="1" s="1"/>
  <c r="AZ67" i="1" s="1"/>
  <c r="AA54" i="1"/>
  <c r="AA56" i="1" s="1"/>
  <c r="AY62" i="1"/>
  <c r="AY64" i="1" s="1"/>
  <c r="AY66" i="1" s="1"/>
  <c r="AY67" i="1" s="1"/>
  <c r="Q54" i="1"/>
  <c r="Q56" i="1" s="1"/>
  <c r="BA62" i="1"/>
  <c r="BA64" i="1" s="1"/>
  <c r="BA66" i="1" s="1"/>
  <c r="BA67" i="1" s="1"/>
  <c r="AX62" i="1"/>
  <c r="AX64" i="1" s="1"/>
  <c r="AX66" i="1" s="1"/>
  <c r="AX67" i="1" s="1"/>
  <c r="AR62" i="1"/>
  <c r="AR64" i="1" s="1"/>
  <c r="AR66" i="1" s="1"/>
  <c r="AR67" i="1" s="1"/>
  <c r="AT62" i="1"/>
  <c r="AT64" i="1" s="1"/>
  <c r="AT66" i="1" s="1"/>
  <c r="AT67" i="1" s="1"/>
  <c r="AU62" i="1"/>
  <c r="AU64" i="1" s="1"/>
  <c r="AU66" i="1" s="1"/>
  <c r="AU67" i="1" s="1"/>
  <c r="AK54" i="1"/>
  <c r="AK56" i="1" s="1"/>
  <c r="BB62" i="1"/>
  <c r="BB64" i="1" s="1"/>
  <c r="BB66" i="1" s="1"/>
  <c r="BB67" i="1" s="1"/>
  <c r="BC61" i="1"/>
  <c r="BC58" i="1"/>
  <c r="BG55" i="1"/>
  <c r="BD63" i="1"/>
  <c r="BH70" i="1"/>
  <c r="BH55" i="1"/>
  <c r="BD3" i="1"/>
  <c r="BE3" i="1"/>
  <c r="BF3" i="1"/>
  <c r="BD61" i="1"/>
  <c r="BD58" i="1"/>
  <c r="BI70" i="1"/>
  <c r="BE63" i="1"/>
  <c r="BE61" i="1"/>
  <c r="BE58" i="1"/>
  <c r="BI63" i="1"/>
  <c r="BI55" i="1"/>
  <c r="BF63" i="1"/>
  <c r="BF61" i="1"/>
  <c r="BF58" i="1"/>
  <c r="BJ63" i="1"/>
  <c r="BJ3" i="1"/>
  <c r="BI3" i="1"/>
  <c r="BH3" i="1"/>
  <c r="BG3" i="1"/>
  <c r="BJ55" i="1"/>
  <c r="BJ56" i="1" s="1"/>
  <c r="BJ58" i="1" s="1"/>
  <c r="CJ95" i="1"/>
  <c r="CJ100" i="1" s="1"/>
  <c r="CJ91" i="1"/>
  <c r="CJ86" i="1"/>
  <c r="CJ85" i="1" s="1"/>
  <c r="CJ63" i="1"/>
  <c r="CL63" i="1" s="1"/>
  <c r="CM63" i="1" s="1"/>
  <c r="CN63" i="1" s="1"/>
  <c r="CO63" i="1" s="1"/>
  <c r="CP63" i="1" s="1"/>
  <c r="CJ55" i="1"/>
  <c r="CN55" i="1" s="1"/>
  <c r="DE30" i="1"/>
  <c r="DE29" i="1"/>
  <c r="DE5" i="1"/>
  <c r="DE7" i="1"/>
  <c r="DE8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57" i="1"/>
  <c r="DE59" i="1"/>
  <c r="DE60" i="1"/>
  <c r="DE68" i="1"/>
  <c r="CL60" i="1"/>
  <c r="CL59" i="1"/>
  <c r="CI63" i="1"/>
  <c r="CJ61" i="1"/>
  <c r="CJ68" i="1"/>
  <c r="CJ78" i="1"/>
  <c r="CJ77" i="1"/>
  <c r="CJ76" i="1"/>
  <c r="CJ74" i="1"/>
  <c r="CJ73" i="1"/>
  <c r="CJ72" i="1"/>
  <c r="CL5" i="1"/>
  <c r="DF5" i="1" s="1"/>
  <c r="CK72" i="1"/>
  <c r="CL30" i="1"/>
  <c r="CP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CL27" i="1"/>
  <c r="CL26" i="1"/>
  <c r="CP26" i="1" s="1"/>
  <c r="DG26" i="1" s="1"/>
  <c r="DF26" i="1"/>
  <c r="CL25" i="1"/>
  <c r="CL24" i="1"/>
  <c r="CP24" i="1" s="1"/>
  <c r="DG24" i="1" s="1"/>
  <c r="CL23" i="1"/>
  <c r="CP23" i="1" s="1"/>
  <c r="DG23" i="1" s="1"/>
  <c r="CL22" i="1"/>
  <c r="CL21" i="1"/>
  <c r="CP21" i="1" s="1"/>
  <c r="DG21" i="1" s="1"/>
  <c r="CL20" i="1"/>
  <c r="CP20" i="1" s="1"/>
  <c r="DG20" i="1" s="1"/>
  <c r="CL17" i="1"/>
  <c r="CL18" i="1"/>
  <c r="CP18" i="1" s="1"/>
  <c r="DG18" i="1" s="1"/>
  <c r="CL16" i="1"/>
  <c r="CP16" i="1" s="1"/>
  <c r="DG16" i="1" s="1"/>
  <c r="DF14" i="1"/>
  <c r="CK78" i="1"/>
  <c r="CL11" i="1"/>
  <c r="CP11" i="1" s="1"/>
  <c r="DG11" i="1" s="1"/>
  <c r="CK76" i="1"/>
  <c r="CL74" i="1"/>
  <c r="CL7" i="1"/>
  <c r="CK73" i="1"/>
  <c r="CH95" i="1"/>
  <c r="CH100" i="1" s="1"/>
  <c r="CH91" i="1"/>
  <c r="CH86" i="1"/>
  <c r="CH55" i="1"/>
  <c r="CL55" i="1" s="1"/>
  <c r="CP55" i="1" s="1"/>
  <c r="CH10" i="1"/>
  <c r="CL10" i="1" s="1"/>
  <c r="CH9" i="1"/>
  <c r="DE9" i="1" s="1"/>
  <c r="CH65" i="1"/>
  <c r="CH63" i="1"/>
  <c r="CG63" i="1"/>
  <c r="CC18" i="1"/>
  <c r="CG95" i="1"/>
  <c r="CG100" i="1" s="1"/>
  <c r="CG91" i="1"/>
  <c r="CG86" i="1"/>
  <c r="CF126" i="1"/>
  <c r="CG126" i="1" s="1"/>
  <c r="CH126" i="1" s="1"/>
  <c r="CF124" i="1"/>
  <c r="CG124" i="1" s="1"/>
  <c r="CH124" i="1" s="1"/>
  <c r="CF123" i="1"/>
  <c r="CG123" i="1" s="1"/>
  <c r="CH123" i="1" s="1"/>
  <c r="CF122" i="1"/>
  <c r="CG122" i="1" s="1"/>
  <c r="CH122" i="1" s="1"/>
  <c r="CF121" i="1"/>
  <c r="CG121" i="1" s="1"/>
  <c r="CH121" i="1" s="1"/>
  <c r="CF120" i="1"/>
  <c r="CG120" i="1" s="1"/>
  <c r="CH120" i="1" s="1"/>
  <c r="CF119" i="1"/>
  <c r="CG119" i="1" s="1"/>
  <c r="CH119" i="1" s="1"/>
  <c r="CF116" i="1"/>
  <c r="CF110" i="1"/>
  <c r="CG110" i="1" s="1"/>
  <c r="CH110" i="1" s="1"/>
  <c r="CF108" i="1"/>
  <c r="CG108" i="1" s="1"/>
  <c r="CH108" i="1" s="1"/>
  <c r="CF107" i="1"/>
  <c r="CG107" i="1" s="1"/>
  <c r="CH107" i="1" s="1"/>
  <c r="CF106" i="1"/>
  <c r="CG106" i="1" s="1"/>
  <c r="CH106" i="1" s="1"/>
  <c r="CF105" i="1"/>
  <c r="CG105" i="1" s="1"/>
  <c r="CH105" i="1" s="1"/>
  <c r="CF104" i="1"/>
  <c r="CG104" i="1" s="1"/>
  <c r="CH104" i="1" s="1"/>
  <c r="CF103" i="1"/>
  <c r="CG103" i="1" s="1"/>
  <c r="CF95" i="1"/>
  <c r="CF100" i="1" s="1"/>
  <c r="CF86" i="1"/>
  <c r="CF91" i="1"/>
  <c r="CF65" i="1"/>
  <c r="CF63" i="1"/>
  <c r="CE125" i="1"/>
  <c r="CE114" i="1"/>
  <c r="CE117" i="1" s="1"/>
  <c r="CE109" i="1"/>
  <c r="CF109" i="1" s="1"/>
  <c r="CG109" i="1" s="1"/>
  <c r="CH109" i="1" s="1"/>
  <c r="CE111" i="1"/>
  <c r="CF111" i="1" s="1"/>
  <c r="CG111" i="1" s="1"/>
  <c r="CH111" i="1" s="1"/>
  <c r="CE95" i="1"/>
  <c r="CE100" i="1" s="1"/>
  <c r="CE91" i="1"/>
  <c r="CE86" i="1"/>
  <c r="CI61" i="1"/>
  <c r="CI78" i="1"/>
  <c r="CI77" i="1"/>
  <c r="CI76" i="1"/>
  <c r="CI74" i="1"/>
  <c r="CI73" i="1"/>
  <c r="CI72" i="1"/>
  <c r="CI56" i="1"/>
  <c r="CI3" i="1"/>
  <c r="CM75" i="1" s="1"/>
  <c r="CI95" i="1"/>
  <c r="CI100" i="1" s="1"/>
  <c r="CI86" i="1"/>
  <c r="CI85" i="1" s="1"/>
  <c r="CI91" i="1"/>
  <c r="CE3" i="1"/>
  <c r="CE65" i="1"/>
  <c r="CD85" i="1"/>
  <c r="CZ68" i="1"/>
  <c r="CZ65" i="1"/>
  <c r="CZ60" i="1"/>
  <c r="CZ59" i="1"/>
  <c r="CZ61" i="1" s="1"/>
  <c r="CZ57" i="1"/>
  <c r="CZ54" i="1"/>
  <c r="CZ53" i="1"/>
  <c r="CZ52" i="1"/>
  <c r="CZ51" i="1"/>
  <c r="CZ50" i="1"/>
  <c r="CZ49" i="1"/>
  <c r="CZ47" i="1"/>
  <c r="CZ43" i="1"/>
  <c r="CZ41" i="1"/>
  <c r="CZ40" i="1"/>
  <c r="CZ39" i="1"/>
  <c r="CZ38" i="1"/>
  <c r="CZ34" i="1"/>
  <c r="CZ33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BO73" i="1"/>
  <c r="BO72" i="1"/>
  <c r="BG63" i="1"/>
  <c r="BG61" i="1"/>
  <c r="BG58" i="1"/>
  <c r="BK55" i="1"/>
  <c r="BK3" i="1"/>
  <c r="BK70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3" i="1"/>
  <c r="BQ73" i="1"/>
  <c r="BR73" i="1"/>
  <c r="BP72" i="1"/>
  <c r="BQ72" i="1"/>
  <c r="BR72" i="1"/>
  <c r="BH61" i="1"/>
  <c r="BH58" i="1"/>
  <c r="BL56" i="1"/>
  <c r="BL70" i="1" s="1"/>
  <c r="BI61" i="1"/>
  <c r="BI58" i="1"/>
  <c r="BM56" i="1"/>
  <c r="BM70" i="1" s="1"/>
  <c r="BK63" i="1"/>
  <c r="BN63" i="1"/>
  <c r="BJ61" i="1"/>
  <c r="BN55" i="1"/>
  <c r="DA68" i="1"/>
  <c r="DB68" i="1"/>
  <c r="DB65" i="1"/>
  <c r="DA65" i="1"/>
  <c r="DB60" i="1"/>
  <c r="DA60" i="1"/>
  <c r="DB59" i="1"/>
  <c r="DA59" i="1"/>
  <c r="DB57" i="1"/>
  <c r="DA57" i="1"/>
  <c r="DA54" i="1"/>
  <c r="DA53" i="1"/>
  <c r="DA52" i="1"/>
  <c r="DA51" i="1"/>
  <c r="DA50" i="1"/>
  <c r="DA49" i="1"/>
  <c r="DA47" i="1"/>
  <c r="DA43" i="1"/>
  <c r="DA41" i="1"/>
  <c r="DA40" i="1"/>
  <c r="DA39" i="1"/>
  <c r="DA38" i="1"/>
  <c r="DA34" i="1"/>
  <c r="DA33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BO63" i="1"/>
  <c r="BS73" i="1"/>
  <c r="BS72" i="1"/>
  <c r="BK61" i="1"/>
  <c r="BK58" i="1"/>
  <c r="BK82" i="1" s="1"/>
  <c r="BO55" i="1"/>
  <c r="BL63" i="1"/>
  <c r="BT74" i="1"/>
  <c r="BT73" i="1"/>
  <c r="BT72" i="1"/>
  <c r="BL61" i="1"/>
  <c r="BP56" i="1"/>
  <c r="CD72" i="1"/>
  <c r="CA119" i="1"/>
  <c r="CA125" i="1" s="1"/>
  <c r="CA114" i="1"/>
  <c r="CA117" i="1" s="1"/>
  <c r="CA111" i="1"/>
  <c r="CA112" i="1" s="1"/>
  <c r="CC78" i="1"/>
  <c r="CC77" i="1"/>
  <c r="CC76" i="1"/>
  <c r="CC74" i="1"/>
  <c r="CC73" i="1"/>
  <c r="CC72" i="1"/>
  <c r="CC95" i="1"/>
  <c r="CC100" i="1" s="1"/>
  <c r="CC91" i="1"/>
  <c r="CC86" i="1"/>
  <c r="DF59" i="1" l="1"/>
  <c r="CP59" i="1"/>
  <c r="DF17" i="1"/>
  <c r="CP17" i="1"/>
  <c r="DG17" i="1" s="1"/>
  <c r="DF60" i="1"/>
  <c r="CP60" i="1"/>
  <c r="CP61" i="1" s="1"/>
  <c r="DF27" i="1"/>
  <c r="CM27" i="1"/>
  <c r="DF22" i="1"/>
  <c r="CM22" i="1"/>
  <c r="DB61" i="1"/>
  <c r="DF25" i="1"/>
  <c r="CM25" i="1"/>
  <c r="CL72" i="1"/>
  <c r="CP5" i="1"/>
  <c r="DG5" i="1" s="1"/>
  <c r="CL77" i="1"/>
  <c r="CP10" i="1"/>
  <c r="CL73" i="1"/>
  <c r="CP7" i="1"/>
  <c r="CI58" i="1"/>
  <c r="CI82" i="1" s="1"/>
  <c r="CH93" i="1"/>
  <c r="CH85" i="1"/>
  <c r="CL78" i="1"/>
  <c r="DF12" i="1"/>
  <c r="DF78" i="1" s="1"/>
  <c r="DF63" i="1"/>
  <c r="CG85" i="1"/>
  <c r="DF16" i="1"/>
  <c r="DF24" i="1"/>
  <c r="DF23" i="1"/>
  <c r="DE61" i="1"/>
  <c r="DE55" i="1"/>
  <c r="DF18" i="1"/>
  <c r="DE63" i="1"/>
  <c r="DF20" i="1"/>
  <c r="CF93" i="1"/>
  <c r="DF30" i="1"/>
  <c r="CF85" i="1"/>
  <c r="DF15" i="1"/>
  <c r="BS75" i="1"/>
  <c r="CF114" i="1"/>
  <c r="CG114" i="1" s="1"/>
  <c r="CH114" i="1" s="1"/>
  <c r="DF21" i="1"/>
  <c r="CK61" i="1"/>
  <c r="DF13" i="1"/>
  <c r="CI75" i="1"/>
  <c r="DF11" i="1"/>
  <c r="BO75" i="1"/>
  <c r="DF8" i="1"/>
  <c r="CG93" i="1"/>
  <c r="CE112" i="1"/>
  <c r="CE127" i="1" s="1"/>
  <c r="DE65" i="1"/>
  <c r="CL9" i="1"/>
  <c r="DF10" i="1"/>
  <c r="DE10" i="1"/>
  <c r="CG116" i="1"/>
  <c r="CH116" i="1" s="1"/>
  <c r="BP70" i="1"/>
  <c r="CL61" i="1"/>
  <c r="BJ70" i="1"/>
  <c r="CH103" i="1"/>
  <c r="CH112" i="1" s="1"/>
  <c r="CG112" i="1"/>
  <c r="CL68" i="1"/>
  <c r="CK74" i="1"/>
  <c r="DF55" i="1"/>
  <c r="CF125" i="1"/>
  <c r="CK77" i="1"/>
  <c r="DF7" i="1"/>
  <c r="CL3" i="1"/>
  <c r="CJ93" i="1"/>
  <c r="CE93" i="1"/>
  <c r="CJ56" i="1"/>
  <c r="CJ58" i="1" s="1"/>
  <c r="CF112" i="1"/>
  <c r="CK3" i="1"/>
  <c r="CO75" i="1" s="1"/>
  <c r="BC62" i="1"/>
  <c r="BC64" i="1" s="1"/>
  <c r="BC66" i="1" s="1"/>
  <c r="BC67" i="1" s="1"/>
  <c r="BH62" i="1"/>
  <c r="BH64" i="1" s="1"/>
  <c r="BH66" i="1" s="1"/>
  <c r="BH67" i="1" s="1"/>
  <c r="BD62" i="1"/>
  <c r="BD64" i="1" s="1"/>
  <c r="BD66" i="1" s="1"/>
  <c r="BD67" i="1" s="1"/>
  <c r="BE62" i="1"/>
  <c r="BE64" i="1" s="1"/>
  <c r="BE66" i="1" s="1"/>
  <c r="BE67" i="1" s="1"/>
  <c r="BF62" i="1"/>
  <c r="BF64" i="1" s="1"/>
  <c r="BF66" i="1" s="1"/>
  <c r="BF67" i="1" s="1"/>
  <c r="CL19" i="1"/>
  <c r="DF29" i="1"/>
  <c r="CK58" i="1"/>
  <c r="CJ3" i="1"/>
  <c r="CN75" i="1" s="1"/>
  <c r="CH125" i="1"/>
  <c r="CG125" i="1"/>
  <c r="CE85" i="1"/>
  <c r="CC93" i="1"/>
  <c r="CI93" i="1"/>
  <c r="BJ62" i="1"/>
  <c r="BJ64" i="1" s="1"/>
  <c r="CD75" i="1"/>
  <c r="CA75" i="1"/>
  <c r="CZ55" i="1"/>
  <c r="CZ56" i="1" s="1"/>
  <c r="CZ58" i="1" s="1"/>
  <c r="CZ82" i="1" s="1"/>
  <c r="DA3" i="1"/>
  <c r="BV75" i="1"/>
  <c r="BU75" i="1"/>
  <c r="DA61" i="1"/>
  <c r="CB75" i="1"/>
  <c r="BY75" i="1"/>
  <c r="CC75" i="1"/>
  <c r="BX75" i="1"/>
  <c r="BT75" i="1"/>
  <c r="CE75" i="1"/>
  <c r="DA73" i="1"/>
  <c r="BZ75" i="1"/>
  <c r="BW75" i="1"/>
  <c r="BN56" i="1"/>
  <c r="BN70" i="1" s="1"/>
  <c r="BI62" i="1"/>
  <c r="BI64" i="1" s="1"/>
  <c r="BI66" i="1" s="1"/>
  <c r="BI67" i="1" s="1"/>
  <c r="DA72" i="1"/>
  <c r="BQ75" i="1"/>
  <c r="BR75" i="1"/>
  <c r="CZ3" i="1"/>
  <c r="BG62" i="1"/>
  <c r="BG64" i="1" s="1"/>
  <c r="BG66" i="1" s="1"/>
  <c r="BG67" i="1" s="1"/>
  <c r="BP75" i="1"/>
  <c r="BI82" i="1"/>
  <c r="BJ82" i="1"/>
  <c r="CA127" i="1"/>
  <c r="CC85" i="1"/>
  <c r="BO56" i="1"/>
  <c r="BO70" i="1" s="1"/>
  <c r="BL58" i="1"/>
  <c r="BL82" i="1" s="1"/>
  <c r="BK62" i="1"/>
  <c r="BK64" i="1" s="1"/>
  <c r="CE61" i="1"/>
  <c r="CF61" i="1"/>
  <c r="CG61" i="1"/>
  <c r="CH78" i="1"/>
  <c r="CG78" i="1"/>
  <c r="CF78" i="1"/>
  <c r="CH77" i="1"/>
  <c r="CG77" i="1"/>
  <c r="CF77" i="1"/>
  <c r="CH76" i="1"/>
  <c r="CG76" i="1"/>
  <c r="CF76" i="1"/>
  <c r="CH74" i="1"/>
  <c r="CG74" i="1"/>
  <c r="CF74" i="1"/>
  <c r="CH73" i="1"/>
  <c r="CG73" i="1"/>
  <c r="CF73" i="1"/>
  <c r="CE73" i="1"/>
  <c r="CC63" i="1"/>
  <c r="CE78" i="1"/>
  <c r="CE77" i="1"/>
  <c r="CE76" i="1"/>
  <c r="CE74" i="1"/>
  <c r="CC56" i="1"/>
  <c r="CC58" i="1" s="1"/>
  <c r="CC82" i="1" s="1"/>
  <c r="CB63" i="1"/>
  <c r="BU78" i="1"/>
  <c r="BV78" i="1"/>
  <c r="BW78" i="1"/>
  <c r="BX78" i="1"/>
  <c r="BY78" i="1"/>
  <c r="BZ78" i="1"/>
  <c r="CA78" i="1"/>
  <c r="CB78" i="1"/>
  <c r="DB9" i="1"/>
  <c r="DB54" i="1"/>
  <c r="DB53" i="1"/>
  <c r="DB52" i="1"/>
  <c r="DB51" i="1"/>
  <c r="DB50" i="1"/>
  <c r="DB49" i="1"/>
  <c r="DB47" i="1"/>
  <c r="DB43" i="1"/>
  <c r="DB41" i="1"/>
  <c r="DB40" i="1"/>
  <c r="DB39" i="1"/>
  <c r="DB38" i="1"/>
  <c r="DB34" i="1"/>
  <c r="DB33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8" i="1"/>
  <c r="DB74" i="1" s="1"/>
  <c r="DB7" i="1"/>
  <c r="DB73" i="1" s="1"/>
  <c r="DB5" i="1"/>
  <c r="DB72" i="1" s="1"/>
  <c r="BM63" i="1"/>
  <c r="CZ63" i="1" s="1"/>
  <c r="BQ63" i="1"/>
  <c r="BU74" i="1"/>
  <c r="BU73" i="1"/>
  <c r="BU72" i="1"/>
  <c r="BM61" i="1"/>
  <c r="BM58" i="1"/>
  <c r="BM82" i="1" s="1"/>
  <c r="BQ55" i="1"/>
  <c r="BQ56" i="1" s="1"/>
  <c r="BQ61" i="1"/>
  <c r="BR63" i="1"/>
  <c r="BN61" i="1"/>
  <c r="BV74" i="1"/>
  <c r="BV73" i="1"/>
  <c r="BV72" i="1"/>
  <c r="BR61" i="1"/>
  <c r="BR55" i="1"/>
  <c r="BR56" i="1" s="1"/>
  <c r="BR58" i="1" s="1"/>
  <c r="BR82" i="1" s="1"/>
  <c r="BO61" i="1"/>
  <c r="BS63" i="1"/>
  <c r="BW74" i="1"/>
  <c r="BW73" i="1"/>
  <c r="BW72" i="1"/>
  <c r="BS61" i="1"/>
  <c r="BS55" i="1"/>
  <c r="BP63" i="1"/>
  <c r="BP61" i="1"/>
  <c r="BP58" i="1"/>
  <c r="BP82" i="1" s="1"/>
  <c r="BT63" i="1"/>
  <c r="BX77" i="1"/>
  <c r="BX76" i="1"/>
  <c r="BX74" i="1"/>
  <c r="BX73" i="1"/>
  <c r="BX72" i="1"/>
  <c r="BT61" i="1"/>
  <c r="BT55" i="1"/>
  <c r="BT56" i="1" s="1"/>
  <c r="BT58" i="1" s="1"/>
  <c r="BT82" i="1" s="1"/>
  <c r="CB95" i="1"/>
  <c r="CB100" i="1" s="1"/>
  <c r="CB91" i="1"/>
  <c r="CB86" i="1"/>
  <c r="DC68" i="1"/>
  <c r="DC63" i="1"/>
  <c r="DC60" i="1"/>
  <c r="DC59" i="1"/>
  <c r="DC5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5" i="1"/>
  <c r="DD26" i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D22" i="1"/>
  <c r="DD20" i="1"/>
  <c r="DD19" i="1"/>
  <c r="DD18" i="1"/>
  <c r="DD17" i="1"/>
  <c r="DD13" i="1"/>
  <c r="CD78" i="1"/>
  <c r="CD60" i="1"/>
  <c r="DD60" i="1" s="1"/>
  <c r="CD59" i="1"/>
  <c r="CH61" i="1" s="1"/>
  <c r="CD68" i="1"/>
  <c r="CA77" i="1"/>
  <c r="BZ77" i="1"/>
  <c r="BY77" i="1"/>
  <c r="CA76" i="1"/>
  <c r="BZ76" i="1"/>
  <c r="BY76" i="1"/>
  <c r="CB77" i="1"/>
  <c r="CB76" i="1"/>
  <c r="CD77" i="1"/>
  <c r="CD76" i="1"/>
  <c r="CD74" i="1"/>
  <c r="CD73" i="1"/>
  <c r="CB74" i="1"/>
  <c r="CB73" i="1"/>
  <c r="CB72" i="1"/>
  <c r="CB61" i="1"/>
  <c r="CB55" i="1"/>
  <c r="CB56" i="1" s="1"/>
  <c r="CB58" i="1" s="1"/>
  <c r="CB82" i="1" s="1"/>
  <c r="BY74" i="1"/>
  <c r="BY73" i="1"/>
  <c r="BY72" i="1"/>
  <c r="BU61" i="1"/>
  <c r="BU55" i="1"/>
  <c r="BU56" i="1" s="1"/>
  <c r="BZ74" i="1"/>
  <c r="BZ73" i="1"/>
  <c r="CA73" i="1"/>
  <c r="CA74" i="1"/>
  <c r="BZ72" i="1"/>
  <c r="BV61" i="1"/>
  <c r="BV55" i="1"/>
  <c r="BV56" i="1" s="1"/>
  <c r="BV58" i="1" s="1"/>
  <c r="BW55" i="1"/>
  <c r="CA72" i="1"/>
  <c r="BX65" i="1"/>
  <c r="BX61" i="1"/>
  <c r="BX55" i="1"/>
  <c r="BX56" i="1" s="1"/>
  <c r="CI62" i="1" l="1"/>
  <c r="CI64" i="1" s="1"/>
  <c r="CI66" i="1" s="1"/>
  <c r="CI102" i="1" s="1"/>
  <c r="DF19" i="1"/>
  <c r="CM19" i="1"/>
  <c r="CN25" i="1"/>
  <c r="CO25" i="1" s="1"/>
  <c r="CP25" i="1" s="1"/>
  <c r="DG25" i="1"/>
  <c r="CN27" i="1"/>
  <c r="CO27" i="1" s="1"/>
  <c r="CP27" i="1" s="1"/>
  <c r="DG27" i="1"/>
  <c r="DH27" i="1"/>
  <c r="DI27" i="1" s="1"/>
  <c r="DJ27" i="1" s="1"/>
  <c r="DK27" i="1" s="1"/>
  <c r="DL27" i="1" s="1"/>
  <c r="DM27" i="1" s="1"/>
  <c r="DN27" i="1" s="1"/>
  <c r="DO27" i="1" s="1"/>
  <c r="DP27" i="1" s="1"/>
  <c r="DQ27" i="1" s="1"/>
  <c r="CP73" i="1"/>
  <c r="DG7" i="1"/>
  <c r="CN22" i="1"/>
  <c r="CO22" i="1" s="1"/>
  <c r="CP22" i="1" s="1"/>
  <c r="DG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H17" i="1"/>
  <c r="DI17" i="1" s="1"/>
  <c r="DJ17" i="1" s="1"/>
  <c r="DK17" i="1" s="1"/>
  <c r="DL17" i="1" s="1"/>
  <c r="DM17" i="1" s="1"/>
  <c r="DN17" i="1" s="1"/>
  <c r="DO17" i="1" s="1"/>
  <c r="DP17" i="1" s="1"/>
  <c r="DQ17" i="1" s="1"/>
  <c r="CP77" i="1"/>
  <c r="DG10" i="1"/>
  <c r="CL76" i="1"/>
  <c r="CP9" i="1"/>
  <c r="CP72" i="1"/>
  <c r="CP3" i="1"/>
  <c r="CP75" i="1" s="1"/>
  <c r="CH117" i="1"/>
  <c r="CH127" i="1" s="1"/>
  <c r="DF68" i="1"/>
  <c r="CM68" i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DC77" i="1"/>
  <c r="DC78" i="1"/>
  <c r="DF77" i="1"/>
  <c r="DC76" i="1"/>
  <c r="DH20" i="1"/>
  <c r="DI20" i="1" s="1"/>
  <c r="DJ20" i="1" s="1"/>
  <c r="DK20" i="1" s="1"/>
  <c r="DL20" i="1" s="1"/>
  <c r="DM20" i="1" s="1"/>
  <c r="DN20" i="1" s="1"/>
  <c r="DO20" i="1" s="1"/>
  <c r="DP20" i="1" s="1"/>
  <c r="DQ20" i="1" s="1"/>
  <c r="DH13" i="1"/>
  <c r="DI13" i="1" s="1"/>
  <c r="DJ13" i="1" s="1"/>
  <c r="DK13" i="1" s="1"/>
  <c r="DL13" i="1" s="1"/>
  <c r="DM13" i="1" s="1"/>
  <c r="DN13" i="1" s="1"/>
  <c r="DO13" i="1" s="1"/>
  <c r="DP13" i="1" s="1"/>
  <c r="DQ13" i="1" s="1"/>
  <c r="CI83" i="1"/>
  <c r="CG117" i="1"/>
  <c r="CG127" i="1" s="1"/>
  <c r="CF117" i="1"/>
  <c r="CF127" i="1" s="1"/>
  <c r="CL56" i="1"/>
  <c r="DF9" i="1"/>
  <c r="DF76" i="1" s="1"/>
  <c r="BJ83" i="1"/>
  <c r="BJ66" i="1"/>
  <c r="BJ67" i="1" s="1"/>
  <c r="CI67" i="1"/>
  <c r="DC73" i="1"/>
  <c r="DC74" i="1"/>
  <c r="BI83" i="1"/>
  <c r="DA75" i="1"/>
  <c r="DC72" i="1"/>
  <c r="DA63" i="1"/>
  <c r="CF3" i="1"/>
  <c r="CF75" i="1" s="1"/>
  <c r="CG3" i="1"/>
  <c r="CG75" i="1" s="1"/>
  <c r="CD63" i="1"/>
  <c r="CH72" i="1"/>
  <c r="CH3" i="1"/>
  <c r="CH75" i="1" s="1"/>
  <c r="CF72" i="1"/>
  <c r="BO58" i="1"/>
  <c r="BO82" i="1" s="1"/>
  <c r="CZ62" i="1"/>
  <c r="CZ64" i="1" s="1"/>
  <c r="CG72" i="1"/>
  <c r="BN58" i="1"/>
  <c r="BN82" i="1" s="1"/>
  <c r="BL62" i="1"/>
  <c r="BL64" i="1" s="1"/>
  <c r="BL83" i="1" s="1"/>
  <c r="BS56" i="1"/>
  <c r="BS58" i="1" s="1"/>
  <c r="BS82" i="1" s="1"/>
  <c r="DB55" i="1"/>
  <c r="DB56" i="1" s="1"/>
  <c r="CF56" i="1"/>
  <c r="CJ70" i="1" s="1"/>
  <c r="DC3" i="1"/>
  <c r="DB3" i="1"/>
  <c r="DB75" i="1" s="1"/>
  <c r="DA55" i="1"/>
  <c r="DA56" i="1" s="1"/>
  <c r="DB63" i="1"/>
  <c r="BK66" i="1"/>
  <c r="BK67" i="1" s="1"/>
  <c r="BK83" i="1"/>
  <c r="CG56" i="1"/>
  <c r="CH56" i="1"/>
  <c r="CH58" i="1" s="1"/>
  <c r="CE72" i="1"/>
  <c r="BP62" i="1"/>
  <c r="BP64" i="1" s="1"/>
  <c r="BV70" i="1"/>
  <c r="BT70" i="1"/>
  <c r="BR70" i="1"/>
  <c r="BQ58" i="1"/>
  <c r="BQ82" i="1" s="1"/>
  <c r="BQ70" i="1"/>
  <c r="BU70" i="1"/>
  <c r="DD59" i="1"/>
  <c r="DD61" i="1" s="1"/>
  <c r="DD21" i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BM62" i="1"/>
  <c r="BM64" i="1" s="1"/>
  <c r="BR62" i="1"/>
  <c r="BR64" i="1" s="1"/>
  <c r="BX58" i="1"/>
  <c r="BX82" i="1" s="1"/>
  <c r="BX70" i="1"/>
  <c r="CB85" i="1"/>
  <c r="DD11" i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BT62" i="1"/>
  <c r="BT64" i="1" s="1"/>
  <c r="DD12" i="1"/>
  <c r="DD14" i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C61" i="1"/>
  <c r="CD61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68" i="1"/>
  <c r="DD7" i="1"/>
  <c r="CC61" i="1"/>
  <c r="BV62" i="1"/>
  <c r="BV64" i="1" s="1"/>
  <c r="BV82" i="1"/>
  <c r="DD8" i="1"/>
  <c r="DD10" i="1"/>
  <c r="DD77" i="1" s="1"/>
  <c r="DD9" i="1"/>
  <c r="DD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D25" i="1"/>
  <c r="CB93" i="1"/>
  <c r="DD5" i="1"/>
  <c r="DD72" i="1" s="1"/>
  <c r="CB70" i="1"/>
  <c r="CB62" i="1"/>
  <c r="CB64" i="1" s="1"/>
  <c r="BU58" i="1"/>
  <c r="BY65" i="1"/>
  <c r="BY61" i="1"/>
  <c r="BY55" i="1"/>
  <c r="BZ65" i="1"/>
  <c r="BZ61" i="1"/>
  <c r="BW61" i="1"/>
  <c r="BZ55" i="1"/>
  <c r="BZ56" i="1" s="1"/>
  <c r="CA95" i="1"/>
  <c r="CA100" i="1" s="1"/>
  <c r="CA91" i="1"/>
  <c r="CA86" i="1"/>
  <c r="BW56" i="1"/>
  <c r="CA63" i="1"/>
  <c r="CA61" i="1"/>
  <c r="CA55" i="1"/>
  <c r="AV59" i="1"/>
  <c r="AV57" i="1"/>
  <c r="AV60" i="1"/>
  <c r="AV63" i="1"/>
  <c r="AV54" i="1"/>
  <c r="AV55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H25" i="1" l="1"/>
  <c r="DI25" i="1" s="1"/>
  <c r="DJ25" i="1" s="1"/>
  <c r="DK25" i="1" s="1"/>
  <c r="DL25" i="1" s="1"/>
  <c r="DM25" i="1" s="1"/>
  <c r="DN25" i="1" s="1"/>
  <c r="DO25" i="1" s="1"/>
  <c r="DP25" i="1" s="1"/>
  <c r="DQ25" i="1" s="1"/>
  <c r="BN62" i="1"/>
  <c r="BN64" i="1" s="1"/>
  <c r="CP76" i="1"/>
  <c r="DG9" i="1"/>
  <c r="CN19" i="1"/>
  <c r="CM56" i="1"/>
  <c r="DG68" i="1"/>
  <c r="DH68" i="1" s="1"/>
  <c r="CL58" i="1"/>
  <c r="CL62" i="1" s="1"/>
  <c r="CL64" i="1" s="1"/>
  <c r="CN68" i="1"/>
  <c r="DE77" i="1"/>
  <c r="DD78" i="1"/>
  <c r="DE78" i="1"/>
  <c r="DD76" i="1"/>
  <c r="DE76" i="1"/>
  <c r="DD63" i="1"/>
  <c r="DG63" i="1" s="1"/>
  <c r="DH63" i="1" s="1"/>
  <c r="DI63" i="1" s="1"/>
  <c r="DJ63" i="1" s="1"/>
  <c r="DK63" i="1" s="1"/>
  <c r="DL63" i="1" s="1"/>
  <c r="BX62" i="1"/>
  <c r="BX64" i="1" s="1"/>
  <c r="BX66" i="1" s="1"/>
  <c r="BX67" i="1" s="1"/>
  <c r="BO62" i="1"/>
  <c r="BO64" i="1" s="1"/>
  <c r="BO66" i="1" s="1"/>
  <c r="BO67" i="1" s="1"/>
  <c r="CG70" i="1"/>
  <c r="CG58" i="1"/>
  <c r="CG62" i="1" s="1"/>
  <c r="CG64" i="1" s="1"/>
  <c r="CL70" i="1"/>
  <c r="CK70" i="1"/>
  <c r="CL75" i="1"/>
  <c r="CJ75" i="1"/>
  <c r="CK75" i="1"/>
  <c r="CK82" i="1"/>
  <c r="CK62" i="1"/>
  <c r="CK64" i="1" s="1"/>
  <c r="CJ82" i="1"/>
  <c r="CJ62" i="1"/>
  <c r="CJ64" i="1" s="1"/>
  <c r="CF70" i="1"/>
  <c r="CF58" i="1"/>
  <c r="CF62" i="1" s="1"/>
  <c r="CF64" i="1" s="1"/>
  <c r="CF83" i="1" s="1"/>
  <c r="DA58" i="1"/>
  <c r="DA62" i="1" s="1"/>
  <c r="DA64" i="1" s="1"/>
  <c r="DA70" i="1"/>
  <c r="BL66" i="1"/>
  <c r="BL67" i="1" s="1"/>
  <c r="BS70" i="1"/>
  <c r="CZ66" i="1"/>
  <c r="CZ67" i="1" s="1"/>
  <c r="CZ83" i="1"/>
  <c r="DC75" i="1"/>
  <c r="DD74" i="1"/>
  <c r="DD73" i="1"/>
  <c r="BP66" i="1"/>
  <c r="BP67" i="1" s="1"/>
  <c r="BP83" i="1"/>
  <c r="BN66" i="1"/>
  <c r="BN67" i="1" s="1"/>
  <c r="BN83" i="1"/>
  <c r="BQ62" i="1"/>
  <c r="BQ64" i="1" s="1"/>
  <c r="DB58" i="1"/>
  <c r="DB70" i="1"/>
  <c r="CA56" i="1"/>
  <c r="CA70" i="1" s="1"/>
  <c r="CE56" i="1"/>
  <c r="CI70" i="1" s="1"/>
  <c r="BM66" i="1"/>
  <c r="BM67" i="1" s="1"/>
  <c r="BM83" i="1"/>
  <c r="CH62" i="1"/>
  <c r="CH64" i="1" s="1"/>
  <c r="DE72" i="1"/>
  <c r="DD3" i="1"/>
  <c r="DD75" i="1" s="1"/>
  <c r="BS62" i="1"/>
  <c r="BS64" i="1" s="1"/>
  <c r="BS66" i="1" s="1"/>
  <c r="BS67" i="1" s="1"/>
  <c r="DI68" i="1"/>
  <c r="DG77" i="1"/>
  <c r="BW58" i="1"/>
  <c r="BW82" i="1" s="1"/>
  <c r="BW70" i="1"/>
  <c r="BR66" i="1"/>
  <c r="BR67" i="1" s="1"/>
  <c r="BR83" i="1"/>
  <c r="BT66" i="1"/>
  <c r="BT67" i="1" s="1"/>
  <c r="BT83" i="1"/>
  <c r="BY56" i="1"/>
  <c r="CB66" i="1"/>
  <c r="CB67" i="1" s="1"/>
  <c r="CB83" i="1"/>
  <c r="DC65" i="1"/>
  <c r="DC55" i="1"/>
  <c r="DC56" i="1" s="1"/>
  <c r="BV66" i="1"/>
  <c r="BV67" i="1" s="1"/>
  <c r="BV83" i="1"/>
  <c r="DD55" i="1"/>
  <c r="CD56" i="1"/>
  <c r="BU62" i="1"/>
  <c r="BU64" i="1" s="1"/>
  <c r="BU82" i="1"/>
  <c r="CA93" i="1"/>
  <c r="BZ58" i="1"/>
  <c r="BZ82" i="1" s="1"/>
  <c r="BZ70" i="1"/>
  <c r="CA85" i="1"/>
  <c r="AV61" i="1"/>
  <c r="AV56" i="1"/>
  <c r="AV58" i="1" s="1"/>
  <c r="BX83" i="1" l="1"/>
  <c r="CO19" i="1"/>
  <c r="CN56" i="1"/>
  <c r="CM58" i="1"/>
  <c r="CM57" i="1"/>
  <c r="CM70" i="1"/>
  <c r="CL82" i="1"/>
  <c r="CL57" i="1"/>
  <c r="DF57" i="1" s="1"/>
  <c r="DG78" i="1"/>
  <c r="CO68" i="1"/>
  <c r="DH9" i="1"/>
  <c r="DG76" i="1"/>
  <c r="DH78" i="1"/>
  <c r="BO83" i="1"/>
  <c r="BS83" i="1"/>
  <c r="CJ83" i="1"/>
  <c r="CL65" i="1"/>
  <c r="CK83" i="1"/>
  <c r="DA82" i="1"/>
  <c r="BW62" i="1"/>
  <c r="BW64" i="1" s="1"/>
  <c r="BW83" i="1" s="1"/>
  <c r="CE70" i="1"/>
  <c r="CE58" i="1"/>
  <c r="CF66" i="1"/>
  <c r="DE73" i="1"/>
  <c r="DE74" i="1"/>
  <c r="CA58" i="1"/>
  <c r="CA82" i="1" s="1"/>
  <c r="DC58" i="1"/>
  <c r="DC62" i="1" s="1"/>
  <c r="DC64" i="1" s="1"/>
  <c r="DC70" i="1"/>
  <c r="DA66" i="1"/>
  <c r="DA67" i="1" s="1"/>
  <c r="DA83" i="1"/>
  <c r="BY58" i="1"/>
  <c r="BY82" i="1" s="1"/>
  <c r="CC70" i="1"/>
  <c r="DB82" i="1"/>
  <c r="DB62" i="1"/>
  <c r="DB64" i="1" s="1"/>
  <c r="BQ66" i="1"/>
  <c r="BQ67" i="1" s="1"/>
  <c r="BQ83" i="1"/>
  <c r="CF82" i="1"/>
  <c r="CG82" i="1"/>
  <c r="CG83" i="1"/>
  <c r="CH83" i="1"/>
  <c r="CH82" i="1"/>
  <c r="CD58" i="1"/>
  <c r="CD57" i="1" s="1"/>
  <c r="DD57" i="1" s="1"/>
  <c r="CH70" i="1"/>
  <c r="DF72" i="1"/>
  <c r="DE3" i="1"/>
  <c r="DE75" i="1" s="1"/>
  <c r="DD56" i="1"/>
  <c r="DD70" i="1" s="1"/>
  <c r="DJ68" i="1"/>
  <c r="DH10" i="1"/>
  <c r="DH77" i="1" s="1"/>
  <c r="BY70" i="1"/>
  <c r="BZ62" i="1"/>
  <c r="BZ64" i="1" s="1"/>
  <c r="CD70" i="1"/>
  <c r="BU66" i="1"/>
  <c r="BU67" i="1" s="1"/>
  <c r="BU83" i="1"/>
  <c r="CC62" i="1"/>
  <c r="CC64" i="1" s="1"/>
  <c r="CC83" i="1" s="1"/>
  <c r="AV62" i="1"/>
  <c r="AV64" i="1" s="1"/>
  <c r="AV66" i="1" s="1"/>
  <c r="AV67" i="1" s="1"/>
  <c r="AS63" i="1"/>
  <c r="AS61" i="1"/>
  <c r="AO54" i="1"/>
  <c r="AO56" i="1" s="1"/>
  <c r="AS54" i="1"/>
  <c r="AS56" i="1" s="1"/>
  <c r="AS58" i="1" s="1"/>
  <c r="BW66" i="1" l="1"/>
  <c r="BW67" i="1" s="1"/>
  <c r="CM62" i="1"/>
  <c r="CM64" i="1" s="1"/>
  <c r="CM82" i="1"/>
  <c r="CN58" i="1"/>
  <c r="CN70" i="1"/>
  <c r="CN57" i="1"/>
  <c r="CP19" i="1"/>
  <c r="CP56" i="1" s="1"/>
  <c r="CO56" i="1"/>
  <c r="DG19" i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CP68" i="1"/>
  <c r="DI9" i="1"/>
  <c r="DH76" i="1"/>
  <c r="CL83" i="1"/>
  <c r="DF65" i="1"/>
  <c r="DJ12" i="1"/>
  <c r="DI78" i="1"/>
  <c r="CA62" i="1"/>
  <c r="CA64" i="1" s="1"/>
  <c r="CA66" i="1" s="1"/>
  <c r="CK66" i="1"/>
  <c r="CJ66" i="1"/>
  <c r="CL66" i="1"/>
  <c r="CL67" i="1" s="1"/>
  <c r="CF67" i="1"/>
  <c r="CF102" i="1"/>
  <c r="DC66" i="1"/>
  <c r="DC67" i="1" s="1"/>
  <c r="DC83" i="1"/>
  <c r="DF73" i="1"/>
  <c r="BY62" i="1"/>
  <c r="BY64" i="1" s="1"/>
  <c r="DF74" i="1"/>
  <c r="DC82" i="1"/>
  <c r="CE62" i="1"/>
  <c r="CE64" i="1" s="1"/>
  <c r="CE83" i="1" s="1"/>
  <c r="CE82" i="1"/>
  <c r="DB66" i="1"/>
  <c r="DB67" i="1" s="1"/>
  <c r="DB83" i="1"/>
  <c r="CG66" i="1"/>
  <c r="CH66" i="1"/>
  <c r="CD62" i="1"/>
  <c r="CD64" i="1" s="1"/>
  <c r="CD65" i="1" s="1"/>
  <c r="CD83" i="1" s="1"/>
  <c r="CD82" i="1"/>
  <c r="DG72" i="1"/>
  <c r="DF3" i="1"/>
  <c r="DF75" i="1" s="1"/>
  <c r="DD58" i="1"/>
  <c r="DD62" i="1" s="1"/>
  <c r="DD64" i="1" s="1"/>
  <c r="DE56" i="1"/>
  <c r="DE58" i="1" s="1"/>
  <c r="DK68" i="1"/>
  <c r="DI10" i="1"/>
  <c r="DI77" i="1" s="1"/>
  <c r="BZ66" i="1"/>
  <c r="BZ67" i="1" s="1"/>
  <c r="BZ83" i="1"/>
  <c r="AS62" i="1"/>
  <c r="AS64" i="1" s="1"/>
  <c r="AS66" i="1" s="1"/>
  <c r="AS67" i="1" s="1"/>
  <c r="K4" i="2"/>
  <c r="K7" i="2" s="1"/>
  <c r="CP70" i="1" l="1"/>
  <c r="CP58" i="1"/>
  <c r="CP57" i="1"/>
  <c r="CO58" i="1"/>
  <c r="CO57" i="1"/>
  <c r="CO70" i="1"/>
  <c r="CN62" i="1"/>
  <c r="CN64" i="1" s="1"/>
  <c r="CN82" i="1"/>
  <c r="CM65" i="1"/>
  <c r="CM83" i="1" s="1"/>
  <c r="CM66" i="1"/>
  <c r="CM67" i="1" s="1"/>
  <c r="CJ67" i="1"/>
  <c r="CJ102" i="1"/>
  <c r="DJ9" i="1"/>
  <c r="DI76" i="1"/>
  <c r="DK12" i="1"/>
  <c r="DJ78" i="1"/>
  <c r="CK67" i="1"/>
  <c r="CK102" i="1"/>
  <c r="CA83" i="1"/>
  <c r="CH67" i="1"/>
  <c r="CH102" i="1"/>
  <c r="CL85" i="1"/>
  <c r="CG67" i="1"/>
  <c r="CG102" i="1"/>
  <c r="DH7" i="1"/>
  <c r="DG73" i="1"/>
  <c r="BY66" i="1"/>
  <c r="BY67" i="1" s="1"/>
  <c r="BY83" i="1"/>
  <c r="DH8" i="1"/>
  <c r="DG74" i="1"/>
  <c r="CE66" i="1"/>
  <c r="CA67" i="1"/>
  <c r="CA102" i="1"/>
  <c r="DH5" i="1"/>
  <c r="DH72" i="1" s="1"/>
  <c r="DG3" i="1"/>
  <c r="DG75" i="1" s="1"/>
  <c r="DD82" i="1"/>
  <c r="DG55" i="1"/>
  <c r="DF56" i="1"/>
  <c r="DF58" i="1" s="1"/>
  <c r="DE82" i="1"/>
  <c r="DE70" i="1"/>
  <c r="DL68" i="1"/>
  <c r="DJ10" i="1"/>
  <c r="DJ77" i="1" s="1"/>
  <c r="DD65" i="1"/>
  <c r="CD66" i="1"/>
  <c r="CD67" i="1" s="1"/>
  <c r="CC66" i="1"/>
  <c r="CC67" i="1" s="1"/>
  <c r="AQ63" i="1"/>
  <c r="AQ61" i="1"/>
  <c r="AQ58" i="1"/>
  <c r="AQ54" i="1"/>
  <c r="AQ55" i="1" s="1"/>
  <c r="CP62" i="1" l="1"/>
  <c r="CP64" i="1" s="1"/>
  <c r="CP82" i="1"/>
  <c r="CN65" i="1"/>
  <c r="CN83" i="1" s="1"/>
  <c r="CN66" i="1"/>
  <c r="CN67" i="1" s="1"/>
  <c r="CO62" i="1"/>
  <c r="CO64" i="1" s="1"/>
  <c r="CO82" i="1"/>
  <c r="DK9" i="1"/>
  <c r="DJ76" i="1"/>
  <c r="DK78" i="1"/>
  <c r="CE67" i="1"/>
  <c r="CE102" i="1"/>
  <c r="DI8" i="1"/>
  <c r="DH74" i="1"/>
  <c r="DI7" i="1"/>
  <c r="DH73" i="1"/>
  <c r="DD66" i="1"/>
  <c r="DD67" i="1" s="1"/>
  <c r="DD83" i="1"/>
  <c r="DI5" i="1"/>
  <c r="DI72" i="1" s="1"/>
  <c r="DH3" i="1"/>
  <c r="DH75" i="1" s="1"/>
  <c r="DH55" i="1"/>
  <c r="DG56" i="1"/>
  <c r="DE62" i="1"/>
  <c r="DE64" i="1" s="1"/>
  <c r="DF61" i="1"/>
  <c r="DF70" i="1"/>
  <c r="DF82" i="1"/>
  <c r="DK10" i="1"/>
  <c r="DK77" i="1" s="1"/>
  <c r="AQ62" i="1"/>
  <c r="AQ64" i="1" s="1"/>
  <c r="AQ66" i="1" s="1"/>
  <c r="AQ67" i="1" s="1"/>
  <c r="DL78" i="1" l="1"/>
  <c r="DM12" i="1"/>
  <c r="DN12" i="1" s="1"/>
  <c r="DO12" i="1" s="1"/>
  <c r="DP12" i="1" s="1"/>
  <c r="DQ12" i="1" s="1"/>
  <c r="CO65" i="1"/>
  <c r="CO83" i="1" s="1"/>
  <c r="CO66" i="1"/>
  <c r="CO67" i="1" s="1"/>
  <c r="CP65" i="1"/>
  <c r="CP83" i="1" s="1"/>
  <c r="DL9" i="1"/>
  <c r="DK76" i="1"/>
  <c r="DJ7" i="1"/>
  <c r="DI73" i="1"/>
  <c r="DJ8" i="1"/>
  <c r="DI74" i="1"/>
  <c r="DE66" i="1"/>
  <c r="DE67" i="1" s="1"/>
  <c r="DE83" i="1"/>
  <c r="DJ5" i="1"/>
  <c r="DJ72" i="1" s="1"/>
  <c r="DI3" i="1"/>
  <c r="DI75" i="1" s="1"/>
  <c r="DF62" i="1"/>
  <c r="DF64" i="1" s="1"/>
  <c r="DG70" i="1"/>
  <c r="DG59" i="1"/>
  <c r="DG61" i="1" s="1"/>
  <c r="DG58" i="1"/>
  <c r="DG82" i="1" s="1"/>
  <c r="DI55" i="1"/>
  <c r="DH56" i="1"/>
  <c r="DL10" i="1"/>
  <c r="DL76" i="1" l="1"/>
  <c r="DM9" i="1"/>
  <c r="DN9" i="1" s="1"/>
  <c r="DO9" i="1" s="1"/>
  <c r="DP9" i="1" s="1"/>
  <c r="DQ9" i="1" s="1"/>
  <c r="DL77" i="1"/>
  <c r="DM10" i="1"/>
  <c r="DN10" i="1" s="1"/>
  <c r="DO10" i="1" s="1"/>
  <c r="DP10" i="1" s="1"/>
  <c r="DQ10" i="1" s="1"/>
  <c r="CP66" i="1"/>
  <c r="CP67" i="1" s="1"/>
  <c r="DK8" i="1"/>
  <c r="DJ74" i="1"/>
  <c r="DK7" i="1"/>
  <c r="DJ73" i="1"/>
  <c r="DF66" i="1"/>
  <c r="DF67" i="1" s="1"/>
  <c r="DF83" i="1"/>
  <c r="DK5" i="1"/>
  <c r="DK72" i="1" s="1"/>
  <c r="DJ3" i="1"/>
  <c r="DJ75" i="1" s="1"/>
  <c r="DH70" i="1"/>
  <c r="DH58" i="1"/>
  <c r="DH82" i="1" s="1"/>
  <c r="DH59" i="1"/>
  <c r="DH61" i="1" s="1"/>
  <c r="DJ55" i="1"/>
  <c r="DI56" i="1"/>
  <c r="DG57" i="1"/>
  <c r="DG62" i="1"/>
  <c r="DG64" i="1" s="1"/>
  <c r="DG65" i="1" s="1"/>
  <c r="DL7" i="1" l="1"/>
  <c r="DK73" i="1"/>
  <c r="DL8" i="1"/>
  <c r="DK74" i="1"/>
  <c r="DG66" i="1"/>
  <c r="DG67" i="1" s="1"/>
  <c r="DG83" i="1"/>
  <c r="DL5" i="1"/>
  <c r="DM5" i="1" s="1"/>
  <c r="DK3" i="1"/>
  <c r="DK75" i="1" s="1"/>
  <c r="DI59" i="1"/>
  <c r="DI61" i="1" s="1"/>
  <c r="DI58" i="1"/>
  <c r="DI82" i="1" s="1"/>
  <c r="DI70" i="1"/>
  <c r="DK55" i="1"/>
  <c r="DJ56" i="1"/>
  <c r="DH57" i="1"/>
  <c r="DH62" i="1"/>
  <c r="DH64" i="1" s="1"/>
  <c r="DH65" i="1" s="1"/>
  <c r="DN5" i="1" l="1"/>
  <c r="DL74" i="1"/>
  <c r="DM8" i="1"/>
  <c r="DN8" i="1" s="1"/>
  <c r="DO8" i="1" s="1"/>
  <c r="DP8" i="1" s="1"/>
  <c r="DQ8" i="1" s="1"/>
  <c r="DL73" i="1"/>
  <c r="DM7" i="1"/>
  <c r="DN7" i="1" s="1"/>
  <c r="DO7" i="1" s="1"/>
  <c r="DP7" i="1" s="1"/>
  <c r="DQ7" i="1" s="1"/>
  <c r="DL3" i="1"/>
  <c r="DL75" i="1" s="1"/>
  <c r="DL72" i="1"/>
  <c r="DH66" i="1"/>
  <c r="DH67" i="1" s="1"/>
  <c r="DH83" i="1"/>
  <c r="DL55" i="1"/>
  <c r="DK56" i="1"/>
  <c r="DJ70" i="1"/>
  <c r="DJ59" i="1"/>
  <c r="DJ61" i="1" s="1"/>
  <c r="DJ58" i="1"/>
  <c r="DJ82" i="1" s="1"/>
  <c r="DI57" i="1"/>
  <c r="DI62" i="1"/>
  <c r="DI64" i="1" s="1"/>
  <c r="DI65" i="1" s="1"/>
  <c r="DL56" i="1" l="1"/>
  <c r="DL59" i="1" s="1"/>
  <c r="DL61" i="1" s="1"/>
  <c r="DM55" i="1"/>
  <c r="DN55" i="1" s="1"/>
  <c r="DO55" i="1" s="1"/>
  <c r="DP55" i="1" s="1"/>
  <c r="DQ55" i="1" s="1"/>
  <c r="DM56" i="1"/>
  <c r="DO5" i="1"/>
  <c r="DN56" i="1"/>
  <c r="DI66" i="1"/>
  <c r="DI67" i="1" s="1"/>
  <c r="DI83" i="1"/>
  <c r="DJ57" i="1"/>
  <c r="DJ62" i="1"/>
  <c r="DK59" i="1"/>
  <c r="DK61" i="1" s="1"/>
  <c r="DK58" i="1"/>
  <c r="DK82" i="1" s="1"/>
  <c r="DK70" i="1"/>
  <c r="DL58" i="1" l="1"/>
  <c r="DL82" i="1" s="1"/>
  <c r="DN70" i="1"/>
  <c r="DL70" i="1"/>
  <c r="DP5" i="1"/>
  <c r="DO56" i="1"/>
  <c r="DO70" i="1" s="1"/>
  <c r="DM70" i="1"/>
  <c r="DJ64" i="1"/>
  <c r="DJ65" i="1" s="1"/>
  <c r="DL57" i="1"/>
  <c r="DL62" i="1"/>
  <c r="DL64" i="1" s="1"/>
  <c r="DL65" i="1" s="1"/>
  <c r="DK57" i="1"/>
  <c r="DK62" i="1"/>
  <c r="DK64" i="1" s="1"/>
  <c r="DK65" i="1" s="1"/>
  <c r="DQ5" i="1" l="1"/>
  <c r="DQ56" i="1" s="1"/>
  <c r="DP56" i="1"/>
  <c r="DP70" i="1" s="1"/>
  <c r="DJ66" i="1"/>
  <c r="DJ67" i="1" s="1"/>
  <c r="DJ83" i="1"/>
  <c r="DK66" i="1"/>
  <c r="DK67" i="1" s="1"/>
  <c r="DK83" i="1"/>
  <c r="DL66" i="1"/>
  <c r="DL67" i="1" s="1"/>
  <c r="DL83" i="1"/>
  <c r="DM66" i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HO66" i="1" s="1"/>
  <c r="HP66" i="1" s="1"/>
  <c r="HQ66" i="1" s="1"/>
  <c r="HR66" i="1" s="1"/>
  <c r="HS66" i="1" s="1"/>
  <c r="HT66" i="1" s="1"/>
  <c r="HU66" i="1" s="1"/>
  <c r="HV66" i="1" s="1"/>
  <c r="HW66" i="1" s="1"/>
  <c r="HX66" i="1" s="1"/>
  <c r="HY66" i="1" s="1"/>
  <c r="HZ66" i="1" s="1"/>
  <c r="IA66" i="1" s="1"/>
  <c r="IB66" i="1" s="1"/>
  <c r="IC66" i="1" s="1"/>
  <c r="ID66" i="1" s="1"/>
  <c r="IE66" i="1" s="1"/>
  <c r="IF66" i="1" s="1"/>
  <c r="IG66" i="1" s="1"/>
  <c r="IH66" i="1" s="1"/>
  <c r="II66" i="1" s="1"/>
  <c r="DQ70" i="1" l="1"/>
  <c r="DT76" i="1"/>
  <c r="DT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tc={00BB85D3-10C6-41A5-89A6-7AC02D1AEDC7}</author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O32" authorId="1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6" authorId="2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C67" authorId="3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DD67" authorId="4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7" authorId="5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7" authorId="6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CI115" authorId="7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<sst xmlns="http://schemas.openxmlformats.org/spreadsheetml/2006/main" count="936" uniqueCount="653">
  <si>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</si>
  <si>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</si>
  <si>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</si>
  <si>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</si>
  <si>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</si>
  <si>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</si>
  <si>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</si>
  <si>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</si>
  <si>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</si>
  <si>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</si>
  <si>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</si>
  <si>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</si>
  <si>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</si>
  <si>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</si>
  <si>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</si>
  <si>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</si>
  <si>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</si>
  <si>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</si>
  <si>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</si>
  <si>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</si>
  <si>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</si>
  <si>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</si>
  <si>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</si>
  <si>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</si>
  <si>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</si>
  <si>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</si>
  <si>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</si>
  <si>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</si>
  <si>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</si>
  <si>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</si>
  <si>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</si>
  <si>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</si>
  <si>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</si>
  <si>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</si>
  <si>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</si>
  <si>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</si>
  <si>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</si>
  <si>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</si>
  <si>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</si>
  <si>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</si>
  <si>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</si>
  <si>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</si>
  <si>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</si>
  <si>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</si>
  <si>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</si>
  <si>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</si>
  <si>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</si>
  <si>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</si>
  <si>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</si>
  <si>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</si>
  <si>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</si>
  <si>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</si>
  <si>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</si>
  <si>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</si>
  <si>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</si>
  <si>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</si>
  <si>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</si>
  <si>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</si>
  <si>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</si>
  <si>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</si>
  <si>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</si>
  <si>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</si>
  <si>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</si>
  <si>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</si>
  <si>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</si>
  <si>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</si>
  <si>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</si>
  <si>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</si>
  <si>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</si>
  <si>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</si>
  <si>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</si>
  <si>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</si>
  <si>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</si>
  <si>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</si>
  <si>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</si>
  <si>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</si>
  <si>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</si>
  <si>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</si>
  <si>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</si>
  <si>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</si>
  <si>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</si>
  <si>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</si>
  <si>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</si>
  <si>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</si>
  <si>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</si>
  <si>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</si>
  <si>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</si>
  <si>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</si>
  <si>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</si>
  <si>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</si>
  <si>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</si>
  <si>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</si>
  <si>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</si>
  <si>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</si>
  <si>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</si>
  <si>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</si>
  <si>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</si>
  <si>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</si>
  <si>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</si>
  <si>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</si>
  <si>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</si>
  <si>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</si>
  <si>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</si>
  <si>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</si>
  <si>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</si>
  <si>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</si>
  <si>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</si>
  <si>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</si>
  <si>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</si>
  <si>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</si>
  <si>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</si>
  <si>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</si>
  <si>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</si>
  <si>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</si>
  <si>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</si>
  <si>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</si>
  <si>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</si>
  <si>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</si>
  <si>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</si>
  <si>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</si>
  <si>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</si>
  <si>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</si>
  <si>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</si>
  <si>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</si>
  <si>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</si>
  <si>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</si>
  <si>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</si>
  <si>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</si>
  <si>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</si>
  <si>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</si>
  <si>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</si>
  <si>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</si>
  <si>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</si>
  <si>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</si>
  <si>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</si>
  <si>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</si>
  <si>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</si>
  <si>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</si>
  <si>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</si>
  <si>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</si>
  <si>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</si>
  <si>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</si>
  <si>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</si>
  <si>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</si>
  <si>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</si>
  <si>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</si>
  <si>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</si>
  <si>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</si>
  <si>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</si>
  <si>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</si>
  <si>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</si>
  <si>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</si>
  <si>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</si>
  <si>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</si>
  <si>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</si>
  <si>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</si>
  <si>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</si>
  <si>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</si>
  <si>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</si>
  <si>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</si>
  <si>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</si>
  <si>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</si>
  <si>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</si>
  <si>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</si>
  <si>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</si>
  <si>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</si>
  <si>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</si>
  <si>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</si>
  <si>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</si>
  <si>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</si>
  <si>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</si>
  <si>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</si>
  <si>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</si>
  <si>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</si>
  <si>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</si>
  <si>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</si>
  <si>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</si>
  <si>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</si>
  <si>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</si>
  <si>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</si>
  <si>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</si>
  <si>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</si>
  <si>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</si>
  <si>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</si>
  <si>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</si>
  <si>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</si>
  <si>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</si>
  <si>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</si>
  <si>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</si>
  <si>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</si>
  <si>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</si>
  <si>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</si>
  <si>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</si>
  <si>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</si>
  <si>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</si>
  <si>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</si>
  <si>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</si>
  <si>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</si>
  <si>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</si>
  <si>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</si>
  <si>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</si>
  <si>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</si>
  <si>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</si>
  <si>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</si>
  <si>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</si>
  <si>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</si>
  <si>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</si>
  <si>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</si>
  <si>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</si>
  <si>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</si>
  <si>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</si>
  <si>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</si>
  <si>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</si>
  <si>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</si>
  <si>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</si>
  <si>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</si>
  <si>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</si>
  <si>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</si>
  <si>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</si>
  <si>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</si>
  <si>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</si>
  <si>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</si>
  <si>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</si>
  <si>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</si>
  <si>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</si>
  <si>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</si>
  <si>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</si>
  <si>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</si>
  <si>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</si>
  <si>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</si>
  <si>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</si>
  <si>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</si>
  <si>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</si>
  <si>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</si>
  <si>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</si>
  <si>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</si>
  <si>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</si>
  <si>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</si>
  <si>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</si>
  <si>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</si>
  <si>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</si>
  <si>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</si>
  <si>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</si>
  <si>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</si>
  <si>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</si>
  <si>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</si>
  <si>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</si>
  <si>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</si>
  <si>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</si>
  <si>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</si>
  <si>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</si>
  <si>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</si>
  <si>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</si>
  <si>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</si>
  <si>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</si>
  <si>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</si>
  <si>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</si>
  <si>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</si>
  <si>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</si>
  <si>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</si>
  <si>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</si>
  <si>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</si>
  <si>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</si>
  <si>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</si>
  <si>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</si>
  <si>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</si>
  <si>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</si>
  <si>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</si>
  <si>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</si>
  <si>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</si>
  <si>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</si>
  <si>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</si>
  <si>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</si>
  <si>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</si>
  <si>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</si>
  <si>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</si>
  <si>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</si>
  <si>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</si>
  <si>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</si>
  <si>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</si>
  <si>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</si>
  <si>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</si>
  <si>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</si>
  <si>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</si>
  <si>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</si>
  <si>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</si>
  <si>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</si>
  <si>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</si>
  <si>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</si>
  <si>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</si>
  <si>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</si>
  <si>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</si>
  <si>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</si>
  <si>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</si>
  <si>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</si>
  <si>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</si>
  <si>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</si>
  <si>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</si>
  <si>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</si>
  <si>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</si>
  <si>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</si>
  <si>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</si>
  <si>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</si>
  <si>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</si>
  <si>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</si>
  <si>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</si>
  <si>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</si>
  <si>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</si>
  <si>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</si>
  <si>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</si>
  <si>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</si>
  <si>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</si>
  <si>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</si>
  <si>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</si>
  <si>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</si>
  <si>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</si>
  <si>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</si>
  <si>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</si>
  <si>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</si>
  <si>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</si>
  <si>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</si>
  <si>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</si>
  <si>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</si>
  <si>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</si>
  <si>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</si>
  <si>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</si>
  <si>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</si>
  <si>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</si>
  <si>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</si>
  <si>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</si>
  <si>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</si>
  <si>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</si>
  <si>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</si>
  <si>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</si>
  <si>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</si>
  <si>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</si>
  <si>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</si>
  <si>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</si>
  <si>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</si>
  <si>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</si>
  <si>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</si>
  <si>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</si>
  <si>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</si>
  <si>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</si>
  <si>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</si>
  <si>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</si>
  <si>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</si>
  <si>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</si>
  <si>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</si>
  <si>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</si>
  <si>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</si>
  <si>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</si>
  <si>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</si>
  <si>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</si>
  <si>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</si>
  <si>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</si>
  <si>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</si>
  <si>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</si>
  <si>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</si>
  <si>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</si>
  <si>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</si>
  <si>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</si>
  <si>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</si>
  <si>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</si>
  <si>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</si>
  <si>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</si>
  <si>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</si>
  <si>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</si>
  <si>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</si>
  <si>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</si>
  <si>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</si>
  <si>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</si>
  <si>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</si>
  <si>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</si>
  <si>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</si>
  <si>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</si>
  <si>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</si>
  <si>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</si>
  <si>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</si>
  <si>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</si>
  <si>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</si>
  <si>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</si>
  <si>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</si>
  <si>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</si>
  <si>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</si>
  <si>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</si>
  <si>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</si>
  <si>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</si>
  <si>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</si>
  <si>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</si>
  <si>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</si>
  <si>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</si>
  <si>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</si>
  <si>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</si>
  <si>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</si>
  <si>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</si>
  <si>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</si>
  <si>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</si>
  <si>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</si>
  <si>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</si>
  <si>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</si>
  <si>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</si>
  <si>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</si>
  <si>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</si>
  <si>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</si>
  <si>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</si>
  <si>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</si>
  <si>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</si>
  <si>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</si>
  <si>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</si>
  <si>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</si>
  <si>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</si>
  <si>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</si>
  <si>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</si>
  <si>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</si>
  <si>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</si>
  <si>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</si>
  <si>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</si>
  <si>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</si>
  <si>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</si>
  <si>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</si>
  <si>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</si>
  <si>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</si>
  <si>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</si>
  <si>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</si>
  <si>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</si>
  <si>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</si>
  <si>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</si>
  <si>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</si>
  <si>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</si>
  <si>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</si>
  <si>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</si>
  <si>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</si>
  <si>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</si>
  <si>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</si>
  <si>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</si>
  <si>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</si>
  <si>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</si>
  <si>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</si>
  <si>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</si>
  <si>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</si>
  <si>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</si>
  <si>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</si>
  <si>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</si>
  <si>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</si>
  <si>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</si>
  <si>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</si>
  <si>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</si>
  <si>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</si>
  <si>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</si>
  <si>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</si>
  <si>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</si>
  <si>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</si>
  <si>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</si>
  <si>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</si>
  <si>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</si>
  <si>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</si>
  <si>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</si>
  <si>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</si>
  <si>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</si>
  <si>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</si>
  <si>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</si>
  <si>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</si>
  <si>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</si>
  <si>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</si>
  <si>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</si>
  <si>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</si>
  <si>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</si>
  <si>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</si>
  <si>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</si>
  <si>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</si>
  <si>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</si>
  <si>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</si>
  <si>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</si>
  <si>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</si>
  <si>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</si>
  <si>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</si>
  <si>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</si>
  <si>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</si>
  <si>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</si>
  <si>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</si>
  <si>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</si>
  <si>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</si>
  <si>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</si>
  <si>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</si>
  <si>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</si>
  <si>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</si>
  <si>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</si>
  <si>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</si>
  <si>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</si>
  <si>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</si>
  <si>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</si>
  <si>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</si>
  <si>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</si>
  <si>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</si>
  <si>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</si>
  <si>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</si>
  <si>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</si>
  <si>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</si>
  <si>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</si>
  <si>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</si>
  <si>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</si>
  <si>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</si>
  <si>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</si>
  <si>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</si>
  <si>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</si>
  <si>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</si>
  <si>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</si>
  <si>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</si>
  <si>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</si>
  <si>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</si>
  <si>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</si>
  <si>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</si>
  <si>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</si>
  <si>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</si>
  <si>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</si>
  <si>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</si>
  <si>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</si>
  <si>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</si>
  <si>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</si>
  <si>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</si>
  <si>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</si>
  <si>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</si>
  <si>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</si>
  <si>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</si>
  <si>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</si>
  <si>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</si>
  <si>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TEMPO-4 - NCT04760769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</si>
  <si>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</si>
  <si>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</si>
  <si>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</si>
  <si>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</si>
  <si>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</si>
  <si>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</si>
  <si>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</si>
  <si>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</si>
  <si>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</si>
  <si>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</si>
  <si>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</si>
  <si>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</si>
  <si>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</si>
  <si>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</si>
  <si>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</si>
  <si>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</si>
  <si>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</si>
  <si>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</si>
  <si>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</si>
  <si>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</si>
  <si>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</si>
  <si>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</si>
  <si>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</si>
  <si>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</si>
  <si>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</si>
  <si>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</si>
  <si>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</si>
  <si>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</si>
  <si>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</si>
  <si>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</si>
  <si>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</si>
  <si>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</si>
  <si>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</si>
  <si>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</si>
  <si>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</si>
  <si>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</si>
  <si>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</si>
  <si>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</si>
  <si>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</si>
  <si>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</si>
  <si>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</si>
  <si>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</si>
  <si>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</si>
  <si>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</si>
  <si>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</si>
  <si>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</si>
  <si>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</si>
  <si>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</si>
  <si>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</si>
  <si>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</si>
  <si>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</si>
  <si>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</si>
  <si>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</si>
  <si>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</si>
  <si>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</si>
  <si>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</si>
  <si>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</si>
  <si>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</si>
  <si>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</si>
  <si>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</si>
  <si>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</si>
  <si>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</si>
  <si>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</si>
  <si>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</si>
  <si>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</si>
  <si>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</si>
  <si>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</si>
  <si>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</si>
  <si>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</si>
  <si>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</si>
  <si>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</si>
  <si>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</si>
  <si>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</si>
  <si>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</si>
  <si>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</si>
  <si>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</si>
  <si>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</si>
  <si>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</si>
  <si>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</si>
  <si>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</si>
  <si>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</si>
  <si>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</si>
  <si>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</si>
  <si>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</si>
  <si>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</si>
  <si>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</si>
  <si>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</si>
  <si>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</si>
  <si>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</si>
  <si>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</si>
  <si>
    <t>10/24/24: Gedeon partnership for new neuropsych medicines.</t>
  </si>
  <si>
    <t>Bipolar, GAD</t>
  </si>
  <si>
    <t>10/18/24: Botox approved for platysma bands.</t>
  </si>
  <si>
    <t>Forehead lines, frown lines, crow's feet</t>
  </si>
  <si>
    <t>Platysma bands (jawline/neck) FDA approved 10/18/24</t>
  </si>
  <si>
    <t>10/17/24: Vyalev FDA approved.</t>
  </si>
  <si>
    <t>FDA approval 10/17/2024</t>
  </si>
  <si>
    <t>10/16/24: ASDS data preview.</t>
  </si>
  <si>
    <t>Aesthetics: Sara Sangha</t>
  </si>
  <si>
    <t>Juvederm, Volux XC, Voluma XC</t>
  </si>
  <si>
    <t>Jawline Aesthetics, Temple Hollowing</t>
  </si>
  <si>
    <t>10/4/24: STEM support</t>
  </si>
  <si>
    <t>10/2/24: Juvederm Voluma XC approved for temple hollowing.</t>
  </si>
  <si>
    <t>10/1/24: Q3 call date.</t>
  </si>
  <si>
    <t>9/27/24: Files teliso-V for NSCLC</t>
  </si>
  <si>
    <t>c-Met ADC</t>
  </si>
  <si>
    <t xml:space="preserve">  c-Met is overexpressed in 25% of EGFRwt nsNSCLC according to the company</t>
  </si>
  <si>
    <t>Phase III "TeliMET NSCLC-01"</t>
  </si>
  <si>
    <t>9/26/24: tavapadon TEMPO-3 results</t>
  </si>
  <si>
    <t>teliso-V</t>
  </si>
  <si>
    <t>Phase III "TEMPO-1" fixed-dose Parkinson's - NCT04201093</t>
  </si>
  <si>
    <t>Phase III "TEMPO-2" flexible-dose Parksinon's - NCT04223193</t>
  </si>
  <si>
    <t>placebo +1.8, tavapadon -9.7 and -10.2 at week 26</t>
  </si>
  <si>
    <t>Phase III TEMPO-3 adjunctive Parkinson's - NCT04542499</t>
  </si>
  <si>
    <t>9/25/24: Rinvoq AD data.</t>
  </si>
  <si>
    <t>RA, axSpA, AD</t>
  </si>
  <si>
    <t>Phase III "Measure Up 1" atopic dermatitis</t>
  </si>
  <si>
    <t>Phase III "Measure Up 2" atopic dermatitis</t>
  </si>
  <si>
    <t>EASI H&amp;N &lt;1 was 27% for placebo, 68% for 15mg, 76% for 30mg</t>
  </si>
  <si>
    <t>Immunology: Andrew Anisfeld</t>
  </si>
  <si>
    <t>Phase III "LEVEL UP" vs. dupilumab atopic dermatitis</t>
  </si>
  <si>
    <t>Phase III "AD-VISE" atopic dermatitis (real world study)</t>
  </si>
  <si>
    <t>Phase III "UP-TAINED" atopic dermatitis (real world study)</t>
  </si>
  <si>
    <t>8962629 expires 2031</t>
  </si>
  <si>
    <t>9/24/24: grants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</si>
</sst>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22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right"/>
    </xf>
    <xf numFmtId="0" fontId="23" fillId="0" borderId="1" xfId="0" applyFont="1" applyBorder="1"/>
    <xf numFmtId="0" fontId="23" fillId="0" borderId="3" xfId="0" applyFont="1" applyBorder="1"/>
    <xf numFmtId="0" fontId="23" fillId="0" borderId="6" xfId="0" applyFont="1" applyBorder="1"/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9" fontId="23" fillId="0" borderId="0" xfId="0" applyNumberFormat="1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4" fontId="23" fillId="0" borderId="0" xfId="0" applyNumberFormat="1" applyFont="1"/>
    <xf numFmtId="3" fontId="23" fillId="0" borderId="0" xfId="0" applyNumberFormat="1" applyFont="1"/>
    <xf numFmtId="3" fontId="23" fillId="0" borderId="0" xfId="0" applyNumberFormat="1" applyFont="1" applyAlignment="1">
      <alignment horizontal="right"/>
    </xf>
    <xf numFmtId="3" fontId="24" fillId="0" borderId="0" xfId="0" applyNumberFormat="1" applyFont="1"/>
    <xf numFmtId="3" fontId="24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center"/>
    </xf>
    <xf numFmtId="0" fontId="26" fillId="0" borderId="0" xfId="1" applyFont="1"/>
    <xf numFmtId="0" fontId="26" fillId="0" borderId="1" xfId="1" applyFont="1" applyBorder="1"/>
    <xf numFmtId="0" fontId="22" fillId="0" borderId="0" xfId="0" applyFont="1" applyAlignment="1">
      <alignment horizontal="right"/>
    </xf>
    <xf numFmtId="3" fontId="22" fillId="0" borderId="0" xfId="0" applyNumberFormat="1" applyFont="1"/>
    <xf numFmtId="3" fontId="22" fillId="0" borderId="0" xfId="0" quotePrefix="1" applyNumberFormat="1" applyFont="1" applyAlignment="1">
      <alignment horizontal="right"/>
    </xf>
    <xf numFmtId="0" fontId="22" fillId="0" borderId="0" xfId="0" applyFont="1"/>
    <xf numFmtId="0" fontId="21" fillId="0" borderId="0" xfId="0" applyFont="1"/>
    <xf numFmtId="0" fontId="20" fillId="0" borderId="0" xfId="0" applyFont="1"/>
    <xf numFmtId="3" fontId="20" fillId="0" borderId="0" xfId="0" quotePrefix="1" applyNumberFormat="1" applyFont="1" applyAlignment="1">
      <alignment horizontal="right"/>
    </xf>
    <xf numFmtId="9" fontId="23" fillId="0" borderId="0" xfId="0" applyNumberFormat="1" applyFont="1"/>
    <xf numFmtId="9" fontId="23" fillId="0" borderId="0" xfId="0" applyNumberFormat="1" applyFont="1" applyAlignment="1">
      <alignment horizontal="right"/>
    </xf>
    <xf numFmtId="9" fontId="20" fillId="0" borderId="0" xfId="0" applyNumberFormat="1" applyFont="1"/>
    <xf numFmtId="9" fontId="24" fillId="0" borderId="0" xfId="0" applyNumberFormat="1" applyFont="1"/>
    <xf numFmtId="9" fontId="24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1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1" xfId="0" applyFont="1" applyBorder="1"/>
    <xf numFmtId="0" fontId="17" fillId="0" borderId="7" xfId="0" applyFont="1" applyBorder="1" applyAlignment="1">
      <alignment horizontal="center"/>
    </xf>
    <xf numFmtId="0" fontId="17" fillId="0" borderId="0" xfId="0" applyFont="1"/>
    <xf numFmtId="3" fontId="17" fillId="0" borderId="0" xfId="0" quotePrefix="1" applyNumberFormat="1" applyFont="1" applyAlignment="1">
      <alignment horizontal="right"/>
    </xf>
    <xf numFmtId="9" fontId="17" fillId="0" borderId="0" xfId="0" applyNumberFormat="1" applyFont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3" fontId="16" fillId="0" borderId="0" xfId="0" quotePrefix="1" applyNumberFormat="1" applyFont="1" applyAlignment="1">
      <alignment horizontal="right"/>
    </xf>
    <xf numFmtId="3" fontId="16" fillId="0" borderId="0" xfId="0" applyNumberFormat="1" applyFont="1"/>
    <xf numFmtId="3" fontId="23" fillId="2" borderId="0" xfId="0" applyNumberFormat="1" applyFont="1" applyFill="1" applyAlignment="1">
      <alignment horizontal="right"/>
    </xf>
    <xf numFmtId="9" fontId="16" fillId="0" borderId="0" xfId="0" applyNumberFormat="1" applyFont="1" applyAlignment="1">
      <alignment horizontal="right"/>
    </xf>
    <xf numFmtId="9" fontId="16" fillId="0" borderId="0" xfId="0" applyNumberFormat="1" applyFont="1"/>
    <xf numFmtId="3" fontId="15" fillId="0" borderId="0" xfId="0" quotePrefix="1" applyNumberFormat="1" applyFont="1" applyAlignment="1">
      <alignment horizontal="right"/>
    </xf>
    <xf numFmtId="9" fontId="15" fillId="0" borderId="0" xfId="0" applyNumberFormat="1" applyFont="1"/>
    <xf numFmtId="9" fontId="15" fillId="0" borderId="0" xfId="0" applyNumberFormat="1" applyFont="1" applyAlignment="1">
      <alignment horizontal="right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9" fontId="13" fillId="0" borderId="0" xfId="0" applyNumberFormat="1" applyFont="1" applyAlignment="1">
      <alignment horizontal="center"/>
    </xf>
    <xf numFmtId="14" fontId="23" fillId="0" borderId="2" xfId="0" applyNumberFormat="1" applyFont="1" applyBorder="1" applyAlignment="1">
      <alignment horizontal="center"/>
    </xf>
    <xf numFmtId="0" fontId="13" fillId="0" borderId="1" xfId="0" applyFont="1" applyBorder="1"/>
    <xf numFmtId="0" fontId="12" fillId="0" borderId="0" xfId="0" applyFont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3" fontId="12" fillId="0" borderId="0" xfId="0" applyNumberFormat="1" applyFont="1"/>
    <xf numFmtId="0" fontId="12" fillId="0" borderId="1" xfId="0" applyFont="1" applyBorder="1"/>
    <xf numFmtId="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1" fillId="0" borderId="0" xfId="0" applyNumberFormat="1" applyFont="1" applyAlignment="1">
      <alignment horizontal="right"/>
    </xf>
    <xf numFmtId="9" fontId="11" fillId="0" borderId="0" xfId="0" applyNumberFormat="1" applyFont="1"/>
    <xf numFmtId="3" fontId="22" fillId="0" borderId="0" xfId="0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0" fillId="0" borderId="0" xfId="0" quotePrefix="1" applyNumberFormat="1" applyFont="1" applyAlignment="1">
      <alignment horizontal="right"/>
    </xf>
    <xf numFmtId="3" fontId="10" fillId="0" borderId="0" xfId="0" applyNumberFormat="1" applyFont="1"/>
    <xf numFmtId="0" fontId="10" fillId="0" borderId="1" xfId="0" applyFont="1" applyBorder="1"/>
    <xf numFmtId="3" fontId="9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right"/>
    </xf>
    <xf numFmtId="3" fontId="8" fillId="0" borderId="0" xfId="0" applyNumberFormat="1" applyFont="1"/>
    <xf numFmtId="3" fontId="8" fillId="0" borderId="0" xfId="0" quotePrefix="1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27" fillId="0" borderId="0" xfId="0" applyFont="1"/>
    <xf numFmtId="9" fontId="7" fillId="0" borderId="0" xfId="0" applyNumberFormat="1" applyFont="1" applyAlignment="1">
      <alignment horizontal="center"/>
    </xf>
    <xf numFmtId="0" fontId="6" fillId="0" borderId="0" xfId="0" applyFont="1"/>
    <xf numFmtId="0" fontId="5" fillId="0" borderId="0" xfId="0" applyFont="1"/>
    <xf numFmtId="3" fontId="5" fillId="0" borderId="0" xfId="0" quotePrefix="1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4" fillId="0" borderId="0" xfId="0" applyNumberFormat="1" applyFont="1" applyAlignment="1">
      <alignment horizontal="right"/>
    </xf>
    <xf numFmtId="3" fontId="23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4" fillId="3" borderId="0" xfId="0" applyNumberFormat="1" applyFont="1" applyFill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1" xfId="0" applyFont="1" applyBorder="1"/>
    <xf numFmtId="3" fontId="1" fillId="0" borderId="0" xfId="0" applyNumberFormat="1" applyFont="1"/>
    <xf numFmtId="9" fontId="1" fillId="0" borderId="0" xfId="0" applyNumberFormat="1" applyFont="1"/>
    <xf numFmtId="0" fontId="1" fillId="0" borderId="0" xfId="0" applyFont="1"/>
    <xf numFmtId="0" fontId="28" fillId="0" borderId="0" xfId="0" applyFont="1"/>
    <xf numFmtId="14" fontId="1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4" fillId="0" borderId="0" xfId="0" applyFont="1"/>
    <xf numFmtId="0" fontId="1" fillId="0" borderId="1" xfId="0" applyFont="1" applyBorder="1"/>
    <xf numFmtId="0" fontId="28" fillId="0" borderId="0" xfId="0" applyFont="1" applyAlignment="1">
      <alignment horizontal="center"/>
    </xf>
    <xf numFmtId="9" fontId="28" fillId="0" borderId="0" xfId="0" applyNumberFormat="1" applyFont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1" xfId="1" applyFont="1" applyBorder="1"/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20064</xdr:colOff>
      <xdr:row>0</xdr:row>
      <xdr:rowOff>0</xdr:rowOff>
    </xdr:from>
    <xdr:to>
      <xdr:col>89</xdr:col>
      <xdr:colOff>20064</xdr:colOff>
      <xdr:row>159</xdr:row>
      <xdr:rowOff>39414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4923478" y="0"/>
          <a:ext cx="0" cy="253299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7330</xdr:colOff>
      <xdr:row>0</xdr:row>
      <xdr:rowOff>3759</xdr:rowOff>
    </xdr:from>
    <xdr:to>
      <xdr:col>109</xdr:col>
      <xdr:colOff>7330</xdr:colOff>
      <xdr:row>131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O32" dT="2025-01-13T20:01:08.76" personId="{FC08182D-8126-43D2-AFE1-095FC8F8A0A3}" id="{00BB85D3-10C6-41A5-89A6-7AC02D1AEDC7}">
    <text>Q324: expect &gt;1B revenue</text>
  </threadedComment>
  <threadedComment ref="BW56" dT="2023-02-08T20:32:20.25" personId="{FC08182D-8126-43D2-AFE1-095FC8F8A0A3}" id="{1495FD4C-6EA2-462D-A285-0CE1207F95E3}">
    <text>13010 10-Q</text>
  </threadedComment>
  <threadedComment ref="CC67" dT="2023-01-03T05:48:05.07" personId="{FC08182D-8126-43D2-AFE1-095FC8F8A0A3}" id="{4684B382-7B1E-4F51-8AE6-3C2F21BB4B83}">
    <text>ADJ EPS 3.66</text>
  </threadedComment>
  <threadedComment ref="DD67" dT="2022-07-29T13:57:20.53" personId="{FC08182D-8126-43D2-AFE1-095FC8F8A0A3}" id="{664741F6-5634-463A-B649-C44AD48AAA09}">
    <text>Q222 guidance: 13.78-13.98 reaffirmed
Q322 guidance: 13.84-13.88</text>
  </threadedComment>
  <threadedComment ref="DE67" dT="2023-02-14T04:07:40.83" personId="{FC08182D-8126-43D2-AFE1-095FC8F8A0A3}" id="{A4B38560-E0C3-4F72-B4F8-127C423939FF}">
    <text>Q422: 2023 guidance of 10.70-11.10</text>
  </threadedComment>
  <threadedComment ref="DF67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CI115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796875" defaultRowHeight="12.5" x14ac:dyDescent="0.25"/>
  <cols>
    <col min="1" max="1" width="5" style="27" bestFit="1" customWidth="1"/>
    <col min="2" max="2" width="18.81640625" style="27" bestFit="1" customWidth="1"/>
    <col min="3" max="16384" width="9.1796875" style="27"/>
  </cols>
  <sheetData>
    <row r="1" spans="1:6" x14ac:dyDescent="0.25">
      <c r="A1" s="20" t="s">
        <v>74</v>
      </c>
    </row>
    <row r="2" spans="1:6" x14ac:dyDescent="0.25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5">
      <c r="A3" s="20"/>
      <c r="B3" s="27" t="s">
        <v>147</v>
      </c>
    </row>
    <row r="4" spans="1:6" x14ac:dyDescent="0.25">
      <c r="A4" s="20"/>
      <c r="B4" s="27" t="s">
        <v>11</v>
      </c>
    </row>
    <row r="5" spans="1:6" x14ac:dyDescent="0.25">
      <c r="A5" s="20"/>
      <c r="B5" s="27" t="s">
        <v>10</v>
      </c>
    </row>
    <row r="6" spans="1:6" x14ac:dyDescent="0.25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5">
      <c r="A7" s="20"/>
      <c r="B7" s="27" t="s">
        <v>54</v>
      </c>
    </row>
    <row r="8" spans="1:6" x14ac:dyDescent="0.25">
      <c r="B8" s="27" t="s">
        <v>2</v>
      </c>
      <c r="D8" s="27" t="s">
        <v>37</v>
      </c>
    </row>
    <row r="9" spans="1:6" x14ac:dyDescent="0.25">
      <c r="B9" s="27" t="s">
        <v>148</v>
      </c>
    </row>
    <row r="10" spans="1:6" x14ac:dyDescent="0.25">
      <c r="B10" s="37" t="s">
        <v>166</v>
      </c>
    </row>
    <row r="11" spans="1:6" x14ac:dyDescent="0.25">
      <c r="B11" s="27" t="s">
        <v>5</v>
      </c>
    </row>
    <row r="12" spans="1:6" x14ac:dyDescent="0.25">
      <c r="B12" s="41" t="s">
        <v>38</v>
      </c>
      <c r="C12" s="41" t="s">
        <v>188</v>
      </c>
    </row>
    <row r="13" spans="1:6" x14ac:dyDescent="0.25">
      <c r="B13" s="41" t="s">
        <v>190</v>
      </c>
      <c r="C13" s="41" t="s">
        <v>191</v>
      </c>
    </row>
    <row r="18" spans="2:6" x14ac:dyDescent="0.25">
      <c r="C18" s="27" t="s">
        <v>28</v>
      </c>
      <c r="D18" s="27" t="s">
        <v>149</v>
      </c>
      <c r="E18" s="37" t="s">
        <v>171</v>
      </c>
    </row>
    <row r="19" spans="2:6" x14ac:dyDescent="0.25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5">
      <c r="B20" s="37" t="s">
        <v>29</v>
      </c>
      <c r="E20" s="37" t="s">
        <v>46</v>
      </c>
      <c r="F20" s="37" t="s">
        <v>66</v>
      </c>
    </row>
    <row r="21" spans="2:6" x14ac:dyDescent="0.25">
      <c r="B21" s="41" t="s">
        <v>69</v>
      </c>
      <c r="E21" s="41" t="s">
        <v>195</v>
      </c>
      <c r="F21" s="41" t="s">
        <v>196</v>
      </c>
    </row>
    <row r="22" spans="2:6" x14ac:dyDescent="0.25">
      <c r="B22" s="41" t="s">
        <v>67</v>
      </c>
      <c r="E22" s="41" t="s">
        <v>220</v>
      </c>
      <c r="F22" s="41" t="s">
        <v>219</v>
      </c>
    </row>
    <row r="25" spans="2:6" x14ac:dyDescent="0.25">
      <c r="B25" s="83" t="s">
        <v>355</v>
      </c>
      <c r="C25" s="84" t="s">
        <v>46</v>
      </c>
      <c r="D25" s="105" t="s">
        <v>476</v>
      </c>
      <c r="E25" s="84" t="s">
        <v>356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ColWidth="9.1796875" defaultRowHeight="12.5" x14ac:dyDescent="0.25"/>
  <cols>
    <col min="1" max="1" width="5.453125" style="111" bestFit="1" customWidth="1"/>
    <col min="2" max="2" width="12.54296875" style="111" bestFit="1" customWidth="1"/>
    <col min="3" max="16384" width="9.1796875" style="111"/>
  </cols>
  <sheetData>
    <row r="1" spans="1:4" x14ac:dyDescent="0.25">
      <c r="A1" s="20" t="s">
        <v>74</v>
      </c>
    </row>
    <row r="2" spans="1:4" x14ac:dyDescent="0.25">
      <c r="B2" s="111" t="s">
        <v>146</v>
      </c>
    </row>
    <row r="3" spans="1:4" x14ac:dyDescent="0.25">
      <c r="B3" s="111" t="s">
        <v>189</v>
      </c>
      <c r="C3" s="111" t="s">
        <v>341</v>
      </c>
    </row>
    <row r="4" spans="1:4" x14ac:dyDescent="0.25">
      <c r="B4" s="111" t="s">
        <v>27</v>
      </c>
      <c r="C4" s="111" t="s">
        <v>342</v>
      </c>
    </row>
    <row r="5" spans="1:4" x14ac:dyDescent="0.25">
      <c r="B5" s="111" t="s">
        <v>36</v>
      </c>
      <c r="C5" s="111" t="s">
        <v>570</v>
      </c>
    </row>
    <row r="6" spans="1:4" x14ac:dyDescent="0.25">
      <c r="B6" s="111" t="s">
        <v>33</v>
      </c>
      <c r="C6" s="111" t="s">
        <v>569</v>
      </c>
    </row>
    <row r="7" spans="1:4" x14ac:dyDescent="0.25">
      <c r="B7" s="111" t="s">
        <v>227</v>
      </c>
    </row>
    <row r="8" spans="1:4" ht="13" x14ac:dyDescent="0.3">
      <c r="C8" s="86" t="s">
        <v>564</v>
      </c>
    </row>
    <row r="9" spans="1:4" x14ac:dyDescent="0.25">
      <c r="C9" s="111" t="s">
        <v>565</v>
      </c>
      <c r="D9" s="111">
        <v>-13.5</v>
      </c>
    </row>
    <row r="10" spans="1:4" x14ac:dyDescent="0.25">
      <c r="C10" s="111" t="s">
        <v>566</v>
      </c>
      <c r="D10" s="111">
        <v>-14.7</v>
      </c>
    </row>
    <row r="11" spans="1:4" x14ac:dyDescent="0.25">
      <c r="C11" s="111" t="s">
        <v>567</v>
      </c>
      <c r="D11" s="111">
        <v>-16.5</v>
      </c>
    </row>
    <row r="13" spans="1:4" ht="13" x14ac:dyDescent="0.3">
      <c r="C13" s="86" t="s">
        <v>568</v>
      </c>
    </row>
    <row r="14" spans="1:4" x14ac:dyDescent="0.25">
      <c r="C14" s="111" t="s">
        <v>565</v>
      </c>
      <c r="D14" s="111">
        <v>-16.100000000000001</v>
      </c>
    </row>
    <row r="15" spans="1:4" x14ac:dyDescent="0.25">
      <c r="C15" s="111" t="s">
        <v>566</v>
      </c>
      <c r="D15" s="111">
        <v>-18.5</v>
      </c>
    </row>
    <row r="16" spans="1:4" x14ac:dyDescent="0.25">
      <c r="C16" s="111" t="s">
        <v>567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796875" defaultRowHeight="12.5" x14ac:dyDescent="0.25"/>
  <cols>
    <col min="1" max="1" width="5.453125" style="111" bestFit="1" customWidth="1"/>
    <col min="2" max="2" width="13.453125" style="111" customWidth="1"/>
    <col min="3" max="16384" width="9.1796875" style="111"/>
  </cols>
  <sheetData>
    <row r="1" spans="1:4" x14ac:dyDescent="0.25">
      <c r="A1" s="20" t="s">
        <v>74</v>
      </c>
    </row>
    <row r="2" spans="1:4" x14ac:dyDescent="0.25">
      <c r="B2" s="111" t="s">
        <v>146</v>
      </c>
      <c r="C2" s="111" t="s">
        <v>403</v>
      </c>
    </row>
    <row r="3" spans="1:4" x14ac:dyDescent="0.25">
      <c r="B3" s="111" t="s">
        <v>189</v>
      </c>
      <c r="C3" s="111" t="s">
        <v>404</v>
      </c>
    </row>
    <row r="4" spans="1:4" x14ac:dyDescent="0.25">
      <c r="B4" s="111" t="s">
        <v>27</v>
      </c>
      <c r="C4" s="111" t="s">
        <v>405</v>
      </c>
    </row>
    <row r="5" spans="1:4" x14ac:dyDescent="0.25">
      <c r="B5" s="111" t="s">
        <v>287</v>
      </c>
      <c r="C5" s="111" t="s">
        <v>472</v>
      </c>
    </row>
    <row r="6" spans="1:4" x14ac:dyDescent="0.25">
      <c r="B6" s="111" t="s">
        <v>185</v>
      </c>
      <c r="C6" s="111" t="s">
        <v>473</v>
      </c>
    </row>
    <row r="7" spans="1:4" x14ac:dyDescent="0.25">
      <c r="B7" s="111" t="s">
        <v>474</v>
      </c>
      <c r="C7" s="111" t="s">
        <v>475</v>
      </c>
    </row>
    <row r="8" spans="1:4" x14ac:dyDescent="0.25">
      <c r="B8" s="111" t="s">
        <v>36</v>
      </c>
      <c r="C8" s="111" t="s">
        <v>309</v>
      </c>
    </row>
    <row r="9" spans="1:4" x14ac:dyDescent="0.25">
      <c r="B9" s="111" t="s">
        <v>227</v>
      </c>
    </row>
    <row r="10" spans="1:4" ht="13" x14ac:dyDescent="0.3">
      <c r="C10" s="86" t="s">
        <v>521</v>
      </c>
    </row>
    <row r="11" spans="1:4" x14ac:dyDescent="0.25">
      <c r="C11" s="111" t="s">
        <v>518</v>
      </c>
    </row>
    <row r="12" spans="1:4" x14ac:dyDescent="0.25">
      <c r="C12" s="111" t="s">
        <v>515</v>
      </c>
    </row>
    <row r="13" spans="1:4" ht="13" x14ac:dyDescent="0.3">
      <c r="C13" s="115" t="s">
        <v>516</v>
      </c>
    </row>
    <row r="14" spans="1:4" ht="13" x14ac:dyDescent="0.3">
      <c r="C14" s="115"/>
      <c r="D14" s="111" t="s">
        <v>520</v>
      </c>
    </row>
    <row r="16" spans="1:4" ht="13" x14ac:dyDescent="0.3">
      <c r="C16" s="86" t="s">
        <v>522</v>
      </c>
    </row>
    <row r="17" spans="3:4" x14ac:dyDescent="0.25">
      <c r="C17" s="111" t="s">
        <v>517</v>
      </c>
    </row>
    <row r="19" spans="3:4" ht="13" x14ac:dyDescent="0.3">
      <c r="D19" s="86" t="s">
        <v>533</v>
      </c>
    </row>
    <row r="20" spans="3:4" x14ac:dyDescent="0.25">
      <c r="D20" s="111" t="s">
        <v>532</v>
      </c>
    </row>
    <row r="22" spans="3:4" ht="13" x14ac:dyDescent="0.3">
      <c r="C22" s="86" t="s">
        <v>535</v>
      </c>
    </row>
    <row r="23" spans="3:4" x14ac:dyDescent="0.25">
      <c r="C23" s="111" t="s">
        <v>534</v>
      </c>
    </row>
    <row r="25" spans="3:4" x14ac:dyDescent="0.25">
      <c r="C25" s="111" t="s">
        <v>536</v>
      </c>
    </row>
    <row r="26" spans="3:4" x14ac:dyDescent="0.25">
      <c r="C26" s="111" t="s">
        <v>537</v>
      </c>
    </row>
    <row r="27" spans="3:4" x14ac:dyDescent="0.25">
      <c r="C27" s="111" t="s">
        <v>538</v>
      </c>
    </row>
    <row r="28" spans="3:4" x14ac:dyDescent="0.25">
      <c r="C28" s="111" t="s">
        <v>539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6"/>
  <sheetViews>
    <sheetView zoomScale="160" zoomScaleNormal="160" workbookViewId="0"/>
  </sheetViews>
  <sheetFormatPr defaultColWidth="9.1796875" defaultRowHeight="12.5" x14ac:dyDescent="0.25"/>
  <cols>
    <col min="1" max="1" width="5" style="104" bestFit="1" customWidth="1"/>
    <col min="2" max="2" width="12.8164062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  <c r="C2" s="104" t="s">
        <v>484</v>
      </c>
    </row>
    <row r="3" spans="1:3" x14ac:dyDescent="0.25">
      <c r="B3" s="104" t="s">
        <v>189</v>
      </c>
      <c r="C3" s="104" t="s">
        <v>480</v>
      </c>
    </row>
    <row r="4" spans="1:3" x14ac:dyDescent="0.25">
      <c r="B4" s="104" t="s">
        <v>185</v>
      </c>
      <c r="C4" s="104" t="s">
        <v>481</v>
      </c>
    </row>
    <row r="5" spans="1:3" x14ac:dyDescent="0.25">
      <c r="B5" s="104" t="s">
        <v>27</v>
      </c>
      <c r="C5" s="104" t="s">
        <v>482</v>
      </c>
    </row>
    <row r="6" spans="1:3" x14ac:dyDescent="0.25">
      <c r="B6" s="111" t="s">
        <v>467</v>
      </c>
      <c r="C6" s="111" t="s">
        <v>624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ColWidth="9.1796875" defaultRowHeight="12.5" x14ac:dyDescent="0.25"/>
  <cols>
    <col min="1" max="1" width="5" style="104" bestFit="1" customWidth="1"/>
    <col min="2" max="2" width="12.8164062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  <c r="C2" s="104" t="s">
        <v>117</v>
      </c>
    </row>
    <row r="3" spans="1:3" x14ac:dyDescent="0.25">
      <c r="B3" s="104" t="s">
        <v>189</v>
      </c>
      <c r="C3" s="104" t="s">
        <v>493</v>
      </c>
    </row>
    <row r="4" spans="1:3" x14ac:dyDescent="0.25">
      <c r="B4" s="104" t="s">
        <v>27</v>
      </c>
      <c r="C4" s="104" t="s">
        <v>499</v>
      </c>
    </row>
    <row r="5" spans="1:3" x14ac:dyDescent="0.25">
      <c r="B5" s="104" t="s">
        <v>33</v>
      </c>
      <c r="C5" s="104" t="s">
        <v>494</v>
      </c>
    </row>
    <row r="6" spans="1:3" x14ac:dyDescent="0.25">
      <c r="B6" s="104" t="s">
        <v>36</v>
      </c>
      <c r="C6" s="104" t="s">
        <v>165</v>
      </c>
    </row>
    <row r="7" spans="1:3" x14ac:dyDescent="0.25">
      <c r="B7" s="104" t="s">
        <v>185</v>
      </c>
      <c r="C7" s="104" t="s">
        <v>495</v>
      </c>
    </row>
    <row r="8" spans="1:3" x14ac:dyDescent="0.25">
      <c r="B8" s="104" t="s">
        <v>467</v>
      </c>
      <c r="C8" s="104" t="s">
        <v>498</v>
      </c>
    </row>
    <row r="9" spans="1:3" x14ac:dyDescent="0.25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23"/>
  <sheetViews>
    <sheetView zoomScale="190" zoomScaleNormal="190" workbookViewId="0"/>
  </sheetViews>
  <sheetFormatPr defaultColWidth="9.1796875" defaultRowHeight="12.5" x14ac:dyDescent="0.25"/>
  <cols>
    <col min="1" max="1" width="5.453125" style="102" bestFit="1" customWidth="1"/>
    <col min="2" max="2" width="13.453125" style="102" customWidth="1"/>
    <col min="3" max="3" width="21.453125" style="102" customWidth="1"/>
    <col min="4" max="16384" width="9.1796875" style="102"/>
  </cols>
  <sheetData>
    <row r="1" spans="1:3" x14ac:dyDescent="0.25">
      <c r="A1" s="20" t="s">
        <v>74</v>
      </c>
    </row>
    <row r="2" spans="1:3" x14ac:dyDescent="0.25">
      <c r="B2" s="102" t="s">
        <v>146</v>
      </c>
    </row>
    <row r="3" spans="1:3" x14ac:dyDescent="0.25">
      <c r="B3" s="102" t="s">
        <v>189</v>
      </c>
      <c r="C3" s="102" t="s">
        <v>463</v>
      </c>
    </row>
    <row r="4" spans="1:3" x14ac:dyDescent="0.25">
      <c r="B4" s="102" t="s">
        <v>27</v>
      </c>
      <c r="C4" s="102" t="s">
        <v>469</v>
      </c>
    </row>
    <row r="5" spans="1:3" x14ac:dyDescent="0.25">
      <c r="B5" s="111" t="s">
        <v>474</v>
      </c>
      <c r="C5" s="111" t="s">
        <v>525</v>
      </c>
    </row>
    <row r="6" spans="1:3" x14ac:dyDescent="0.25">
      <c r="B6" s="111" t="s">
        <v>467</v>
      </c>
      <c r="C6" s="111" t="s">
        <v>528</v>
      </c>
    </row>
    <row r="7" spans="1:3" x14ac:dyDescent="0.25">
      <c r="B7" s="111" t="s">
        <v>289</v>
      </c>
      <c r="C7" s="111" t="s">
        <v>526</v>
      </c>
    </row>
    <row r="8" spans="1:3" x14ac:dyDescent="0.25">
      <c r="B8" s="102" t="s">
        <v>227</v>
      </c>
    </row>
    <row r="9" spans="1:3" ht="13" x14ac:dyDescent="0.3">
      <c r="C9" s="86" t="s">
        <v>638</v>
      </c>
    </row>
    <row r="10" spans="1:3" x14ac:dyDescent="0.25">
      <c r="C10" s="102" t="s">
        <v>470</v>
      </c>
    </row>
    <row r="11" spans="1:3" x14ac:dyDescent="0.25">
      <c r="C11" s="111" t="s">
        <v>640</v>
      </c>
    </row>
    <row r="13" spans="1:3" ht="13" x14ac:dyDescent="0.3">
      <c r="C13" s="86" t="s">
        <v>639</v>
      </c>
    </row>
    <row r="14" spans="1:3" x14ac:dyDescent="0.25">
      <c r="C14" s="111" t="s">
        <v>523</v>
      </c>
    </row>
    <row r="15" spans="1:3" x14ac:dyDescent="0.25">
      <c r="C15" s="111" t="s">
        <v>524</v>
      </c>
    </row>
    <row r="18" spans="3:3" ht="13" x14ac:dyDescent="0.3">
      <c r="C18" s="86" t="s">
        <v>641</v>
      </c>
    </row>
    <row r="19" spans="3:3" ht="13" x14ac:dyDescent="0.3">
      <c r="C19" s="86"/>
    </row>
    <row r="20" spans="3:3" ht="13" x14ac:dyDescent="0.3">
      <c r="C20" s="86"/>
    </row>
    <row r="21" spans="3:3" ht="13" x14ac:dyDescent="0.3">
      <c r="C21" s="86"/>
    </row>
    <row r="22" spans="3:3" ht="13" x14ac:dyDescent="0.3">
      <c r="C22" s="86"/>
    </row>
    <row r="23" spans="3:3" x14ac:dyDescent="0.25">
      <c r="C23" s="111" t="s">
        <v>527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14"/>
  <sheetViews>
    <sheetView zoomScale="175" zoomScaleNormal="175" workbookViewId="0"/>
  </sheetViews>
  <sheetFormatPr defaultColWidth="9.1796875" defaultRowHeight="12.5" x14ac:dyDescent="0.25"/>
  <cols>
    <col min="1" max="1" width="5.453125" style="104" bestFit="1" customWidth="1"/>
    <col min="2" max="2" width="12.54296875" style="104" bestFit="1" customWidth="1"/>
    <col min="3" max="16384" width="9.1796875" style="104"/>
  </cols>
  <sheetData>
    <row r="1" spans="1:3" x14ac:dyDescent="0.25">
      <c r="A1" s="20" t="s">
        <v>74</v>
      </c>
    </row>
    <row r="2" spans="1:3" x14ac:dyDescent="0.25">
      <c r="B2" s="104" t="s">
        <v>146</v>
      </c>
    </row>
    <row r="3" spans="1:3" x14ac:dyDescent="0.25">
      <c r="B3" s="104" t="s">
        <v>189</v>
      </c>
      <c r="C3" s="104" t="s">
        <v>311</v>
      </c>
    </row>
    <row r="4" spans="1:3" x14ac:dyDescent="0.25">
      <c r="B4" s="104" t="s">
        <v>27</v>
      </c>
      <c r="C4" s="104" t="s">
        <v>502</v>
      </c>
    </row>
    <row r="5" spans="1:3" x14ac:dyDescent="0.25">
      <c r="B5" s="104" t="s">
        <v>467</v>
      </c>
      <c r="C5" s="104" t="s">
        <v>503</v>
      </c>
    </row>
    <row r="6" spans="1:3" x14ac:dyDescent="0.25">
      <c r="B6" s="111" t="s">
        <v>33</v>
      </c>
      <c r="C6" s="111" t="s">
        <v>633</v>
      </c>
    </row>
    <row r="7" spans="1:3" x14ac:dyDescent="0.25">
      <c r="B7" s="111"/>
      <c r="C7" s="111" t="s">
        <v>634</v>
      </c>
    </row>
    <row r="8" spans="1:3" x14ac:dyDescent="0.25">
      <c r="B8" s="104" t="s">
        <v>227</v>
      </c>
    </row>
    <row r="9" spans="1:3" ht="13" x14ac:dyDescent="0.3">
      <c r="C9" s="86" t="s">
        <v>635</v>
      </c>
    </row>
    <row r="14" spans="1:3" ht="13" x14ac:dyDescent="0.3">
      <c r="C14" s="86" t="s">
        <v>501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Normal="100" workbookViewId="0"/>
  </sheetViews>
  <sheetFormatPr defaultColWidth="9.1796875" defaultRowHeight="12.5" x14ac:dyDescent="0.25"/>
  <cols>
    <col min="1" max="1" width="2.81640625" style="1" customWidth="1"/>
    <col min="2" max="2" width="23.81640625" style="1" customWidth="1"/>
    <col min="3" max="3" width="34.453125" style="1" customWidth="1"/>
    <col min="4" max="4" width="10.81640625" style="1" customWidth="1"/>
    <col min="5" max="5" width="14.81640625" style="1" customWidth="1"/>
    <col min="6" max="6" width="10.26953125" style="1" bestFit="1" customWidth="1"/>
    <col min="7" max="7" width="13.81640625" style="1" bestFit="1" customWidth="1"/>
    <col min="8" max="8" width="10.453125" style="1" bestFit="1" customWidth="1"/>
    <col min="9" max="16384" width="9.1796875" style="1"/>
  </cols>
  <sheetData>
    <row r="1" spans="1:12" x14ac:dyDescent="0.25">
      <c r="A1" s="111"/>
    </row>
    <row r="2" spans="1:12" x14ac:dyDescent="0.25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1:12" x14ac:dyDescent="0.25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01" t="s">
        <v>324</v>
      </c>
    </row>
    <row r="4" spans="1:12" x14ac:dyDescent="0.25">
      <c r="B4" s="21" t="s">
        <v>208</v>
      </c>
      <c r="C4" s="57" t="s">
        <v>266</v>
      </c>
      <c r="D4" s="64">
        <v>33581</v>
      </c>
      <c r="E4" s="57" t="s">
        <v>267</v>
      </c>
      <c r="F4" s="10">
        <v>1</v>
      </c>
      <c r="G4" s="57" t="s">
        <v>186</v>
      </c>
      <c r="H4" s="58" t="s">
        <v>268</v>
      </c>
      <c r="J4" s="1" t="s">
        <v>49</v>
      </c>
      <c r="K4" s="15">
        <f>+K3*K2</f>
        <v>310100</v>
      </c>
      <c r="L4" s="2"/>
    </row>
    <row r="5" spans="1:12" x14ac:dyDescent="0.25">
      <c r="B5" s="21" t="s">
        <v>159</v>
      </c>
      <c r="C5" s="57" t="s">
        <v>263</v>
      </c>
      <c r="D5" s="19">
        <v>41591</v>
      </c>
      <c r="E5" s="57" t="s">
        <v>264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7552</v>
      </c>
      <c r="L5" s="101" t="s">
        <v>324</v>
      </c>
    </row>
    <row r="6" spans="1:12" x14ac:dyDescent="0.25">
      <c r="B6" s="21" t="s">
        <v>162</v>
      </c>
      <c r="C6" s="57" t="s">
        <v>257</v>
      </c>
      <c r="D6" s="19">
        <v>43578</v>
      </c>
      <c r="E6" s="38" t="s">
        <v>222</v>
      </c>
      <c r="F6" s="59" t="s">
        <v>258</v>
      </c>
      <c r="G6" s="57" t="s">
        <v>186</v>
      </c>
      <c r="H6" s="58" t="s">
        <v>72</v>
      </c>
      <c r="J6" s="1" t="s">
        <v>51</v>
      </c>
      <c r="K6" s="15">
        <v>71079</v>
      </c>
      <c r="L6" s="101" t="s">
        <v>324</v>
      </c>
    </row>
    <row r="7" spans="1:12" x14ac:dyDescent="0.25">
      <c r="B7" s="21" t="s">
        <v>178</v>
      </c>
      <c r="C7" s="114" t="s">
        <v>643</v>
      </c>
      <c r="D7" s="19">
        <v>44636</v>
      </c>
      <c r="E7" s="38" t="s">
        <v>177</v>
      </c>
      <c r="F7" s="10">
        <v>1</v>
      </c>
      <c r="G7" s="38" t="s">
        <v>187</v>
      </c>
      <c r="H7" s="58" t="s">
        <v>252</v>
      </c>
      <c r="J7" s="1" t="s">
        <v>52</v>
      </c>
      <c r="K7" s="15">
        <f>+K4-K5+K6</f>
        <v>373627</v>
      </c>
    </row>
    <row r="8" spans="1:12" x14ac:dyDescent="0.25">
      <c r="B8" s="21" t="s">
        <v>163</v>
      </c>
      <c r="C8" s="36" t="s">
        <v>164</v>
      </c>
      <c r="D8" s="19">
        <v>42471</v>
      </c>
      <c r="E8" s="36" t="s">
        <v>31</v>
      </c>
      <c r="F8" s="36" t="s">
        <v>165</v>
      </c>
      <c r="G8" s="38" t="s">
        <v>187</v>
      </c>
      <c r="H8" s="58" t="s">
        <v>269</v>
      </c>
    </row>
    <row r="9" spans="1:12" x14ac:dyDescent="0.25">
      <c r="B9" s="61" t="s">
        <v>270</v>
      </c>
      <c r="C9" s="57" t="s">
        <v>271</v>
      </c>
      <c r="D9" s="19">
        <v>32534</v>
      </c>
      <c r="E9" s="9"/>
      <c r="F9" s="57" t="s">
        <v>272</v>
      </c>
      <c r="G9" s="57" t="s">
        <v>273</v>
      </c>
      <c r="H9" s="11"/>
    </row>
    <row r="10" spans="1:12" x14ac:dyDescent="0.25">
      <c r="B10" s="61" t="s">
        <v>274</v>
      </c>
      <c r="C10" s="57" t="s">
        <v>276</v>
      </c>
      <c r="D10" s="19">
        <v>37461</v>
      </c>
      <c r="E10" s="9"/>
      <c r="F10" s="84" t="s">
        <v>333</v>
      </c>
      <c r="G10" s="38" t="s">
        <v>187</v>
      </c>
      <c r="H10" s="11"/>
    </row>
    <row r="11" spans="1:12" x14ac:dyDescent="0.25">
      <c r="B11" s="77" t="s">
        <v>6</v>
      </c>
      <c r="C11" s="57" t="s">
        <v>275</v>
      </c>
      <c r="D11" s="9"/>
      <c r="E11" s="9"/>
      <c r="F11" s="84" t="s">
        <v>333</v>
      </c>
      <c r="G11" s="38" t="s">
        <v>187</v>
      </c>
      <c r="H11" s="11"/>
    </row>
    <row r="12" spans="1:12" x14ac:dyDescent="0.25">
      <c r="B12" s="61" t="s">
        <v>278</v>
      </c>
      <c r="C12" s="57" t="s">
        <v>279</v>
      </c>
      <c r="D12" s="9"/>
      <c r="E12" s="9"/>
      <c r="F12" s="9"/>
      <c r="G12" s="57" t="s">
        <v>281</v>
      </c>
      <c r="H12" s="11"/>
    </row>
    <row r="13" spans="1:12" x14ac:dyDescent="0.25">
      <c r="B13" s="61" t="s">
        <v>277</v>
      </c>
      <c r="C13" s="57" t="s">
        <v>205</v>
      </c>
      <c r="D13" s="9"/>
      <c r="E13" s="9"/>
      <c r="F13" s="9"/>
      <c r="G13" s="9"/>
      <c r="H13" s="11"/>
      <c r="J13" s="89" t="s">
        <v>386</v>
      </c>
    </row>
    <row r="14" spans="1:12" x14ac:dyDescent="0.25">
      <c r="B14" s="61" t="s">
        <v>265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315</v>
      </c>
    </row>
    <row r="15" spans="1:12" x14ac:dyDescent="0.25">
      <c r="B15" s="39" t="s">
        <v>206</v>
      </c>
      <c r="C15" s="38" t="s">
        <v>207</v>
      </c>
      <c r="D15" s="9"/>
      <c r="E15" s="57" t="s">
        <v>280</v>
      </c>
      <c r="F15" s="10">
        <v>1</v>
      </c>
      <c r="G15" s="57" t="s">
        <v>187</v>
      </c>
      <c r="H15" s="11"/>
      <c r="J15" s="111" t="s">
        <v>512</v>
      </c>
    </row>
    <row r="16" spans="1:12" x14ac:dyDescent="0.25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519</v>
      </c>
    </row>
    <row r="17" spans="2:10" x14ac:dyDescent="0.25">
      <c r="B17" s="21" t="s">
        <v>330</v>
      </c>
      <c r="C17" s="84" t="s">
        <v>65</v>
      </c>
      <c r="D17" s="9"/>
      <c r="E17" s="103" t="s">
        <v>461</v>
      </c>
      <c r="F17" s="10"/>
      <c r="G17" s="103" t="s">
        <v>462</v>
      </c>
      <c r="H17" s="11"/>
      <c r="J17" s="111" t="s">
        <v>547</v>
      </c>
    </row>
    <row r="18" spans="2:10" x14ac:dyDescent="0.25">
      <c r="B18" s="39" t="s">
        <v>210</v>
      </c>
      <c r="C18" s="38" t="s">
        <v>211</v>
      </c>
      <c r="D18" s="9"/>
      <c r="E18" s="9"/>
      <c r="F18" s="10"/>
      <c r="G18" s="57" t="s">
        <v>281</v>
      </c>
      <c r="H18" s="11"/>
      <c r="J18" s="111" t="s">
        <v>572</v>
      </c>
    </row>
    <row r="19" spans="2:10" x14ac:dyDescent="0.25">
      <c r="B19" s="21" t="s">
        <v>331</v>
      </c>
      <c r="C19" s="84" t="s">
        <v>332</v>
      </c>
      <c r="D19" s="113">
        <v>45065</v>
      </c>
      <c r="E19" s="68" t="s">
        <v>310</v>
      </c>
      <c r="F19" s="67" t="s">
        <v>309</v>
      </c>
      <c r="G19" s="114" t="s">
        <v>462</v>
      </c>
      <c r="H19" s="11"/>
      <c r="J19" s="111" t="s">
        <v>626</v>
      </c>
    </row>
    <row r="20" spans="2:10" x14ac:dyDescent="0.25">
      <c r="B20" s="116" t="s">
        <v>627</v>
      </c>
      <c r="C20" s="114" t="s">
        <v>628</v>
      </c>
      <c r="D20" s="9"/>
      <c r="E20" s="57" t="s">
        <v>285</v>
      </c>
      <c r="F20" s="10"/>
      <c r="G20" s="57"/>
      <c r="H20" s="11"/>
      <c r="J20" s="111" t="s">
        <v>647</v>
      </c>
    </row>
    <row r="21" spans="2:10" x14ac:dyDescent="0.25">
      <c r="B21" s="39" t="s">
        <v>212</v>
      </c>
      <c r="C21" s="38" t="s">
        <v>213</v>
      </c>
      <c r="D21" s="9"/>
      <c r="E21" s="9"/>
      <c r="F21" s="10"/>
      <c r="G21" s="57" t="s">
        <v>281</v>
      </c>
      <c r="H21" s="11"/>
      <c r="J21" s="88"/>
    </row>
    <row r="22" spans="2:10" x14ac:dyDescent="0.25">
      <c r="B22" s="21" t="s">
        <v>483</v>
      </c>
      <c r="C22" s="38" t="s">
        <v>205</v>
      </c>
      <c r="D22" s="84" t="s">
        <v>344</v>
      </c>
      <c r="E22" s="84" t="s">
        <v>345</v>
      </c>
      <c r="F22" s="10">
        <v>1</v>
      </c>
      <c r="G22" s="9"/>
      <c r="H22" s="11"/>
    </row>
    <row r="23" spans="2:10" x14ac:dyDescent="0.25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5">
      <c r="B24" s="6"/>
      <c r="C24" s="7"/>
      <c r="D24" s="7" t="s">
        <v>56</v>
      </c>
      <c r="E24" s="7"/>
      <c r="F24" s="7"/>
      <c r="G24" s="7"/>
      <c r="H24" s="8"/>
    </row>
    <row r="25" spans="2:10" x14ac:dyDescent="0.25">
      <c r="B25" s="21" t="s">
        <v>311</v>
      </c>
      <c r="C25" s="68" t="s">
        <v>312</v>
      </c>
      <c r="D25" s="105" t="s">
        <v>504</v>
      </c>
      <c r="E25" s="84" t="s">
        <v>383</v>
      </c>
      <c r="F25" s="67"/>
      <c r="G25" s="105" t="s">
        <v>462</v>
      </c>
      <c r="H25" s="11"/>
    </row>
    <row r="26" spans="2:10" x14ac:dyDescent="0.25">
      <c r="B26" s="108" t="s">
        <v>505</v>
      </c>
      <c r="C26" s="105" t="s">
        <v>506</v>
      </c>
      <c r="D26" s="114" t="s">
        <v>64</v>
      </c>
      <c r="E26" s="114" t="s">
        <v>612</v>
      </c>
      <c r="F26" s="9"/>
      <c r="G26" s="9"/>
      <c r="H26" s="11"/>
    </row>
    <row r="27" spans="2:10" x14ac:dyDescent="0.25">
      <c r="B27" s="21" t="s">
        <v>463</v>
      </c>
      <c r="C27" s="103" t="s">
        <v>205</v>
      </c>
      <c r="D27" s="114" t="s">
        <v>529</v>
      </c>
      <c r="E27" s="103" t="s">
        <v>464</v>
      </c>
      <c r="F27" s="9"/>
      <c r="G27" s="114" t="s">
        <v>187</v>
      </c>
      <c r="H27" s="11"/>
    </row>
    <row r="28" spans="2:10" s="111" customFormat="1" ht="13" x14ac:dyDescent="0.3">
      <c r="B28" s="120" t="s">
        <v>341</v>
      </c>
      <c r="C28" s="117" t="s">
        <v>342</v>
      </c>
      <c r="D28" s="117" t="s">
        <v>64</v>
      </c>
      <c r="E28" s="117" t="s">
        <v>343</v>
      </c>
      <c r="F28" s="118"/>
      <c r="G28" s="117" t="s">
        <v>187</v>
      </c>
      <c r="H28" s="119"/>
    </row>
    <row r="29" spans="2:10" x14ac:dyDescent="0.25">
      <c r="B29" s="66" t="s">
        <v>313</v>
      </c>
      <c r="C29" s="68" t="s">
        <v>314</v>
      </c>
      <c r="D29" s="84" t="s">
        <v>382</v>
      </c>
      <c r="E29" s="68"/>
      <c r="F29" s="67"/>
      <c r="G29" s="9"/>
      <c r="H29" s="11"/>
    </row>
    <row r="30" spans="2:10" x14ac:dyDescent="0.25">
      <c r="B30" s="116" t="s">
        <v>609</v>
      </c>
      <c r="C30" s="84" t="s">
        <v>380</v>
      </c>
      <c r="D30" s="92" t="s">
        <v>382</v>
      </c>
      <c r="E30" s="84" t="s">
        <v>381</v>
      </c>
      <c r="F30" s="9"/>
      <c r="G30" s="9"/>
      <c r="H30" s="11"/>
    </row>
    <row r="31" spans="2:10" x14ac:dyDescent="0.25">
      <c r="B31" s="116" t="s">
        <v>548</v>
      </c>
      <c r="C31" s="114" t="s">
        <v>550</v>
      </c>
      <c r="D31" s="114" t="s">
        <v>382</v>
      </c>
      <c r="E31" s="114" t="s">
        <v>552</v>
      </c>
      <c r="F31" s="114" t="s">
        <v>549</v>
      </c>
      <c r="G31" s="114" t="s">
        <v>553</v>
      </c>
      <c r="H31" s="11"/>
    </row>
    <row r="32" spans="2:10" x14ac:dyDescent="0.25">
      <c r="B32" s="83" t="s">
        <v>384</v>
      </c>
      <c r="C32" s="114" t="s">
        <v>585</v>
      </c>
      <c r="D32" s="114" t="s">
        <v>382</v>
      </c>
      <c r="E32" s="38" t="s">
        <v>197</v>
      </c>
      <c r="F32" s="10">
        <v>1</v>
      </c>
      <c r="G32" s="9"/>
      <c r="H32" s="11"/>
    </row>
    <row r="33" spans="2:8" x14ac:dyDescent="0.25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5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5">
      <c r="B35" s="75" t="s">
        <v>320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5">
      <c r="B36" s="83" t="s">
        <v>370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5">
      <c r="B37" s="116" t="s">
        <v>577</v>
      </c>
      <c r="C37" s="38"/>
      <c r="D37" s="114" t="s">
        <v>64</v>
      </c>
      <c r="E37" s="114" t="s">
        <v>578</v>
      </c>
      <c r="F37" s="10">
        <v>1</v>
      </c>
      <c r="G37" s="9"/>
      <c r="H37" s="11"/>
    </row>
    <row r="38" spans="2:8" x14ac:dyDescent="0.25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5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5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5">
      <c r="B41" s="116" t="s">
        <v>587</v>
      </c>
      <c r="C41" s="38" t="s">
        <v>205</v>
      </c>
      <c r="D41" s="114" t="s">
        <v>182</v>
      </c>
      <c r="E41" s="114" t="s">
        <v>588</v>
      </c>
      <c r="F41" s="10">
        <v>1</v>
      </c>
      <c r="G41" s="9"/>
      <c r="H41" s="11"/>
    </row>
    <row r="42" spans="2:8" x14ac:dyDescent="0.25">
      <c r="B42" s="116" t="s">
        <v>580</v>
      </c>
      <c r="C42" s="114" t="s">
        <v>397</v>
      </c>
      <c r="D42" s="114" t="s">
        <v>182</v>
      </c>
      <c r="E42" s="114" t="s">
        <v>401</v>
      </c>
      <c r="F42" s="10">
        <v>1</v>
      </c>
      <c r="G42" s="9"/>
      <c r="H42" s="11"/>
    </row>
    <row r="43" spans="2:8" x14ac:dyDescent="0.25">
      <c r="B43" s="83" t="s">
        <v>371</v>
      </c>
      <c r="C43" s="84" t="s">
        <v>195</v>
      </c>
      <c r="D43" s="114" t="s">
        <v>64</v>
      </c>
      <c r="E43" s="84" t="s">
        <v>372</v>
      </c>
      <c r="F43" s="10">
        <v>1</v>
      </c>
      <c r="G43" s="9"/>
      <c r="H43" s="11"/>
    </row>
    <row r="44" spans="2:8" x14ac:dyDescent="0.25">
      <c r="B44" s="83" t="s">
        <v>373</v>
      </c>
      <c r="C44" s="84" t="s">
        <v>195</v>
      </c>
      <c r="D44" s="84" t="s">
        <v>64</v>
      </c>
      <c r="E44" s="114" t="s">
        <v>374</v>
      </c>
      <c r="F44" s="10"/>
      <c r="G44" s="9"/>
      <c r="H44" s="11"/>
    </row>
    <row r="45" spans="2:8" x14ac:dyDescent="0.25">
      <c r="B45" s="91" t="s">
        <v>393</v>
      </c>
      <c r="C45" s="92" t="s">
        <v>394</v>
      </c>
      <c r="D45" s="84"/>
      <c r="E45" s="114" t="s">
        <v>579</v>
      </c>
      <c r="F45" s="93" t="s">
        <v>395</v>
      </c>
      <c r="G45" s="9"/>
      <c r="H45" s="11"/>
    </row>
    <row r="46" spans="2:8" x14ac:dyDescent="0.25">
      <c r="B46" s="91" t="s">
        <v>396</v>
      </c>
      <c r="C46" s="92" t="s">
        <v>397</v>
      </c>
      <c r="D46" s="84"/>
      <c r="E46" s="92" t="s">
        <v>398</v>
      </c>
      <c r="F46" s="93" t="s">
        <v>399</v>
      </c>
      <c r="G46" s="9"/>
      <c r="H46" s="11"/>
    </row>
    <row r="47" spans="2:8" x14ac:dyDescent="0.25">
      <c r="B47" s="91" t="s">
        <v>400</v>
      </c>
      <c r="C47" s="92"/>
      <c r="D47" s="92" t="s">
        <v>182</v>
      </c>
      <c r="E47" s="92" t="s">
        <v>401</v>
      </c>
      <c r="F47" s="93" t="s">
        <v>402</v>
      </c>
      <c r="G47" s="9"/>
      <c r="H47" s="11"/>
    </row>
    <row r="48" spans="2:8" x14ac:dyDescent="0.25">
      <c r="B48" s="116" t="s">
        <v>610</v>
      </c>
      <c r="C48" s="114" t="s">
        <v>603</v>
      </c>
      <c r="D48" s="114" t="s">
        <v>64</v>
      </c>
      <c r="E48" s="114" t="s">
        <v>611</v>
      </c>
      <c r="F48" s="93"/>
      <c r="G48" s="9"/>
      <c r="H48" s="11"/>
    </row>
    <row r="49" spans="2:8" x14ac:dyDescent="0.25">
      <c r="B49" s="83" t="s">
        <v>353</v>
      </c>
      <c r="C49" s="84" t="s">
        <v>46</v>
      </c>
      <c r="D49" s="84" t="s">
        <v>64</v>
      </c>
      <c r="E49" s="84" t="s">
        <v>354</v>
      </c>
      <c r="F49" s="10"/>
      <c r="G49" s="9"/>
      <c r="H49" s="11"/>
    </row>
    <row r="50" spans="2:8" x14ac:dyDescent="0.25">
      <c r="B50" s="108" t="s">
        <v>477</v>
      </c>
      <c r="C50" s="105" t="s">
        <v>46</v>
      </c>
      <c r="D50" s="105" t="s">
        <v>64</v>
      </c>
      <c r="E50" s="104" t="s">
        <v>478</v>
      </c>
      <c r="F50" s="106" t="s">
        <v>479</v>
      </c>
      <c r="G50" s="9"/>
      <c r="H50" s="11"/>
    </row>
    <row r="51" spans="2:8" x14ac:dyDescent="0.25">
      <c r="B51" s="83" t="s">
        <v>357</v>
      </c>
      <c r="C51" s="114" t="s">
        <v>619</v>
      </c>
      <c r="D51" s="84" t="s">
        <v>182</v>
      </c>
      <c r="E51" s="84" t="s">
        <v>358</v>
      </c>
      <c r="F51" s="87" t="s">
        <v>359</v>
      </c>
      <c r="G51" s="9"/>
      <c r="H51" s="11"/>
    </row>
    <row r="52" spans="2:8" x14ac:dyDescent="0.25">
      <c r="B52" s="116" t="s">
        <v>593</v>
      </c>
      <c r="C52" s="114" t="s">
        <v>594</v>
      </c>
      <c r="D52" s="114" t="s">
        <v>64</v>
      </c>
      <c r="E52" s="114" t="s">
        <v>464</v>
      </c>
      <c r="F52" s="87"/>
      <c r="G52" s="9"/>
      <c r="H52" s="11"/>
    </row>
    <row r="53" spans="2:8" x14ac:dyDescent="0.25">
      <c r="B53" s="116" t="s">
        <v>592</v>
      </c>
      <c r="C53" s="103" t="s">
        <v>465</v>
      </c>
      <c r="D53" s="114" t="s">
        <v>182</v>
      </c>
      <c r="E53" s="103" t="s">
        <v>466</v>
      </c>
      <c r="F53" s="9"/>
      <c r="G53" s="9"/>
      <c r="H53" s="11"/>
    </row>
    <row r="54" spans="2:8" x14ac:dyDescent="0.25">
      <c r="B54" s="116" t="s">
        <v>589</v>
      </c>
      <c r="C54" s="114" t="s">
        <v>590</v>
      </c>
      <c r="D54" s="114" t="s">
        <v>64</v>
      </c>
      <c r="E54" s="114" t="s">
        <v>591</v>
      </c>
      <c r="F54" s="87">
        <v>1</v>
      </c>
      <c r="G54" s="9"/>
      <c r="H54" s="11"/>
    </row>
    <row r="55" spans="2:8" x14ac:dyDescent="0.25">
      <c r="B55" s="83" t="s">
        <v>364</v>
      </c>
      <c r="C55" s="84" t="s">
        <v>46</v>
      </c>
      <c r="D55" s="84" t="s">
        <v>64</v>
      </c>
      <c r="E55" s="84" t="s">
        <v>365</v>
      </c>
      <c r="F55" s="87" t="s">
        <v>366</v>
      </c>
      <c r="G55" s="9"/>
      <c r="H55" s="11"/>
    </row>
    <row r="56" spans="2:8" x14ac:dyDescent="0.25">
      <c r="B56" s="83" t="s">
        <v>367</v>
      </c>
      <c r="C56" s="84" t="s">
        <v>368</v>
      </c>
      <c r="D56" s="84" t="s">
        <v>64</v>
      </c>
      <c r="E56" s="84" t="s">
        <v>369</v>
      </c>
      <c r="F56" s="87"/>
      <c r="G56" s="9"/>
      <c r="H56" s="11"/>
    </row>
    <row r="57" spans="2:8" x14ac:dyDescent="0.25">
      <c r="B57" s="83" t="s">
        <v>360</v>
      </c>
      <c r="C57" s="84" t="s">
        <v>361</v>
      </c>
      <c r="D57" s="84" t="s">
        <v>64</v>
      </c>
      <c r="E57" s="84" t="s">
        <v>362</v>
      </c>
      <c r="F57" s="87" t="s">
        <v>363</v>
      </c>
      <c r="G57" s="9"/>
      <c r="H57" s="11"/>
    </row>
    <row r="58" spans="2:8" x14ac:dyDescent="0.25">
      <c r="B58" s="83" t="s">
        <v>349</v>
      </c>
      <c r="C58" s="84" t="s">
        <v>175</v>
      </c>
      <c r="D58" s="114" t="s">
        <v>182</v>
      </c>
      <c r="E58" s="114" t="s">
        <v>584</v>
      </c>
      <c r="F58" s="114" t="s">
        <v>583</v>
      </c>
      <c r="G58" s="9"/>
      <c r="H58" s="11"/>
    </row>
    <row r="59" spans="2:8" x14ac:dyDescent="0.25">
      <c r="B59" s="83" t="s">
        <v>350</v>
      </c>
      <c r="C59" s="114" t="s">
        <v>586</v>
      </c>
      <c r="D59" s="84" t="s">
        <v>64</v>
      </c>
      <c r="E59" s="84" t="s">
        <v>351</v>
      </c>
      <c r="F59" s="84" t="s">
        <v>352</v>
      </c>
      <c r="G59" s="9"/>
      <c r="H59" s="11"/>
    </row>
    <row r="60" spans="2:8" x14ac:dyDescent="0.25">
      <c r="B60" s="83" t="s">
        <v>347</v>
      </c>
      <c r="C60" s="114" t="s">
        <v>581</v>
      </c>
      <c r="D60" s="114" t="s">
        <v>64</v>
      </c>
      <c r="E60" s="114" t="s">
        <v>348</v>
      </c>
      <c r="F60" s="114" t="s">
        <v>582</v>
      </c>
      <c r="G60" s="9"/>
      <c r="H60" s="11"/>
    </row>
    <row r="61" spans="2:8" x14ac:dyDescent="0.25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5">
      <c r="B62" s="116" t="s">
        <v>604</v>
      </c>
      <c r="C62" s="114" t="s">
        <v>605</v>
      </c>
      <c r="D62" s="114" t="s">
        <v>182</v>
      </c>
      <c r="E62" s="114" t="s">
        <v>606</v>
      </c>
      <c r="F62" s="9"/>
      <c r="G62" s="9"/>
      <c r="H62" s="11"/>
    </row>
    <row r="63" spans="2:8" x14ac:dyDescent="0.25">
      <c r="B63" s="116" t="s">
        <v>607</v>
      </c>
      <c r="C63" s="114"/>
      <c r="D63" s="114" t="s">
        <v>182</v>
      </c>
      <c r="E63" s="114" t="s">
        <v>608</v>
      </c>
      <c r="F63" s="114" t="s">
        <v>363</v>
      </c>
      <c r="G63" s="9"/>
      <c r="H63" s="11"/>
    </row>
    <row r="64" spans="2:8" x14ac:dyDescent="0.25">
      <c r="B64" s="116" t="s">
        <v>602</v>
      </c>
      <c r="C64" s="114" t="s">
        <v>603</v>
      </c>
      <c r="D64" s="114" t="s">
        <v>182</v>
      </c>
      <c r="E64" s="92"/>
      <c r="F64" s="9"/>
      <c r="G64" s="9"/>
      <c r="H64" s="11"/>
    </row>
    <row r="65" spans="2:8" x14ac:dyDescent="0.25">
      <c r="B65" s="91" t="s">
        <v>407</v>
      </c>
      <c r="C65" s="92" t="s">
        <v>409</v>
      </c>
      <c r="D65" s="92" t="s">
        <v>182</v>
      </c>
      <c r="E65" s="92" t="s">
        <v>408</v>
      </c>
      <c r="F65" s="9"/>
      <c r="G65" s="9"/>
      <c r="H65" s="11"/>
    </row>
    <row r="66" spans="2:8" x14ac:dyDescent="0.25">
      <c r="B66" s="61" t="s">
        <v>282</v>
      </c>
      <c r="C66" s="57" t="s">
        <v>283</v>
      </c>
      <c r="D66" s="57" t="s">
        <v>182</v>
      </c>
      <c r="E66" s="57" t="s">
        <v>284</v>
      </c>
      <c r="F66" s="10">
        <v>1</v>
      </c>
      <c r="G66" s="9"/>
      <c r="H66" s="11"/>
    </row>
    <row r="67" spans="2:8" x14ac:dyDescent="0.25">
      <c r="B67" s="4" t="s">
        <v>42</v>
      </c>
      <c r="C67" s="9" t="s">
        <v>65</v>
      </c>
      <c r="D67" s="9" t="s">
        <v>64</v>
      </c>
      <c r="E67" s="9" t="s">
        <v>43</v>
      </c>
      <c r="F67" s="10">
        <v>1</v>
      </c>
      <c r="G67" s="9"/>
      <c r="H67" s="11"/>
    </row>
    <row r="68" spans="2:8" x14ac:dyDescent="0.25">
      <c r="B68" s="116" t="s">
        <v>615</v>
      </c>
      <c r="C68" s="114" t="s">
        <v>616</v>
      </c>
      <c r="D68" s="114" t="s">
        <v>64</v>
      </c>
      <c r="E68" s="114" t="s">
        <v>617</v>
      </c>
      <c r="F68" s="10">
        <v>1</v>
      </c>
      <c r="G68" s="9"/>
      <c r="H68" s="11"/>
    </row>
    <row r="69" spans="2:8" x14ac:dyDescent="0.25">
      <c r="B69" s="116" t="s">
        <v>598</v>
      </c>
      <c r="C69" s="9"/>
      <c r="D69" s="114" t="s">
        <v>182</v>
      </c>
      <c r="E69" s="114" t="s">
        <v>599</v>
      </c>
      <c r="F69" s="10">
        <v>1</v>
      </c>
      <c r="G69" s="9"/>
      <c r="H69" s="11"/>
    </row>
    <row r="70" spans="2:8" x14ac:dyDescent="0.25">
      <c r="B70" s="116" t="s">
        <v>600</v>
      </c>
      <c r="C70" s="9"/>
      <c r="D70" s="114" t="s">
        <v>182</v>
      </c>
      <c r="E70" s="114" t="s">
        <v>601</v>
      </c>
      <c r="F70" s="10">
        <v>1</v>
      </c>
      <c r="G70" s="9"/>
      <c r="H70" s="11"/>
    </row>
    <row r="71" spans="2:8" x14ac:dyDescent="0.25">
      <c r="B71" s="116" t="s">
        <v>595</v>
      </c>
      <c r="C71" s="114" t="s">
        <v>597</v>
      </c>
      <c r="D71" s="114" t="s">
        <v>182</v>
      </c>
      <c r="E71" s="114" t="s">
        <v>596</v>
      </c>
      <c r="F71" s="10">
        <v>1</v>
      </c>
      <c r="G71" s="9"/>
      <c r="H71" s="11"/>
    </row>
    <row r="72" spans="2:8" x14ac:dyDescent="0.25">
      <c r="B72" s="83" t="s">
        <v>378</v>
      </c>
      <c r="C72" s="84" t="s">
        <v>195</v>
      </c>
      <c r="D72" s="84" t="s">
        <v>182</v>
      </c>
      <c r="E72" s="84" t="s">
        <v>379</v>
      </c>
      <c r="F72" s="10">
        <v>1</v>
      </c>
      <c r="G72" s="9"/>
      <c r="H72" s="11"/>
    </row>
    <row r="73" spans="2:8" x14ac:dyDescent="0.25">
      <c r="B73" s="116" t="s">
        <v>543</v>
      </c>
      <c r="C73" s="114" t="s">
        <v>380</v>
      </c>
      <c r="D73" s="114" t="s">
        <v>182</v>
      </c>
      <c r="E73" s="114" t="s">
        <v>544</v>
      </c>
      <c r="F73" s="114" t="s">
        <v>545</v>
      </c>
      <c r="G73" s="9"/>
      <c r="H73" s="11"/>
    </row>
    <row r="74" spans="2:8" x14ac:dyDescent="0.25">
      <c r="B74" s="116" t="s">
        <v>613</v>
      </c>
      <c r="C74" s="114" t="s">
        <v>614</v>
      </c>
      <c r="D74" s="114" t="s">
        <v>182</v>
      </c>
      <c r="E74" s="114"/>
      <c r="F74" s="114"/>
      <c r="G74" s="9"/>
      <c r="H74" s="11"/>
    </row>
    <row r="75" spans="2:8" x14ac:dyDescent="0.25">
      <c r="B75" s="83" t="s">
        <v>375</v>
      </c>
      <c r="C75" s="84" t="s">
        <v>195</v>
      </c>
      <c r="D75" s="114" t="s">
        <v>182</v>
      </c>
      <c r="E75" s="84" t="s">
        <v>376</v>
      </c>
      <c r="F75" s="84" t="s">
        <v>377</v>
      </c>
      <c r="G75" s="9"/>
      <c r="H75" s="11"/>
    </row>
    <row r="76" spans="2:8" x14ac:dyDescent="0.25">
      <c r="B76" s="4" t="s">
        <v>44</v>
      </c>
      <c r="C76" s="9" t="s">
        <v>45</v>
      </c>
      <c r="D76" s="9"/>
      <c r="E76" s="9"/>
      <c r="F76" s="9"/>
      <c r="G76" s="9"/>
      <c r="H76" s="11"/>
    </row>
    <row r="77" spans="2:8" x14ac:dyDescent="0.25">
      <c r="B77" s="5" t="s">
        <v>47</v>
      </c>
      <c r="C77" s="12"/>
      <c r="D77" s="12"/>
      <c r="E77" s="12"/>
      <c r="F77" s="12"/>
      <c r="G77" s="12"/>
      <c r="H77" s="13"/>
    </row>
    <row r="79" spans="2:8" ht="13" x14ac:dyDescent="0.3">
      <c r="E79" s="112" t="s">
        <v>546</v>
      </c>
    </row>
    <row r="80" spans="2:8" ht="13" x14ac:dyDescent="0.3">
      <c r="E80" s="112" t="s">
        <v>551</v>
      </c>
    </row>
    <row r="81" spans="5:5" ht="13" x14ac:dyDescent="0.3">
      <c r="E81" s="112" t="s">
        <v>509</v>
      </c>
    </row>
    <row r="82" spans="5:5" ht="13" x14ac:dyDescent="0.3">
      <c r="E82" s="112" t="s">
        <v>510</v>
      </c>
    </row>
    <row r="83" spans="5:5" ht="13" x14ac:dyDescent="0.3">
      <c r="E83" s="112" t="s">
        <v>511</v>
      </c>
    </row>
    <row r="84" spans="5:5" ht="13" x14ac:dyDescent="0.3">
      <c r="E84" s="112" t="s">
        <v>513</v>
      </c>
    </row>
    <row r="85" spans="5:5" ht="13" x14ac:dyDescent="0.3">
      <c r="E85" s="112" t="s">
        <v>514</v>
      </c>
    </row>
    <row r="86" spans="5:5" ht="13" x14ac:dyDescent="0.3">
      <c r="E86" s="112" t="s">
        <v>541</v>
      </c>
    </row>
    <row r="87" spans="5:5" ht="13" x14ac:dyDescent="0.3">
      <c r="E87" s="112" t="s">
        <v>530</v>
      </c>
    </row>
    <row r="88" spans="5:5" ht="13" x14ac:dyDescent="0.3">
      <c r="E88" s="112" t="s">
        <v>531</v>
      </c>
    </row>
    <row r="89" spans="5:5" ht="13" x14ac:dyDescent="0.3">
      <c r="E89" s="112" t="s">
        <v>540</v>
      </c>
    </row>
    <row r="90" spans="5:5" ht="13" x14ac:dyDescent="0.3">
      <c r="E90" s="112" t="s">
        <v>542</v>
      </c>
    </row>
    <row r="91" spans="5:5" ht="13" x14ac:dyDescent="0.3">
      <c r="E91" s="112" t="s">
        <v>554</v>
      </c>
    </row>
    <row r="92" spans="5:5" ht="13" x14ac:dyDescent="0.3">
      <c r="E92" s="112" t="s">
        <v>556</v>
      </c>
    </row>
    <row r="93" spans="5:5" ht="13" x14ac:dyDescent="0.3">
      <c r="E93" s="112" t="s">
        <v>555</v>
      </c>
    </row>
    <row r="94" spans="5:5" ht="13" x14ac:dyDescent="0.3">
      <c r="E94" s="112" t="s">
        <v>563</v>
      </c>
    </row>
    <row r="95" spans="5:5" ht="13" x14ac:dyDescent="0.3">
      <c r="E95" s="112" t="s">
        <v>571</v>
      </c>
    </row>
    <row r="96" spans="5:5" ht="13" x14ac:dyDescent="0.3">
      <c r="E96" s="112" t="s">
        <v>573</v>
      </c>
    </row>
    <row r="97" spans="5:5" ht="13" x14ac:dyDescent="0.3">
      <c r="E97" s="112" t="s">
        <v>459</v>
      </c>
    </row>
    <row r="98" spans="5:5" ht="13" x14ac:dyDescent="0.3">
      <c r="E98" s="112" t="s">
        <v>575</v>
      </c>
    </row>
    <row r="99" spans="5:5" ht="13" x14ac:dyDescent="0.3">
      <c r="E99" s="112" t="s">
        <v>576</v>
      </c>
    </row>
    <row r="100" spans="5:5" ht="13" x14ac:dyDescent="0.3">
      <c r="E100" s="112" t="s">
        <v>618</v>
      </c>
    </row>
    <row r="101" spans="5:5" ht="13" x14ac:dyDescent="0.3">
      <c r="E101" s="112" t="s">
        <v>620</v>
      </c>
    </row>
    <row r="102" spans="5:5" ht="13" x14ac:dyDescent="0.3">
      <c r="E102" s="112" t="s">
        <v>623</v>
      </c>
    </row>
    <row r="103" spans="5:5" ht="13" x14ac:dyDescent="0.3">
      <c r="E103" s="112" t="s">
        <v>625</v>
      </c>
    </row>
    <row r="104" spans="5:5" ht="13" x14ac:dyDescent="0.3">
      <c r="E104" s="112" t="s">
        <v>629</v>
      </c>
    </row>
    <row r="105" spans="5:5" ht="13" x14ac:dyDescent="0.3">
      <c r="E105" s="112" t="s">
        <v>630</v>
      </c>
    </row>
    <row r="106" spans="5:5" ht="13" x14ac:dyDescent="0.3">
      <c r="E106" s="112" t="s">
        <v>631</v>
      </c>
    </row>
    <row r="107" spans="5:5" ht="13" x14ac:dyDescent="0.3">
      <c r="E107" s="112" t="s">
        <v>632</v>
      </c>
    </row>
    <row r="108" spans="5:5" ht="13" x14ac:dyDescent="0.3">
      <c r="E108" s="112" t="s">
        <v>636</v>
      </c>
    </row>
    <row r="109" spans="5:5" ht="13" x14ac:dyDescent="0.3">
      <c r="E109" s="112" t="s">
        <v>642</v>
      </c>
    </row>
    <row r="110" spans="5:5" ht="13" x14ac:dyDescent="0.3">
      <c r="E110" s="112" t="s">
        <v>652</v>
      </c>
    </row>
    <row r="111" spans="5:5" x14ac:dyDescent="0.25">
      <c r="E111" s="85" t="s">
        <v>337</v>
      </c>
    </row>
    <row r="112" spans="5:5" x14ac:dyDescent="0.25">
      <c r="E112" s="85" t="s">
        <v>339</v>
      </c>
    </row>
    <row r="113" spans="5:5" x14ac:dyDescent="0.25">
      <c r="E113" s="85" t="s">
        <v>340</v>
      </c>
    </row>
    <row r="114" spans="5:5" x14ac:dyDescent="0.25">
      <c r="E114" s="56" t="s">
        <v>251</v>
      </c>
    </row>
    <row r="116" spans="5:5" ht="13" x14ac:dyDescent="0.3">
      <c r="E116" s="86" t="s">
        <v>70</v>
      </c>
    </row>
    <row r="117" spans="5:5" x14ac:dyDescent="0.25">
      <c r="E117" s="85" t="s">
        <v>346</v>
      </c>
    </row>
    <row r="118" spans="5:5" x14ac:dyDescent="0.25">
      <c r="E118" s="85" t="s">
        <v>385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7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8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7"/>
  <sheetViews>
    <sheetView zoomScale="145" zoomScaleNormal="145" workbookViewId="0">
      <pane xSplit="2" ySplit="2" topLeftCell="DL3" activePane="bottomRight" state="frozen"/>
      <selection pane="topRight" activeCell="C1" sqref="C1"/>
      <selection pane="bottomLeft" activeCell="A3" sqref="A3"/>
      <selection pane="bottomRight" activeCell="DS10" sqref="DS10"/>
    </sheetView>
  </sheetViews>
  <sheetFormatPr defaultColWidth="9.1796875" defaultRowHeight="12.5" x14ac:dyDescent="0.25"/>
  <cols>
    <col min="1" max="1" width="5" style="1" bestFit="1" customWidth="1"/>
    <col min="2" max="2" width="21.26953125" style="1" customWidth="1"/>
    <col min="3" max="115" width="9.1796875" style="2"/>
    <col min="116" max="117" width="9.1796875" style="1"/>
    <col min="118" max="121" width="9.54296875" style="1" customWidth="1"/>
    <col min="122" max="16384" width="9.1796875" style="1"/>
  </cols>
  <sheetData>
    <row r="1" spans="1:121" x14ac:dyDescent="0.25">
      <c r="A1" s="20" t="s">
        <v>74</v>
      </c>
    </row>
    <row r="2" spans="1:121" x14ac:dyDescent="0.25">
      <c r="C2" s="97" t="s">
        <v>450</v>
      </c>
      <c r="D2" s="97" t="s">
        <v>451</v>
      </c>
      <c r="E2" s="97" t="s">
        <v>452</v>
      </c>
      <c r="F2" s="97" t="s">
        <v>453</v>
      </c>
      <c r="G2" s="97" t="s">
        <v>446</v>
      </c>
      <c r="H2" s="97" t="s">
        <v>447</v>
      </c>
      <c r="I2" s="97" t="s">
        <v>448</v>
      </c>
      <c r="J2" s="97" t="s">
        <v>449</v>
      </c>
      <c r="K2" s="97" t="s">
        <v>441</v>
      </c>
      <c r="L2" s="97" t="s">
        <v>442</v>
      </c>
      <c r="M2" s="97" t="s">
        <v>443</v>
      </c>
      <c r="N2" s="97" t="s">
        <v>444</v>
      </c>
      <c r="O2" s="97" t="s">
        <v>434</v>
      </c>
      <c r="P2" s="97" t="s">
        <v>435</v>
      </c>
      <c r="Q2" s="97" t="s">
        <v>436</v>
      </c>
      <c r="R2" s="97" t="s">
        <v>437</v>
      </c>
      <c r="S2" s="97" t="s">
        <v>429</v>
      </c>
      <c r="T2" s="97" t="s">
        <v>430</v>
      </c>
      <c r="U2" s="97" t="s">
        <v>431</v>
      </c>
      <c r="V2" s="97" t="s">
        <v>432</v>
      </c>
      <c r="W2" s="97" t="s">
        <v>424</v>
      </c>
      <c r="X2" s="97" t="s">
        <v>425</v>
      </c>
      <c r="Y2" s="97" t="s">
        <v>426</v>
      </c>
      <c r="Z2" s="97" t="s">
        <v>427</v>
      </c>
      <c r="AA2" s="97" t="s">
        <v>418</v>
      </c>
      <c r="AB2" s="97" t="s">
        <v>419</v>
      </c>
      <c r="AC2" s="97" t="s">
        <v>420</v>
      </c>
      <c r="AD2" s="97" t="s">
        <v>421</v>
      </c>
      <c r="AE2" s="97" t="s">
        <v>414</v>
      </c>
      <c r="AF2" s="97" t="s">
        <v>415</v>
      </c>
      <c r="AG2" s="97" t="s">
        <v>416</v>
      </c>
      <c r="AH2" s="97" t="s">
        <v>417</v>
      </c>
      <c r="AI2" s="97" t="s">
        <v>410</v>
      </c>
      <c r="AJ2" s="97" t="s">
        <v>411</v>
      </c>
      <c r="AK2" s="97" t="s">
        <v>412</v>
      </c>
      <c r="AL2" s="97" t="s">
        <v>413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321</v>
      </c>
      <c r="CJ2" s="78" t="s">
        <v>322</v>
      </c>
      <c r="CK2" s="78" t="s">
        <v>324</v>
      </c>
      <c r="CL2" s="78" t="s">
        <v>323</v>
      </c>
      <c r="CM2" s="101" t="s">
        <v>455</v>
      </c>
      <c r="CN2" s="101" t="s">
        <v>456</v>
      </c>
      <c r="CO2" s="101" t="s">
        <v>457</v>
      </c>
      <c r="CP2" s="101" t="s">
        <v>458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5">
      <c r="B3" s="55" t="s">
        <v>249</v>
      </c>
      <c r="BC3" s="22"/>
      <c r="BD3" s="71">
        <f t="shared" ref="BD3:BJ3" si="2">+BD5+BD8+BD12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+BK5+BK8+BK12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+BQ5+BQ8+BQ12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+BW5+BW8+BW12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+CD5+CD8+CD12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6845.8</v>
      </c>
      <c r="CM3" s="71">
        <f t="shared" si="6"/>
        <v>5493.7000000000007</v>
      </c>
      <c r="CN3" s="71">
        <f t="shared" si="6"/>
        <v>7228.85</v>
      </c>
      <c r="CO3" s="71">
        <f t="shared" si="6"/>
        <v>7761.15</v>
      </c>
      <c r="CP3" s="71">
        <f t="shared" si="6"/>
        <v>7673.4549999999999</v>
      </c>
      <c r="CQ3" s="44"/>
      <c r="CR3" s="44"/>
      <c r="CZ3" s="16">
        <f>+CZ5+CZ8+CZ12</f>
        <v>19936</v>
      </c>
      <c r="DA3" s="16">
        <f>+DA5+DA8+DA12</f>
        <v>19571</v>
      </c>
      <c r="DB3" s="16">
        <f>+DB5+DB8+DB12</f>
        <v>22153</v>
      </c>
      <c r="DC3" s="16">
        <f t="shared" ref="DC3:DL3" si="7">+DC5+DC8+DC12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26233.8</v>
      </c>
      <c r="DG3" s="16">
        <f t="shared" si="7"/>
        <v>28157.154999999999</v>
      </c>
      <c r="DH3" s="16">
        <f t="shared" si="7"/>
        <v>28994.218950000002</v>
      </c>
      <c r="DI3" s="16">
        <f t="shared" si="7"/>
        <v>30367.860358500002</v>
      </c>
      <c r="DJ3" s="16">
        <f t="shared" si="7"/>
        <v>29387.503401255002</v>
      </c>
      <c r="DK3" s="16">
        <f t="shared" si="7"/>
        <v>29323.432119292647</v>
      </c>
      <c r="DL3" s="16">
        <f t="shared" si="7"/>
        <v>29730.28689087143</v>
      </c>
    </row>
    <row r="4" spans="1:121" x14ac:dyDescent="0.25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5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f>+CH5*0.6</f>
        <v>1982.3999999999999</v>
      </c>
      <c r="CM5" s="16">
        <f t="shared" ref="CM5:CP5" si="8">+CI5*0.6</f>
        <v>1362</v>
      </c>
      <c r="CN5" s="16">
        <f t="shared" si="8"/>
        <v>1688.3999999999999</v>
      </c>
      <c r="CO5" s="16">
        <f t="shared" si="8"/>
        <v>1336.2</v>
      </c>
      <c r="CP5" s="16">
        <f t="shared" si="8"/>
        <v>1189.4399999999998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9293.4</v>
      </c>
      <c r="DG5" s="16">
        <f>SUM(CM5:CP5)</f>
        <v>5576.0399999999991</v>
      </c>
      <c r="DH5" s="16">
        <f>+DG5*0.8</f>
        <v>4460.8319999999994</v>
      </c>
      <c r="DI5" s="16">
        <f>+DH5*0.8</f>
        <v>3568.6655999999998</v>
      </c>
      <c r="DJ5" s="16">
        <f t="shared" ref="DJ5:DL5" si="9">+DI5*0.5</f>
        <v>1784.3327999999999</v>
      </c>
      <c r="DK5" s="16">
        <f t="shared" si="9"/>
        <v>892.16639999999995</v>
      </c>
      <c r="DL5" s="16">
        <f t="shared" si="9"/>
        <v>446.08319999999998</v>
      </c>
      <c r="DM5" s="16">
        <f t="shared" ref="DM5" si="10">+DL5*0.5</f>
        <v>223.04159999999999</v>
      </c>
      <c r="DN5" s="16">
        <f t="shared" ref="DN5" si="11">+DM5*0.5</f>
        <v>111.52079999999999</v>
      </c>
      <c r="DO5" s="16">
        <f t="shared" ref="DO5" si="12">+DN5*0.5</f>
        <v>55.760399999999997</v>
      </c>
      <c r="DP5" s="16">
        <f t="shared" ref="DP5" si="13">+DO5*0.5</f>
        <v>27.880199999999999</v>
      </c>
      <c r="DQ5" s="16">
        <f t="shared" ref="DQ5" si="14">+DP5*0.5</f>
        <v>13.940099999999999</v>
      </c>
    </row>
    <row r="6" spans="1:121" s="15" customFormat="1" x14ac:dyDescent="0.25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317</v>
      </c>
      <c r="CE6" s="73" t="s">
        <v>318</v>
      </c>
      <c r="CF6" s="82" t="s">
        <v>329</v>
      </c>
      <c r="CG6" s="82" t="s">
        <v>328</v>
      </c>
      <c r="CH6" s="82" t="s">
        <v>334</v>
      </c>
      <c r="CI6" s="80" t="s">
        <v>327</v>
      </c>
      <c r="CJ6" s="90" t="s">
        <v>387</v>
      </c>
      <c r="CK6" s="100" t="s">
        <v>454</v>
      </c>
      <c r="CL6" s="82" t="s">
        <v>335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60" si="15">SUM(BK6:BN6)</f>
        <v>0</v>
      </c>
      <c r="DA6" s="16">
        <f t="shared" ref="DA6:DA54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336</v>
      </c>
      <c r="DF6" s="16"/>
      <c r="DG6" s="16"/>
      <c r="DH6" s="16"/>
      <c r="DI6" s="16"/>
      <c r="DJ6" s="16"/>
      <c r="DK6" s="16"/>
    </row>
    <row r="7" spans="1:121" s="15" customFormat="1" x14ac:dyDescent="0.25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f>+CH7*0.95</f>
        <v>857.84999999999991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814.95749999999987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4" si="18">SUM(BS7:BV7)</f>
        <v>5314</v>
      </c>
      <c r="DC7" s="16">
        <f t="shared" ref="DC7:DC55" si="19">SUM(BW7:BZ7)</f>
        <v>5408</v>
      </c>
      <c r="DD7" s="16">
        <f t="shared" ref="DD7:DD55" si="20">SUM(CA7:CD7)</f>
        <v>4568</v>
      </c>
      <c r="DE7" s="16">
        <f t="shared" ref="DE7:DE26" si="21">SUM(CE7:CH7)</f>
        <v>3596</v>
      </c>
      <c r="DF7" s="16">
        <f t="shared" ref="DF7:DF30" si="22">SUM(CI7:CL7)</f>
        <v>3356.85</v>
      </c>
      <c r="DG7" s="16">
        <f t="shared" ref="DG7:DG30" si="23">SUM(CM7:CP7)</f>
        <v>3189.0074999999997</v>
      </c>
      <c r="DH7" s="16">
        <f t="shared" ref="DH7:DL7" si="24">+DG7*0.9</f>
        <v>2870.1067499999999</v>
      </c>
      <c r="DI7" s="16">
        <f t="shared" si="24"/>
        <v>2583.0960749999999</v>
      </c>
      <c r="DJ7" s="16">
        <f t="shared" si="24"/>
        <v>2324.7864675000001</v>
      </c>
      <c r="DK7" s="16">
        <f t="shared" si="24"/>
        <v>2092.3078207500002</v>
      </c>
      <c r="DL7" s="16">
        <f t="shared" si="24"/>
        <v>1883.0770386750003</v>
      </c>
      <c r="DM7" s="16">
        <f t="shared" ref="DM7" si="25">+DL7*0.9</f>
        <v>1694.7693348075002</v>
      </c>
      <c r="DN7" s="16">
        <f t="shared" ref="DN7" si="26">+DM7*0.9</f>
        <v>1525.2924013267502</v>
      </c>
      <c r="DO7" s="16">
        <f t="shared" ref="DO7" si="27">+DN7*0.9</f>
        <v>1372.7631611940753</v>
      </c>
      <c r="DP7" s="16">
        <f t="shared" ref="DP7" si="28">+DO7*0.9</f>
        <v>1235.4868450746678</v>
      </c>
      <c r="DQ7" s="16">
        <f t="shared" ref="DQ7" si="29">+DP7*0.9</f>
        <v>1111.9381605672011</v>
      </c>
    </row>
    <row r="8" spans="1:121" s="15" customFormat="1" x14ac:dyDescent="0.25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f>+CH8*1.35</f>
        <v>3231.9</v>
      </c>
      <c r="CM8" s="16">
        <f>+CI8*1.35</f>
        <v>2710.8</v>
      </c>
      <c r="CN8" s="16">
        <f>+CJ8*1.35</f>
        <v>3681.4500000000003</v>
      </c>
      <c r="CO8" s="16">
        <f>+CK8*1.35</f>
        <v>4326.75</v>
      </c>
      <c r="CP8" s="16">
        <f>+CL8*1.35</f>
        <v>4363.0650000000005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11171.9</v>
      </c>
      <c r="DG8" s="16">
        <f t="shared" si="23"/>
        <v>15082.065000000001</v>
      </c>
      <c r="DH8" s="16">
        <f>+DG8*1.03</f>
        <v>15534.526950000001</v>
      </c>
      <c r="DI8" s="16">
        <f t="shared" ref="DI8:DL8" si="30">+DH8*1.03</f>
        <v>16000.562758500002</v>
      </c>
      <c r="DJ8" s="16">
        <f t="shared" si="30"/>
        <v>16480.579641255001</v>
      </c>
      <c r="DK8" s="16">
        <f t="shared" si="30"/>
        <v>16974.99703049265</v>
      </c>
      <c r="DL8" s="16">
        <f t="shared" si="30"/>
        <v>17484.246941407429</v>
      </c>
      <c r="DM8" s="16">
        <f t="shared" ref="DM8" si="31">+DL8*1.03</f>
        <v>18008.774349649651</v>
      </c>
      <c r="DN8" s="16">
        <f t="shared" ref="DN8" si="32">+DM8*1.03</f>
        <v>18549.037580139142</v>
      </c>
      <c r="DO8" s="16">
        <f t="shared" ref="DO8" si="33">+DN8*1.03</f>
        <v>19105.508707543318</v>
      </c>
      <c r="DP8" s="16">
        <f t="shared" ref="DP8" si="34">+DO8*1.03</f>
        <v>19678.673968769617</v>
      </c>
      <c r="DQ8" s="16">
        <f t="shared" ref="DQ8" si="35">+DP8*1.03</f>
        <v>20269.034187832705</v>
      </c>
    </row>
    <row r="9" spans="1:121" s="15" customFormat="1" x14ac:dyDescent="0.25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f>+CH9*0.97</f>
        <v>696.46</v>
      </c>
      <c r="CM9" s="16">
        <f t="shared" ref="CM9:CP9" si="36">+CI9*0.97</f>
        <v>614.01</v>
      </c>
      <c r="CN9" s="16">
        <f t="shared" si="36"/>
        <v>707.13</v>
      </c>
      <c r="CO9" s="16">
        <f t="shared" si="36"/>
        <v>650.87</v>
      </c>
      <c r="CP9" s="16">
        <f t="shared" si="36"/>
        <v>675.56619999999998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2729.46</v>
      </c>
      <c r="DG9" s="16">
        <f t="shared" si="23"/>
        <v>2647.5761999999995</v>
      </c>
      <c r="DH9" s="16">
        <f t="shared" ref="DH9:DL9" si="37">+DG9*1.05</f>
        <v>2779.9550099999997</v>
      </c>
      <c r="DI9" s="16">
        <f t="shared" si="37"/>
        <v>2918.9527604999998</v>
      </c>
      <c r="DJ9" s="16">
        <f t="shared" si="37"/>
        <v>3064.9003985250001</v>
      </c>
      <c r="DK9" s="16">
        <f t="shared" si="37"/>
        <v>3218.1454184512504</v>
      </c>
      <c r="DL9" s="16">
        <f t="shared" si="37"/>
        <v>3379.0526893738129</v>
      </c>
      <c r="DM9" s="16">
        <f t="shared" ref="DM9:DM10" si="38">+DL9*1.05</f>
        <v>3548.0053238425035</v>
      </c>
      <c r="DN9" s="16">
        <f t="shared" ref="DN9:DN10" si="39">+DM9*1.05</f>
        <v>3725.4055900346289</v>
      </c>
      <c r="DO9" s="16">
        <f t="shared" ref="DO9:DO10" si="40">+DN9*1.05</f>
        <v>3911.6758695363606</v>
      </c>
      <c r="DP9" s="16">
        <f t="shared" ref="DP9:DP10" si="41">+DO9*1.05</f>
        <v>4107.2596630131784</v>
      </c>
      <c r="DQ9" s="16">
        <f t="shared" ref="DQ9:DQ10" si="42">+DP9*1.05</f>
        <v>4312.6226461638371</v>
      </c>
    </row>
    <row r="10" spans="1:121" s="15" customFormat="1" x14ac:dyDescent="0.25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f>+CH10*1.03</f>
        <v>799.28</v>
      </c>
      <c r="CM10" s="16">
        <f t="shared" ref="CM10:CP10" si="43">+CI10*1.03</f>
        <v>770.44</v>
      </c>
      <c r="CN10" s="16">
        <f t="shared" si="43"/>
        <v>838.42000000000007</v>
      </c>
      <c r="CO10" s="16">
        <f t="shared" si="43"/>
        <v>873.44</v>
      </c>
      <c r="CP10" s="16">
        <f t="shared" si="43"/>
        <v>823.25839999999994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3209.2799999999997</v>
      </c>
      <c r="DG10" s="16">
        <f t="shared" si="23"/>
        <v>3305.5583999999999</v>
      </c>
      <c r="DH10" s="16">
        <f t="shared" ref="DH10:DL10" si="44">+DG10*1.05</f>
        <v>3470.8363199999999</v>
      </c>
      <c r="DI10" s="16">
        <f t="shared" si="44"/>
        <v>3644.3781359999998</v>
      </c>
      <c r="DJ10" s="16">
        <f t="shared" si="44"/>
        <v>3826.5970428000001</v>
      </c>
      <c r="DK10" s="16">
        <f t="shared" si="44"/>
        <v>4017.9268949400002</v>
      </c>
      <c r="DL10" s="16">
        <f t="shared" si="44"/>
        <v>4218.8232396870008</v>
      </c>
      <c r="DM10" s="16">
        <f t="shared" si="38"/>
        <v>4429.7644016713512</v>
      </c>
      <c r="DN10" s="16">
        <f t="shared" si="39"/>
        <v>4651.2526217549193</v>
      </c>
      <c r="DO10" s="16">
        <f t="shared" si="40"/>
        <v>4883.8152528426654</v>
      </c>
      <c r="DP10" s="16">
        <f t="shared" si="41"/>
        <v>5128.0060154847988</v>
      </c>
      <c r="DQ10" s="16">
        <f t="shared" si="42"/>
        <v>5384.4063162590392</v>
      </c>
    </row>
    <row r="11" spans="1:121" s="15" customFormat="1" x14ac:dyDescent="0.25">
      <c r="B11" s="76" t="s">
        <v>117</v>
      </c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v>96</v>
      </c>
      <c r="BN11" s="16">
        <v>124</v>
      </c>
      <c r="BO11" s="16">
        <v>151</v>
      </c>
      <c r="BP11" s="16">
        <v>169</v>
      </c>
      <c r="BQ11" s="16">
        <v>221</v>
      </c>
      <c r="BR11" s="16">
        <v>251</v>
      </c>
      <c r="BS11" s="16">
        <v>317</v>
      </c>
      <c r="BT11" s="16">
        <v>303</v>
      </c>
      <c r="BU11" s="16">
        <v>352</v>
      </c>
      <c r="BV11" s="16">
        <v>365</v>
      </c>
      <c r="BW11" s="16">
        <v>405</v>
      </c>
      <c r="BX11" s="16">
        <v>435</v>
      </c>
      <c r="BY11" s="16">
        <v>492</v>
      </c>
      <c r="BZ11" s="16">
        <v>488</v>
      </c>
      <c r="CA11" s="16">
        <v>473</v>
      </c>
      <c r="CB11" s="16">
        <v>505</v>
      </c>
      <c r="CC11" s="16">
        <v>515</v>
      </c>
      <c r="CD11" s="16">
        <v>516</v>
      </c>
      <c r="CE11" s="16">
        <v>538</v>
      </c>
      <c r="CF11" s="16">
        <v>571</v>
      </c>
      <c r="CG11" s="16">
        <v>590</v>
      </c>
      <c r="CH11" s="16">
        <v>589</v>
      </c>
      <c r="CI11" s="16">
        <v>614</v>
      </c>
      <c r="CJ11" s="16">
        <v>637</v>
      </c>
      <c r="CK11" s="16">
        <v>677</v>
      </c>
      <c r="CL11" s="16">
        <f>+CH11*1.1</f>
        <v>647.90000000000009</v>
      </c>
      <c r="CM11" s="16">
        <f t="shared" ref="CM11:CP11" si="45">+CI11*1.1</f>
        <v>675.40000000000009</v>
      </c>
      <c r="CN11" s="16">
        <f t="shared" si="45"/>
        <v>700.7</v>
      </c>
      <c r="CO11" s="16">
        <f t="shared" si="45"/>
        <v>744.7</v>
      </c>
      <c r="CP11" s="16">
        <f t="shared" si="45"/>
        <v>712.69000000000017</v>
      </c>
      <c r="CQ11" s="16"/>
      <c r="CR11" s="16"/>
      <c r="CS11" s="16"/>
      <c r="CT11" s="16"/>
      <c r="CU11" s="16"/>
      <c r="CV11" s="16"/>
      <c r="CW11" s="16"/>
      <c r="CX11" s="16"/>
      <c r="CY11" s="16"/>
      <c r="CZ11" s="16">
        <f t="shared" si="15"/>
        <v>220</v>
      </c>
      <c r="DA11" s="16">
        <f t="shared" si="16"/>
        <v>792</v>
      </c>
      <c r="DB11" s="16">
        <f t="shared" si="18"/>
        <v>1337</v>
      </c>
      <c r="DC11" s="16">
        <f t="shared" si="19"/>
        <v>1820</v>
      </c>
      <c r="DD11" s="16">
        <f t="shared" si="20"/>
        <v>2009</v>
      </c>
      <c r="DE11" s="16">
        <f t="shared" si="21"/>
        <v>2288</v>
      </c>
      <c r="DF11" s="16">
        <f t="shared" si="22"/>
        <v>2575.9</v>
      </c>
      <c r="DG11" s="16">
        <f t="shared" si="23"/>
        <v>2833.4900000000002</v>
      </c>
      <c r="DH11" s="16">
        <f t="shared" ref="DH11:DK11" si="46">+DG11*1.03</f>
        <v>2918.4947000000002</v>
      </c>
      <c r="DI11" s="16">
        <f t="shared" si="46"/>
        <v>3006.0495410000003</v>
      </c>
      <c r="DJ11" s="16">
        <f t="shared" si="46"/>
        <v>3096.2310272300006</v>
      </c>
      <c r="DK11" s="16">
        <f t="shared" si="46"/>
        <v>3189.1179580469006</v>
      </c>
      <c r="DL11" s="15">
        <f>+DK11*0.1</f>
        <v>318.91179580469009</v>
      </c>
      <c r="DM11" s="15">
        <f t="shared" ref="DM11:DQ13" si="47">+DL11*0.1</f>
        <v>31.891179580469011</v>
      </c>
      <c r="DN11" s="15">
        <f t="shared" si="47"/>
        <v>3.1891179580469013</v>
      </c>
      <c r="DO11" s="15">
        <f t="shared" si="47"/>
        <v>0.31891179580469015</v>
      </c>
      <c r="DP11" s="15">
        <f t="shared" si="47"/>
        <v>3.1891179580469019E-2</v>
      </c>
      <c r="DQ11" s="15">
        <f t="shared" si="47"/>
        <v>3.1891179580469022E-3</v>
      </c>
    </row>
    <row r="12" spans="1:121" s="15" customFormat="1" x14ac:dyDescent="0.25">
      <c r="B12" s="23" t="s">
        <v>115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16">
        <v>14</v>
      </c>
      <c r="BR12" s="16">
        <v>33</v>
      </c>
      <c r="BS12" s="16">
        <v>86</v>
      </c>
      <c r="BT12" s="16">
        <v>149</v>
      </c>
      <c r="BU12" s="16">
        <v>215</v>
      </c>
      <c r="BV12" s="16">
        <v>281</v>
      </c>
      <c r="BW12" s="16">
        <v>303</v>
      </c>
      <c r="BX12" s="16">
        <v>378</v>
      </c>
      <c r="BY12" s="16">
        <v>453</v>
      </c>
      <c r="BZ12" s="16">
        <v>517</v>
      </c>
      <c r="CA12" s="16">
        <v>465</v>
      </c>
      <c r="CB12" s="16">
        <v>592</v>
      </c>
      <c r="CC12" s="16">
        <v>695</v>
      </c>
      <c r="CD12" s="16">
        <v>770</v>
      </c>
      <c r="CE12" s="16">
        <v>686</v>
      </c>
      <c r="CF12" s="16">
        <v>918</v>
      </c>
      <c r="CG12" s="16">
        <v>1110</v>
      </c>
      <c r="CH12" s="16">
        <v>1255</v>
      </c>
      <c r="CI12" s="16">
        <v>1093</v>
      </c>
      <c r="CJ12" s="16">
        <v>1430</v>
      </c>
      <c r="CK12" s="16">
        <v>1614</v>
      </c>
      <c r="CL12" s="16">
        <f>+CH12*1.3</f>
        <v>1631.5</v>
      </c>
      <c r="CM12" s="16">
        <f>+CI12*1.3</f>
        <v>1420.9</v>
      </c>
      <c r="CN12" s="16">
        <f>+CJ12*1.3</f>
        <v>1859</v>
      </c>
      <c r="CO12" s="16">
        <f>+CK12*1.3</f>
        <v>2098.2000000000003</v>
      </c>
      <c r="CP12" s="16">
        <f>+CL12*1.3</f>
        <v>2120.9500000000003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0</v>
      </c>
      <c r="DA12" s="16">
        <f t="shared" si="16"/>
        <v>47</v>
      </c>
      <c r="DB12" s="16">
        <f t="shared" si="18"/>
        <v>731</v>
      </c>
      <c r="DC12" s="16">
        <f t="shared" si="19"/>
        <v>1651</v>
      </c>
      <c r="DD12" s="16">
        <f t="shared" si="20"/>
        <v>2522</v>
      </c>
      <c r="DE12" s="16">
        <f t="shared" si="21"/>
        <v>3969</v>
      </c>
      <c r="DF12" s="16">
        <f>SUM(CI12:CL12)</f>
        <v>5768.5</v>
      </c>
      <c r="DG12" s="16">
        <f t="shared" si="23"/>
        <v>7499.0500000000011</v>
      </c>
      <c r="DH12" s="16">
        <f>+DG12*1.2</f>
        <v>8998.86</v>
      </c>
      <c r="DI12" s="16">
        <f>+DH12*1.2</f>
        <v>10798.632</v>
      </c>
      <c r="DJ12" s="16">
        <f t="shared" ref="DH12:DL12" si="48">+DI12*1.03</f>
        <v>11122.59096</v>
      </c>
      <c r="DK12" s="16">
        <f t="shared" si="48"/>
        <v>11456.268688799999</v>
      </c>
      <c r="DL12" s="16">
        <f t="shared" si="48"/>
        <v>11799.956749464</v>
      </c>
      <c r="DM12" s="15">
        <f t="shared" si="47"/>
        <v>1179.9956749464</v>
      </c>
      <c r="DN12" s="15">
        <f t="shared" si="47"/>
        <v>117.99956749464</v>
      </c>
      <c r="DO12" s="15">
        <f t="shared" si="47"/>
        <v>11.799956749464002</v>
      </c>
      <c r="DP12" s="15">
        <f t="shared" si="47"/>
        <v>1.1799956749464002</v>
      </c>
      <c r="DQ12" s="15">
        <f t="shared" si="47"/>
        <v>0.11799956749464002</v>
      </c>
    </row>
    <row r="13" spans="1:121" s="15" customFormat="1" x14ac:dyDescent="0.25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95" t="s">
        <v>202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192</v>
      </c>
      <c r="BU13" s="16">
        <v>358</v>
      </c>
      <c r="BV13" s="16">
        <v>401</v>
      </c>
      <c r="BW13" s="16">
        <v>346</v>
      </c>
      <c r="BX13" s="16">
        <v>432</v>
      </c>
      <c r="BY13" s="16">
        <v>461</v>
      </c>
      <c r="BZ13" s="16">
        <v>489</v>
      </c>
      <c r="CA13" s="16">
        <v>427</v>
      </c>
      <c r="CB13" s="16">
        <v>492</v>
      </c>
      <c r="CC13" s="16">
        <v>554</v>
      </c>
      <c r="CD13" s="16">
        <v>565</v>
      </c>
      <c r="CE13" s="16">
        <v>561</v>
      </c>
      <c r="CF13" s="16">
        <v>658</v>
      </c>
      <c r="CG13" s="16">
        <v>751</v>
      </c>
      <c r="CH13" s="16">
        <v>789</v>
      </c>
      <c r="CI13" s="16">
        <v>694</v>
      </c>
      <c r="CJ13" s="16">
        <v>774</v>
      </c>
      <c r="CK13" s="16">
        <v>875</v>
      </c>
      <c r="CL13" s="16">
        <f>+CH13*1.1</f>
        <v>867.90000000000009</v>
      </c>
      <c r="CM13" s="16">
        <f t="shared" ref="CM13:CP13" si="49">+CI13*1.1</f>
        <v>763.40000000000009</v>
      </c>
      <c r="CN13" s="16">
        <f t="shared" si="49"/>
        <v>851.40000000000009</v>
      </c>
      <c r="CO13" s="16">
        <f t="shared" si="49"/>
        <v>962.50000000000011</v>
      </c>
      <c r="CP13" s="16">
        <f t="shared" si="49"/>
        <v>954.69000000000017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0</v>
      </c>
      <c r="DB13" s="16">
        <f t="shared" si="18"/>
        <v>951</v>
      </c>
      <c r="DC13" s="16">
        <f t="shared" si="19"/>
        <v>1728</v>
      </c>
      <c r="DD13" s="16">
        <f t="shared" si="20"/>
        <v>2038</v>
      </c>
      <c r="DE13" s="16">
        <f t="shared" si="21"/>
        <v>2759</v>
      </c>
      <c r="DF13" s="16">
        <f t="shared" si="22"/>
        <v>3210.9</v>
      </c>
      <c r="DG13" s="16">
        <f t="shared" si="23"/>
        <v>3531.9900000000002</v>
      </c>
      <c r="DH13" s="16">
        <f t="shared" ref="DH13:DK13" si="50">+DG13*1.03</f>
        <v>3637.9497000000001</v>
      </c>
      <c r="DI13" s="16">
        <f t="shared" si="50"/>
        <v>3747.0881910000003</v>
      </c>
      <c r="DJ13" s="16">
        <f t="shared" si="50"/>
        <v>3859.5008367300002</v>
      </c>
      <c r="DK13" s="16">
        <f t="shared" si="50"/>
        <v>3975.2858618319001</v>
      </c>
      <c r="DL13" s="15">
        <f t="shared" ref="DL12:DL13" si="51">+DK13*0.1</f>
        <v>397.52858618319004</v>
      </c>
      <c r="DM13" s="15">
        <f t="shared" si="47"/>
        <v>39.75285861831901</v>
      </c>
      <c r="DN13" s="15">
        <f t="shared" si="47"/>
        <v>3.9752858618319014</v>
      </c>
      <c r="DO13" s="15">
        <f t="shared" si="47"/>
        <v>0.39752858618319015</v>
      </c>
      <c r="DP13" s="15">
        <f t="shared" si="47"/>
        <v>3.9752858618319016E-2</v>
      </c>
      <c r="DQ13" s="15">
        <f t="shared" si="47"/>
        <v>3.9752858618319021E-3</v>
      </c>
    </row>
    <row r="14" spans="1:121" s="15" customFormat="1" x14ac:dyDescent="0.25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113</v>
      </c>
      <c r="BU14" s="16">
        <v>274</v>
      </c>
      <c r="BV14" s="16">
        <v>331</v>
      </c>
      <c r="BW14" s="16">
        <v>321</v>
      </c>
      <c r="BX14" s="16">
        <v>428</v>
      </c>
      <c r="BY14" s="16">
        <v>354</v>
      </c>
      <c r="BZ14" s="16">
        <v>252</v>
      </c>
      <c r="CA14" s="16">
        <v>410</v>
      </c>
      <c r="CB14" s="16">
        <v>344</v>
      </c>
      <c r="CC14" s="16">
        <v>352</v>
      </c>
      <c r="CD14" s="16">
        <v>322</v>
      </c>
      <c r="CE14" s="16">
        <v>355</v>
      </c>
      <c r="CF14" s="16">
        <v>368</v>
      </c>
      <c r="CG14" s="16">
        <v>321</v>
      </c>
      <c r="CH14" s="16">
        <v>334</v>
      </c>
      <c r="CI14" s="16">
        <v>297</v>
      </c>
      <c r="CJ14" s="16">
        <v>343</v>
      </c>
      <c r="CK14" s="16">
        <v>258</v>
      </c>
      <c r="CL14" s="16">
        <f>+CH14*0.9</f>
        <v>300.60000000000002</v>
      </c>
      <c r="CM14" s="16">
        <f t="shared" ref="CM14:CM15" si="52">+CI14*0.9</f>
        <v>267.3</v>
      </c>
      <c r="CN14" s="16">
        <f t="shared" ref="CN14:CN15" si="53">+CJ14*0.9</f>
        <v>308.7</v>
      </c>
      <c r="CO14" s="16">
        <f t="shared" ref="CO14:CO15" si="54">+CK14*0.9</f>
        <v>232.20000000000002</v>
      </c>
      <c r="CP14" s="16">
        <f t="shared" ref="CP14:CP15" si="55">+CL14*0.9</f>
        <v>270.54000000000002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718</v>
      </c>
      <c r="DC14" s="16">
        <f t="shared" si="19"/>
        <v>1355</v>
      </c>
      <c r="DD14" s="16">
        <f t="shared" si="20"/>
        <v>1428</v>
      </c>
      <c r="DE14" s="16">
        <f t="shared" si="21"/>
        <v>1378</v>
      </c>
      <c r="DF14" s="16">
        <f t="shared" si="22"/>
        <v>1198.5999999999999</v>
      </c>
      <c r="DG14" s="16">
        <f t="shared" si="23"/>
        <v>1078.74</v>
      </c>
      <c r="DH14" s="16">
        <f t="shared" ref="DH14:DL14" si="56">+DG14*1.05</f>
        <v>1132.6770000000001</v>
      </c>
      <c r="DI14" s="16">
        <f t="shared" si="56"/>
        <v>1189.3108500000003</v>
      </c>
      <c r="DJ14" s="16">
        <f t="shared" si="56"/>
        <v>1248.7763925000004</v>
      </c>
      <c r="DK14" s="16">
        <f t="shared" si="56"/>
        <v>1311.2152121250006</v>
      </c>
      <c r="DL14" s="16">
        <f t="shared" si="56"/>
        <v>1376.7759727312507</v>
      </c>
      <c r="DM14" s="16">
        <f t="shared" ref="DM14" si="57">+DL14*1.05</f>
        <v>1445.6147713678133</v>
      </c>
      <c r="DN14" s="16">
        <f t="shared" ref="DN14" si="58">+DM14*1.05</f>
        <v>1517.895509936204</v>
      </c>
      <c r="DO14" s="16">
        <f t="shared" ref="DO14" si="59">+DN14*1.05</f>
        <v>1593.7902854330143</v>
      </c>
      <c r="DP14" s="16">
        <f t="shared" ref="DP14" si="60">+DO14*1.05</f>
        <v>1673.4797997046651</v>
      </c>
      <c r="DQ14" s="16">
        <f t="shared" ref="DQ14" si="61">+DP14*1.05</f>
        <v>1757.1537896898983</v>
      </c>
    </row>
    <row r="15" spans="1:121" s="15" customFormat="1" x14ac:dyDescent="0.25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>
        <v>0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276</v>
      </c>
      <c r="BJ15" s="16">
        <v>510</v>
      </c>
      <c r="BK15" s="16">
        <v>919</v>
      </c>
      <c r="BL15" s="16">
        <v>973</v>
      </c>
      <c r="BM15" s="16">
        <v>839</v>
      </c>
      <c r="BN15" s="16">
        <v>819</v>
      </c>
      <c r="BO15" s="16">
        <v>790</v>
      </c>
      <c r="BP15" s="16">
        <v>780</v>
      </c>
      <c r="BQ15" s="16">
        <v>695</v>
      </c>
      <c r="BR15" s="16">
        <v>628</v>
      </c>
      <c r="BS15" s="16">
        <v>559</v>
      </c>
      <c r="BT15" s="16">
        <v>376</v>
      </c>
      <c r="BU15" s="16">
        <v>414</v>
      </c>
      <c r="BV15" s="16">
        <v>481</v>
      </c>
      <c r="BW15" s="16">
        <v>415</v>
      </c>
      <c r="BX15" s="16">
        <v>442</v>
      </c>
      <c r="BY15" s="16">
        <v>426</v>
      </c>
      <c r="BZ15" s="16">
        <v>427</v>
      </c>
      <c r="CA15" s="16">
        <v>380</v>
      </c>
      <c r="CB15" s="16">
        <v>398</v>
      </c>
      <c r="CC15" s="16">
        <v>383</v>
      </c>
      <c r="CD15" s="16">
        <v>380</v>
      </c>
      <c r="CE15" s="16">
        <v>364</v>
      </c>
      <c r="CF15" s="16">
        <v>387</v>
      </c>
      <c r="CG15" s="16">
        <v>370</v>
      </c>
      <c r="CH15" s="16">
        <v>309</v>
      </c>
      <c r="CI15" s="16">
        <v>349</v>
      </c>
      <c r="CJ15" s="16">
        <v>369</v>
      </c>
      <c r="CK15" s="16">
        <v>302</v>
      </c>
      <c r="CL15" s="16">
        <f t="shared" ref="CL15" si="62">+CH15*0.9</f>
        <v>278.10000000000002</v>
      </c>
      <c r="CM15" s="16">
        <f t="shared" si="52"/>
        <v>314.10000000000002</v>
      </c>
      <c r="CN15" s="16">
        <f t="shared" si="53"/>
        <v>332.1</v>
      </c>
      <c r="CO15" s="16">
        <f t="shared" si="54"/>
        <v>271.8</v>
      </c>
      <c r="CP15" s="16">
        <f t="shared" si="55"/>
        <v>250.29000000000002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3550</v>
      </c>
      <c r="DA15" s="16">
        <f t="shared" si="16"/>
        <v>2893</v>
      </c>
      <c r="DB15" s="16">
        <f t="shared" si="18"/>
        <v>1830</v>
      </c>
      <c r="DC15" s="16">
        <f t="shared" si="19"/>
        <v>1710</v>
      </c>
      <c r="DD15" s="16">
        <f t="shared" si="20"/>
        <v>1541</v>
      </c>
      <c r="DE15" s="16">
        <f t="shared" si="21"/>
        <v>1430</v>
      </c>
      <c r="DF15" s="16">
        <f t="shared" si="22"/>
        <v>1298.0999999999999</v>
      </c>
      <c r="DG15" s="16">
        <f t="shared" si="23"/>
        <v>1168.29</v>
      </c>
      <c r="DH15" s="16">
        <f t="shared" ref="DH15:DL15" si="63">+DG15*0.7</f>
        <v>817.80299999999988</v>
      </c>
      <c r="DI15" s="16">
        <f t="shared" si="63"/>
        <v>572.46209999999985</v>
      </c>
      <c r="DJ15" s="16">
        <f t="shared" si="63"/>
        <v>400.72346999999985</v>
      </c>
      <c r="DK15" s="16">
        <f t="shared" si="63"/>
        <v>280.50642899999986</v>
      </c>
      <c r="DL15" s="16">
        <f t="shared" si="63"/>
        <v>196.3545002999999</v>
      </c>
      <c r="DM15" s="16">
        <f t="shared" ref="DM15" si="64">+DL15*0.7</f>
        <v>137.44815020999991</v>
      </c>
      <c r="DN15" s="16">
        <f t="shared" ref="DN15" si="65">+DM15*0.7</f>
        <v>96.213705146999928</v>
      </c>
      <c r="DO15" s="16">
        <f t="shared" ref="DO15" si="66">+DN15*0.7</f>
        <v>67.349593602899944</v>
      </c>
      <c r="DP15" s="16">
        <f t="shared" ref="DP15" si="67">+DO15*0.7</f>
        <v>47.144715522029955</v>
      </c>
      <c r="DQ15" s="16">
        <f t="shared" ref="DQ15" si="68">+DP15*0.7</f>
        <v>33.001300865420966</v>
      </c>
    </row>
    <row r="16" spans="1:121" s="15" customFormat="1" x14ac:dyDescent="0.25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95" t="s">
        <v>202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142</v>
      </c>
      <c r="BU16" s="16">
        <v>300</v>
      </c>
      <c r="BV16" s="16">
        <v>318</v>
      </c>
      <c r="BW16" s="16">
        <v>343</v>
      </c>
      <c r="BX16" s="16">
        <v>422</v>
      </c>
      <c r="BY16" s="16">
        <v>352</v>
      </c>
      <c r="BZ16" s="16">
        <v>349</v>
      </c>
      <c r="CA16" s="16">
        <v>323</v>
      </c>
      <c r="CB16" s="16">
        <v>332</v>
      </c>
      <c r="CC16" s="16">
        <v>312</v>
      </c>
      <c r="CD16" s="16">
        <v>323</v>
      </c>
      <c r="CE16" s="16">
        <v>286</v>
      </c>
      <c r="CF16" s="16">
        <v>331</v>
      </c>
      <c r="CG16" s="16">
        <v>298</v>
      </c>
      <c r="CH16" s="16">
        <v>319</v>
      </c>
      <c r="CI16" s="16">
        <v>319</v>
      </c>
      <c r="CJ16" s="16">
        <v>318</v>
      </c>
      <c r="CK16" s="16">
        <v>310</v>
      </c>
      <c r="CL16" s="16">
        <f t="shared" ref="CL16:CL18" si="69">+CH16</f>
        <v>319</v>
      </c>
      <c r="CM16" s="16">
        <f t="shared" ref="CM16:CM18" si="70">+CI16</f>
        <v>319</v>
      </c>
      <c r="CN16" s="16">
        <f t="shared" ref="CN16:CN18" si="71">+CJ16</f>
        <v>318</v>
      </c>
      <c r="CO16" s="16">
        <f t="shared" ref="CO16:CO18" si="72">+CK16</f>
        <v>310</v>
      </c>
      <c r="CP16" s="16">
        <f t="shared" ref="CP16:CP18" si="73">+CL16</f>
        <v>319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0</v>
      </c>
      <c r="DA16" s="16">
        <f t="shared" si="16"/>
        <v>0</v>
      </c>
      <c r="DB16" s="16">
        <f t="shared" si="18"/>
        <v>760</v>
      </c>
      <c r="DC16" s="16">
        <f t="shared" si="19"/>
        <v>1466</v>
      </c>
      <c r="DD16" s="16">
        <f t="shared" si="20"/>
        <v>1290</v>
      </c>
      <c r="DE16" s="16">
        <f t="shared" si="21"/>
        <v>1234</v>
      </c>
      <c r="DF16" s="16">
        <f t="shared" si="22"/>
        <v>1266</v>
      </c>
      <c r="DG16" s="16">
        <f t="shared" si="23"/>
        <v>1266</v>
      </c>
      <c r="DH16" s="16">
        <f t="shared" ref="DH16:DL16" si="74">+DG16*0.9</f>
        <v>1139.4000000000001</v>
      </c>
      <c r="DI16" s="16">
        <f t="shared" si="74"/>
        <v>1025.46</v>
      </c>
      <c r="DJ16" s="16">
        <f t="shared" si="74"/>
        <v>922.9140000000001</v>
      </c>
      <c r="DK16" s="16">
        <f t="shared" si="74"/>
        <v>830.62260000000015</v>
      </c>
      <c r="DL16" s="16">
        <f t="shared" si="74"/>
        <v>747.56034000000011</v>
      </c>
      <c r="DM16" s="16">
        <f t="shared" ref="DM16" si="75">+DL16*0.9</f>
        <v>672.80430600000011</v>
      </c>
      <c r="DN16" s="16">
        <f t="shared" ref="DN16" si="76">+DM16*0.9</f>
        <v>605.52387540000007</v>
      </c>
      <c r="DO16" s="16">
        <f t="shared" ref="DO16" si="77">+DN16*0.9</f>
        <v>544.97148786000002</v>
      </c>
      <c r="DP16" s="16">
        <f t="shared" ref="DP16" si="78">+DO16*0.9</f>
        <v>490.47433907400006</v>
      </c>
      <c r="DQ16" s="16">
        <f t="shared" ref="DQ16" si="79">+DP16*0.9</f>
        <v>441.42690516660008</v>
      </c>
    </row>
    <row r="17" spans="2:121" s="15" customFormat="1" x14ac:dyDescent="0.25">
      <c r="B17" s="15" t="s">
        <v>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>
        <v>146</v>
      </c>
      <c r="AN17" s="16">
        <v>162</v>
      </c>
      <c r="AO17" s="16">
        <v>163</v>
      </c>
      <c r="AP17" s="16">
        <v>188</v>
      </c>
      <c r="AQ17" s="16">
        <v>90</v>
      </c>
      <c r="AR17" s="16">
        <v>106</v>
      </c>
      <c r="AS17" s="16">
        <v>101</v>
      </c>
      <c r="AT17" s="16">
        <v>115</v>
      </c>
      <c r="AU17" s="16">
        <v>107</v>
      </c>
      <c r="AV17" s="16">
        <v>110</v>
      </c>
      <c r="AW17" s="16">
        <v>148</v>
      </c>
      <c r="AX17" s="16">
        <v>151</v>
      </c>
      <c r="AY17" s="16">
        <v>127</v>
      </c>
      <c r="AZ17" s="16">
        <v>159</v>
      </c>
      <c r="BA17" s="16">
        <v>161</v>
      </c>
      <c r="BB17" s="16">
        <v>185</v>
      </c>
      <c r="BC17" s="16">
        <v>150</v>
      </c>
      <c r="BD17" s="16">
        <v>180</v>
      </c>
      <c r="BE17" s="16">
        <v>187</v>
      </c>
      <c r="BF17" s="16">
        <v>213</v>
      </c>
      <c r="BG17" s="16">
        <v>185</v>
      </c>
      <c r="BH17" s="16">
        <v>196</v>
      </c>
      <c r="BI17" s="16">
        <v>215</v>
      </c>
      <c r="BJ17" s="16">
        <v>235</v>
      </c>
      <c r="BK17" s="16">
        <v>209</v>
      </c>
      <c r="BL17" s="16">
        <v>219</v>
      </c>
      <c r="BM17" s="16">
        <v>239</v>
      </c>
      <c r="BN17" s="16">
        <v>261</v>
      </c>
      <c r="BO17" s="16">
        <v>227</v>
      </c>
      <c r="BP17" s="16">
        <v>257</v>
      </c>
      <c r="BQ17" s="16">
        <v>265</v>
      </c>
      <c r="BR17" s="16">
        <v>292</v>
      </c>
      <c r="BS17" s="16">
        <v>276</v>
      </c>
      <c r="BT17" s="16">
        <v>252</v>
      </c>
      <c r="BU17" s="16">
        <v>282</v>
      </c>
      <c r="BV17" s="16">
        <v>304</v>
      </c>
      <c r="BW17" s="16">
        <v>274</v>
      </c>
      <c r="BX17" s="16">
        <v>280</v>
      </c>
      <c r="BY17" s="16">
        <v>310</v>
      </c>
      <c r="BZ17" s="16">
        <v>327</v>
      </c>
      <c r="CA17" s="16">
        <v>287</v>
      </c>
      <c r="CB17" s="16">
        <v>318</v>
      </c>
      <c r="CC17" s="16">
        <v>336</v>
      </c>
      <c r="CD17" s="16">
        <v>337</v>
      </c>
      <c r="CE17" s="16">
        <v>305</v>
      </c>
      <c r="CF17" s="16">
        <v>282</v>
      </c>
      <c r="CG17" s="16">
        <v>305</v>
      </c>
      <c r="CH17" s="16">
        <v>376</v>
      </c>
      <c r="CI17" s="16">
        <v>285</v>
      </c>
      <c r="CJ17" s="16">
        <v>372</v>
      </c>
      <c r="CK17" s="16">
        <v>338</v>
      </c>
      <c r="CL17" s="16">
        <f t="shared" si="69"/>
        <v>376</v>
      </c>
      <c r="CM17" s="16">
        <f t="shared" si="70"/>
        <v>285</v>
      </c>
      <c r="CN17" s="16">
        <f t="shared" si="71"/>
        <v>372</v>
      </c>
      <c r="CO17" s="16">
        <f t="shared" si="72"/>
        <v>338</v>
      </c>
      <c r="CP17" s="16">
        <f t="shared" si="73"/>
        <v>376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928</v>
      </c>
      <c r="DA17" s="16">
        <f t="shared" si="16"/>
        <v>1041</v>
      </c>
      <c r="DB17" s="16">
        <f t="shared" si="18"/>
        <v>1114</v>
      </c>
      <c r="DC17" s="16">
        <f t="shared" si="19"/>
        <v>1191</v>
      </c>
      <c r="DD17" s="16">
        <f t="shared" si="20"/>
        <v>1278</v>
      </c>
      <c r="DE17" s="16">
        <f t="shared" si="21"/>
        <v>1268</v>
      </c>
      <c r="DF17" s="16">
        <f t="shared" si="22"/>
        <v>1371</v>
      </c>
      <c r="DG17" s="16">
        <f t="shared" si="23"/>
        <v>1371</v>
      </c>
      <c r="DH17" s="16">
        <f t="shared" ref="DH17:DL17" si="80">+DG17*1.03</f>
        <v>1412.13</v>
      </c>
      <c r="DI17" s="16">
        <f t="shared" si="80"/>
        <v>1454.4939000000002</v>
      </c>
      <c r="DJ17" s="16">
        <f t="shared" si="80"/>
        <v>1498.1287170000003</v>
      </c>
      <c r="DK17" s="16">
        <f t="shared" si="80"/>
        <v>1543.0725785100003</v>
      </c>
      <c r="DL17" s="16">
        <f t="shared" si="80"/>
        <v>1589.3647558653004</v>
      </c>
      <c r="DM17" s="16">
        <f t="shared" ref="DM17" si="81">+DL17*1.03</f>
        <v>1637.0456985412595</v>
      </c>
      <c r="DN17" s="16">
        <f t="shared" ref="DN17" si="82">+DM17*1.03</f>
        <v>1686.1570694974973</v>
      </c>
      <c r="DO17" s="16">
        <f t="shared" ref="DO17" si="83">+DN17*1.03</f>
        <v>1736.7417815824224</v>
      </c>
      <c r="DP17" s="16">
        <f t="shared" ref="DP17" si="84">+DO17*1.03</f>
        <v>1788.8440350298952</v>
      </c>
      <c r="DQ17" s="16">
        <f t="shared" ref="DQ17" si="85">+DP17*1.03</f>
        <v>1842.509356080792</v>
      </c>
    </row>
    <row r="18" spans="2:121" s="15" customFormat="1" x14ac:dyDescent="0.25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128</v>
      </c>
      <c r="BU18" s="16">
        <v>269</v>
      </c>
      <c r="BV18" s="16">
        <v>296</v>
      </c>
      <c r="BW18" s="16">
        <v>276</v>
      </c>
      <c r="BX18" s="16">
        <v>301</v>
      </c>
      <c r="BY18" s="16">
        <v>286</v>
      </c>
      <c r="BZ18" s="16">
        <v>306</v>
      </c>
      <c r="CA18" s="16">
        <v>278</v>
      </c>
      <c r="CB18" s="16">
        <v>217</v>
      </c>
      <c r="CC18" s="16">
        <f>287-CC30</f>
        <v>181</v>
      </c>
      <c r="CD18" s="16">
        <v>283</v>
      </c>
      <c r="CE18" s="16">
        <v>200</v>
      </c>
      <c r="CF18" s="16">
        <v>215</v>
      </c>
      <c r="CG18" s="16">
        <v>207</v>
      </c>
      <c r="CH18" s="16">
        <v>181</v>
      </c>
      <c r="CI18" s="16">
        <v>200</v>
      </c>
      <c r="CJ18" s="16">
        <v>225</v>
      </c>
      <c r="CK18" s="16">
        <v>207</v>
      </c>
      <c r="CL18" s="16">
        <f t="shared" si="69"/>
        <v>181</v>
      </c>
      <c r="CM18" s="16">
        <f t="shared" si="70"/>
        <v>200</v>
      </c>
      <c r="CN18" s="16">
        <f t="shared" si="71"/>
        <v>225</v>
      </c>
      <c r="CO18" s="16">
        <f t="shared" si="72"/>
        <v>207</v>
      </c>
      <c r="CP18" s="16">
        <f t="shared" si="73"/>
        <v>181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0</v>
      </c>
      <c r="DA18" s="16">
        <f t="shared" si="16"/>
        <v>0</v>
      </c>
      <c r="DB18" s="16">
        <f t="shared" si="18"/>
        <v>693</v>
      </c>
      <c r="DC18" s="16">
        <f t="shared" si="19"/>
        <v>1169</v>
      </c>
      <c r="DD18" s="16">
        <f t="shared" si="20"/>
        <v>959</v>
      </c>
      <c r="DE18" s="16">
        <f t="shared" si="21"/>
        <v>803</v>
      </c>
      <c r="DF18" s="16">
        <f t="shared" si="22"/>
        <v>813</v>
      </c>
      <c r="DG18" s="16">
        <f t="shared" si="23"/>
        <v>813</v>
      </c>
      <c r="DH18" s="16">
        <f t="shared" ref="DH18:DL18" si="86">+DG18*0.9</f>
        <v>731.7</v>
      </c>
      <c r="DI18" s="16">
        <f t="shared" si="86"/>
        <v>658.53000000000009</v>
      </c>
      <c r="DJ18" s="16">
        <f t="shared" si="86"/>
        <v>592.67700000000013</v>
      </c>
      <c r="DK18" s="16">
        <f t="shared" si="86"/>
        <v>533.40930000000014</v>
      </c>
      <c r="DL18" s="16">
        <f t="shared" si="86"/>
        <v>480.06837000000013</v>
      </c>
      <c r="DM18" s="16">
        <f t="shared" ref="DM18:DM19" si="87">+DL18*0.9</f>
        <v>432.06153300000011</v>
      </c>
      <c r="DN18" s="16">
        <f t="shared" ref="DN18:DN19" si="88">+DM18*0.9</f>
        <v>388.85537970000013</v>
      </c>
      <c r="DO18" s="16">
        <f t="shared" ref="DO18:DO19" si="89">+DN18*0.9</f>
        <v>349.9698417300001</v>
      </c>
      <c r="DP18" s="16">
        <f t="shared" ref="DP18:DP19" si="90">+DO18*0.9</f>
        <v>314.97285755700011</v>
      </c>
      <c r="DQ18" s="16">
        <f t="shared" ref="DQ18:DQ19" si="91">+DP18*0.9</f>
        <v>283.47557180130013</v>
      </c>
    </row>
    <row r="19" spans="2:121" s="15" customFormat="1" x14ac:dyDescent="0.25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144</v>
      </c>
      <c r="BU19" s="16">
        <v>299</v>
      </c>
      <c r="BV19" s="16">
        <v>344</v>
      </c>
      <c r="BW19" s="16">
        <v>280</v>
      </c>
      <c r="BX19" s="16">
        <v>327</v>
      </c>
      <c r="BY19" s="16">
        <v>319</v>
      </c>
      <c r="BZ19" s="16">
        <v>364</v>
      </c>
      <c r="CA19" s="16">
        <v>246</v>
      </c>
      <c r="CB19" s="16">
        <v>168</v>
      </c>
      <c r="CC19" s="16">
        <v>142</v>
      </c>
      <c r="CD19" s="16">
        <v>110</v>
      </c>
      <c r="CE19" s="16">
        <v>92</v>
      </c>
      <c r="CF19" s="16">
        <v>99</v>
      </c>
      <c r="CG19" s="16">
        <v>117</v>
      </c>
      <c r="CH19" s="16">
        <v>128</v>
      </c>
      <c r="CI19" s="16">
        <v>57</v>
      </c>
      <c r="CJ19" s="16">
        <v>32</v>
      </c>
      <c r="CK19" s="16">
        <v>21</v>
      </c>
      <c r="CL19" s="16">
        <f>+CK19-3</f>
        <v>18</v>
      </c>
      <c r="CM19" s="16">
        <f t="shared" ref="CM19:CP19" si="92">+CL19-3</f>
        <v>15</v>
      </c>
      <c r="CN19" s="16">
        <f t="shared" si="92"/>
        <v>12</v>
      </c>
      <c r="CO19" s="16">
        <f t="shared" si="92"/>
        <v>9</v>
      </c>
      <c r="CP19" s="16">
        <f t="shared" si="92"/>
        <v>6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787</v>
      </c>
      <c r="DC19" s="16">
        <f t="shared" si="19"/>
        <v>1290</v>
      </c>
      <c r="DD19" s="16">
        <f t="shared" si="20"/>
        <v>666</v>
      </c>
      <c r="DE19" s="16">
        <f t="shared" si="21"/>
        <v>436</v>
      </c>
      <c r="DF19" s="16">
        <f t="shared" si="22"/>
        <v>128</v>
      </c>
      <c r="DG19" s="16">
        <f t="shared" si="23"/>
        <v>42</v>
      </c>
      <c r="DH19" s="16">
        <f t="shared" ref="DH19:DL19" si="93">+DG19*0.9</f>
        <v>37.800000000000004</v>
      </c>
      <c r="DI19" s="16">
        <f t="shared" si="93"/>
        <v>34.020000000000003</v>
      </c>
      <c r="DJ19" s="16">
        <f t="shared" si="93"/>
        <v>30.618000000000002</v>
      </c>
      <c r="DK19" s="16">
        <f t="shared" si="93"/>
        <v>27.556200000000004</v>
      </c>
      <c r="DL19" s="16">
        <f t="shared" si="93"/>
        <v>24.800580000000004</v>
      </c>
      <c r="DM19" s="16">
        <f t="shared" si="87"/>
        <v>22.320522000000004</v>
      </c>
      <c r="DN19" s="16">
        <f t="shared" si="88"/>
        <v>20.088469800000006</v>
      </c>
      <c r="DO19" s="16">
        <f t="shared" si="89"/>
        <v>18.079622820000004</v>
      </c>
      <c r="DP19" s="16">
        <f t="shared" si="90"/>
        <v>16.271660538000006</v>
      </c>
      <c r="DQ19" s="16">
        <f t="shared" si="91"/>
        <v>14.644494484200006</v>
      </c>
    </row>
    <row r="20" spans="2:121" s="15" customFormat="1" x14ac:dyDescent="0.25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133</v>
      </c>
      <c r="BU20" s="16">
        <v>248</v>
      </c>
      <c r="BV20" s="16">
        <v>286</v>
      </c>
      <c r="BW20" s="16">
        <v>222</v>
      </c>
      <c r="BX20" s="16">
        <v>268</v>
      </c>
      <c r="BY20" s="16">
        <v>261</v>
      </c>
      <c r="BZ20" s="16">
        <v>287</v>
      </c>
      <c r="CA20" s="16">
        <v>240</v>
      </c>
      <c r="CB20" s="16">
        <v>255</v>
      </c>
      <c r="CC20" s="16">
        <v>271</v>
      </c>
      <c r="CD20" s="16">
        <v>269</v>
      </c>
      <c r="CE20" s="16">
        <v>259</v>
      </c>
      <c r="CF20" s="16">
        <v>278</v>
      </c>
      <c r="CG20" s="16">
        <v>288</v>
      </c>
      <c r="CH20" s="16">
        <v>283</v>
      </c>
      <c r="CI20" s="16">
        <v>266</v>
      </c>
      <c r="CJ20" s="16">
        <v>221</v>
      </c>
      <c r="CK20" s="16">
        <v>234</v>
      </c>
      <c r="CL20" s="16">
        <f t="shared" ref="CL20:CL21" si="94">+CH20</f>
        <v>283</v>
      </c>
      <c r="CM20" s="16">
        <f t="shared" ref="CM20:CM21" si="95">+CI20</f>
        <v>266</v>
      </c>
      <c r="CN20" s="16">
        <f t="shared" ref="CN20:CN21" si="96">+CJ20</f>
        <v>221</v>
      </c>
      <c r="CO20" s="16">
        <f t="shared" ref="CO20:CO21" si="97">+CK20</f>
        <v>234</v>
      </c>
      <c r="CP20" s="16">
        <f t="shared" ref="CP20:CP21" si="98">+CL20</f>
        <v>283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667</v>
      </c>
      <c r="DC20" s="16">
        <f t="shared" si="19"/>
        <v>1038</v>
      </c>
      <c r="DD20" s="16">
        <f t="shared" si="20"/>
        <v>1035</v>
      </c>
      <c r="DE20" s="16">
        <f t="shared" si="21"/>
        <v>1108</v>
      </c>
      <c r="DF20" s="16">
        <f t="shared" si="22"/>
        <v>1004</v>
      </c>
      <c r="DG20" s="16">
        <f t="shared" si="23"/>
        <v>1004</v>
      </c>
      <c r="DH20" s="16">
        <f t="shared" ref="DH20:DL20" si="99">+DG20*0.5</f>
        <v>502</v>
      </c>
      <c r="DI20" s="16">
        <f t="shared" si="99"/>
        <v>251</v>
      </c>
      <c r="DJ20" s="16">
        <f t="shared" si="99"/>
        <v>125.5</v>
      </c>
      <c r="DK20" s="16">
        <f t="shared" si="99"/>
        <v>62.75</v>
      </c>
      <c r="DL20" s="16">
        <f t="shared" si="99"/>
        <v>31.375</v>
      </c>
      <c r="DM20" s="16">
        <f t="shared" ref="DM20" si="100">+DL20*0.5</f>
        <v>15.6875</v>
      </c>
      <c r="DN20" s="16">
        <f t="shared" ref="DN20" si="101">+DM20*0.5</f>
        <v>7.84375</v>
      </c>
      <c r="DO20" s="16">
        <f t="shared" ref="DO20" si="102">+DN20*0.5</f>
        <v>3.921875</v>
      </c>
      <c r="DP20" s="16">
        <f t="shared" ref="DP20" si="103">+DO20*0.5</f>
        <v>1.9609375</v>
      </c>
      <c r="DQ20" s="16">
        <f t="shared" ref="DQ20" si="104">+DP20*0.5</f>
        <v>0.98046875</v>
      </c>
    </row>
    <row r="21" spans="2:121" s="15" customFormat="1" x14ac:dyDescent="0.25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105</v>
      </c>
      <c r="BU21" s="16">
        <v>207</v>
      </c>
      <c r="BV21" s="16">
        <v>227</v>
      </c>
      <c r="BW21" s="16">
        <v>160</v>
      </c>
      <c r="BX21" s="16">
        <v>171</v>
      </c>
      <c r="BY21" s="16">
        <v>171</v>
      </c>
      <c r="BZ21" s="16">
        <v>183</v>
      </c>
      <c r="CA21" s="16">
        <v>177</v>
      </c>
      <c r="CB21" s="16">
        <v>150</v>
      </c>
      <c r="CC21" s="16">
        <v>87</v>
      </c>
      <c r="CD21" s="16">
        <v>61</v>
      </c>
      <c r="CE21" s="16">
        <v>79</v>
      </c>
      <c r="CF21" s="16">
        <v>70</v>
      </c>
      <c r="CG21" s="16">
        <v>61</v>
      </c>
      <c r="CH21" s="16">
        <v>66</v>
      </c>
      <c r="CI21" s="16">
        <v>74</v>
      </c>
      <c r="CJ21" s="16">
        <v>80</v>
      </c>
      <c r="CK21" s="16">
        <v>84</v>
      </c>
      <c r="CL21" s="16">
        <f t="shared" si="94"/>
        <v>66</v>
      </c>
      <c r="CM21" s="16">
        <f t="shared" si="95"/>
        <v>74</v>
      </c>
      <c r="CN21" s="16">
        <f t="shared" si="96"/>
        <v>80</v>
      </c>
      <c r="CO21" s="16">
        <f t="shared" si="97"/>
        <v>84</v>
      </c>
      <c r="CP21" s="16">
        <f t="shared" si="98"/>
        <v>66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539</v>
      </c>
      <c r="DC21" s="16">
        <f t="shared" si="19"/>
        <v>685</v>
      </c>
      <c r="DD21" s="16">
        <f t="shared" si="20"/>
        <v>475</v>
      </c>
      <c r="DE21" s="16">
        <f t="shared" si="21"/>
        <v>276</v>
      </c>
      <c r="DF21" s="16">
        <f t="shared" si="22"/>
        <v>304</v>
      </c>
      <c r="DG21" s="16">
        <f t="shared" si="23"/>
        <v>304</v>
      </c>
      <c r="DH21" s="16">
        <f t="shared" ref="DH21:DL21" si="105">+DG21*0.9</f>
        <v>273.60000000000002</v>
      </c>
      <c r="DI21" s="16">
        <f t="shared" si="105"/>
        <v>246.24000000000004</v>
      </c>
      <c r="DJ21" s="16">
        <f t="shared" si="105"/>
        <v>221.61600000000004</v>
      </c>
      <c r="DK21" s="16">
        <f t="shared" si="105"/>
        <v>199.45440000000005</v>
      </c>
      <c r="DL21" s="16">
        <f t="shared" si="105"/>
        <v>179.50896000000006</v>
      </c>
      <c r="DM21" s="16">
        <f t="shared" ref="DM21:DM22" si="106">+DL21*0.9</f>
        <v>161.55806400000006</v>
      </c>
      <c r="DN21" s="16">
        <f t="shared" ref="DN21:DN22" si="107">+DM21*0.9</f>
        <v>145.40225760000007</v>
      </c>
      <c r="DO21" s="16">
        <f t="shared" ref="DO21:DO22" si="108">+DN21*0.9</f>
        <v>130.86203184000007</v>
      </c>
      <c r="DP21" s="16">
        <f t="shared" ref="DP21:DP22" si="109">+DO21*0.9</f>
        <v>117.77582865600007</v>
      </c>
      <c r="DQ21" s="16">
        <f t="shared" ref="DQ21:DQ22" si="110">+DP21*0.9</f>
        <v>105.99824579040006</v>
      </c>
    </row>
    <row r="22" spans="2:121" s="15" customFormat="1" x14ac:dyDescent="0.25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76</v>
      </c>
      <c r="BU22" s="16">
        <v>149</v>
      </c>
      <c r="BV22" s="16">
        <v>153</v>
      </c>
      <c r="BW22" s="16">
        <v>143</v>
      </c>
      <c r="BX22" s="16">
        <v>149</v>
      </c>
      <c r="BY22" s="16">
        <v>138</v>
      </c>
      <c r="BZ22" s="16">
        <v>149</v>
      </c>
      <c r="CA22" s="16">
        <v>140</v>
      </c>
      <c r="CB22" s="16">
        <v>130</v>
      </c>
      <c r="CC22" s="16">
        <v>121</v>
      </c>
      <c r="CD22" s="16">
        <v>123</v>
      </c>
      <c r="CE22" s="16">
        <v>130</v>
      </c>
      <c r="CF22" s="16">
        <v>119</v>
      </c>
      <c r="CG22" s="16">
        <v>91</v>
      </c>
      <c r="CH22" s="16">
        <v>92</v>
      </c>
      <c r="CI22" s="16">
        <v>91</v>
      </c>
      <c r="CJ22" s="16">
        <v>103</v>
      </c>
      <c r="CK22" s="16">
        <v>116</v>
      </c>
      <c r="CL22" s="16">
        <f>+CK22-1</f>
        <v>115</v>
      </c>
      <c r="CM22" s="16">
        <f t="shared" ref="CM22:CP22" si="111">+CL22-1</f>
        <v>114</v>
      </c>
      <c r="CN22" s="16">
        <f t="shared" si="111"/>
        <v>113</v>
      </c>
      <c r="CO22" s="16">
        <f t="shared" si="111"/>
        <v>112</v>
      </c>
      <c r="CP22" s="16">
        <f t="shared" si="111"/>
        <v>111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378</v>
      </c>
      <c r="DC22" s="16">
        <f t="shared" si="19"/>
        <v>579</v>
      </c>
      <c r="DD22" s="16">
        <f t="shared" si="20"/>
        <v>514</v>
      </c>
      <c r="DE22" s="16">
        <f t="shared" si="21"/>
        <v>432</v>
      </c>
      <c r="DF22" s="16">
        <f t="shared" si="22"/>
        <v>425</v>
      </c>
      <c r="DG22" s="16">
        <f t="shared" si="23"/>
        <v>450</v>
      </c>
      <c r="DH22" s="16">
        <f t="shared" ref="DH22:DL22" si="112">+DG22*0.9</f>
        <v>405</v>
      </c>
      <c r="DI22" s="16">
        <f t="shared" si="112"/>
        <v>364.5</v>
      </c>
      <c r="DJ22" s="16">
        <f t="shared" si="112"/>
        <v>328.05</v>
      </c>
      <c r="DK22" s="16">
        <f t="shared" si="112"/>
        <v>295.245</v>
      </c>
      <c r="DL22" s="16">
        <f t="shared" si="112"/>
        <v>265.72050000000002</v>
      </c>
      <c r="DM22" s="16">
        <f t="shared" si="106"/>
        <v>239.14845000000003</v>
      </c>
      <c r="DN22" s="16">
        <f t="shared" si="107"/>
        <v>215.23360500000004</v>
      </c>
      <c r="DO22" s="16">
        <f t="shared" si="108"/>
        <v>193.71024450000004</v>
      </c>
      <c r="DP22" s="16">
        <f t="shared" si="109"/>
        <v>174.33922005000005</v>
      </c>
      <c r="DQ22" s="16">
        <f t="shared" si="110"/>
        <v>156.90529804500005</v>
      </c>
    </row>
    <row r="23" spans="2:121" s="15" customFormat="1" x14ac:dyDescent="0.25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22</v>
      </c>
      <c r="BU23" s="16">
        <v>38</v>
      </c>
      <c r="BV23" s="16">
        <v>65</v>
      </c>
      <c r="BW23" s="16">
        <v>81</v>
      </c>
      <c r="BX23" s="16">
        <v>126</v>
      </c>
      <c r="BY23" s="16">
        <v>162</v>
      </c>
      <c r="BZ23" s="16">
        <v>183</v>
      </c>
      <c r="CA23" s="16">
        <v>138</v>
      </c>
      <c r="CB23" s="16">
        <v>185</v>
      </c>
      <c r="CC23" s="16">
        <v>160</v>
      </c>
      <c r="CD23" s="16">
        <v>197</v>
      </c>
      <c r="CE23" s="16">
        <v>152</v>
      </c>
      <c r="CF23" s="16">
        <v>196</v>
      </c>
      <c r="CG23" s="16">
        <v>233</v>
      </c>
      <c r="CH23" s="16">
        <v>234</v>
      </c>
      <c r="CI23" s="16">
        <v>203</v>
      </c>
      <c r="CJ23" s="16">
        <v>231</v>
      </c>
      <c r="CK23" s="16">
        <v>269</v>
      </c>
      <c r="CL23" s="16">
        <f>+CH23*1.1</f>
        <v>257.40000000000003</v>
      </c>
      <c r="CM23" s="16">
        <f t="shared" ref="CM23:CP23" si="113">+CI23*1.1</f>
        <v>223.3</v>
      </c>
      <c r="CN23" s="16">
        <f t="shared" si="113"/>
        <v>254.10000000000002</v>
      </c>
      <c r="CO23" s="16">
        <f t="shared" si="113"/>
        <v>295.90000000000003</v>
      </c>
      <c r="CP23" s="16">
        <f t="shared" si="113"/>
        <v>283.14000000000004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125</v>
      </c>
      <c r="DC23" s="16">
        <f t="shared" si="19"/>
        <v>552</v>
      </c>
      <c r="DD23" s="16">
        <f t="shared" si="20"/>
        <v>680</v>
      </c>
      <c r="DE23" s="16">
        <f t="shared" si="21"/>
        <v>815</v>
      </c>
      <c r="DF23" s="16">
        <f t="shared" si="22"/>
        <v>960.40000000000009</v>
      </c>
      <c r="DG23" s="16">
        <f t="shared" si="23"/>
        <v>1056.44</v>
      </c>
      <c r="DH23" s="16">
        <f>+DG23*1.2</f>
        <v>1267.7280000000001</v>
      </c>
      <c r="DI23" s="16">
        <f>+DH23*1.1</f>
        <v>1394.5008000000003</v>
      </c>
      <c r="DJ23" s="16">
        <f>+DI23*1.1</f>
        <v>1533.9508800000003</v>
      </c>
      <c r="DK23" s="16">
        <f>+DJ23*1.03</f>
        <v>1579.9694064000005</v>
      </c>
      <c r="DL23" s="15">
        <f>+DK23*0.1</f>
        <v>157.99694064000005</v>
      </c>
      <c r="DM23" s="15">
        <f t="shared" ref="DM23:DQ23" si="114">+DL23*0.1</f>
        <v>15.799694064000006</v>
      </c>
      <c r="DN23" s="15">
        <f t="shared" si="114"/>
        <v>1.5799694064000007</v>
      </c>
      <c r="DO23" s="15">
        <f t="shared" si="114"/>
        <v>0.15799694064000008</v>
      </c>
      <c r="DP23" s="15">
        <f t="shared" si="114"/>
        <v>1.579969406400001E-2</v>
      </c>
      <c r="DQ23" s="15">
        <f t="shared" si="114"/>
        <v>1.579969406400001E-3</v>
      </c>
    </row>
    <row r="24" spans="2:121" s="15" customFormat="1" x14ac:dyDescent="0.25">
      <c r="B24" s="15" t="s">
        <v>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>
        <v>37</v>
      </c>
      <c r="AP24" s="16"/>
      <c r="AQ24" s="16">
        <v>39</v>
      </c>
      <c r="AR24" s="16">
        <v>44</v>
      </c>
      <c r="AS24" s="16">
        <v>46</v>
      </c>
      <c r="AT24" s="16">
        <v>49</v>
      </c>
      <c r="AU24" s="16">
        <v>52</v>
      </c>
      <c r="AV24" s="16">
        <v>56</v>
      </c>
      <c r="AW24" s="16">
        <v>56</v>
      </c>
      <c r="AX24" s="16">
        <v>56</v>
      </c>
      <c r="AY24" s="16">
        <v>53</v>
      </c>
      <c r="AZ24" s="16">
        <v>55</v>
      </c>
      <c r="BA24" s="16">
        <v>61</v>
      </c>
      <c r="BB24" s="16">
        <v>62</v>
      </c>
      <c r="BC24" s="16">
        <v>68</v>
      </c>
      <c r="BD24" s="16">
        <v>73</v>
      </c>
      <c r="BE24" s="16">
        <v>74</v>
      </c>
      <c r="BF24" s="16">
        <v>78</v>
      </c>
      <c r="BG24" s="16">
        <v>80</v>
      </c>
      <c r="BH24" s="16">
        <v>81</v>
      </c>
      <c r="BI24" s="16">
        <v>94</v>
      </c>
      <c r="BJ24" s="16">
        <v>100</v>
      </c>
      <c r="BK24" s="16">
        <v>103</v>
      </c>
      <c r="BL24" s="16">
        <v>108</v>
      </c>
      <c r="BM24" s="16">
        <v>106</v>
      </c>
      <c r="BN24" s="16">
        <v>113</v>
      </c>
      <c r="BO24" s="16">
        <v>111</v>
      </c>
      <c r="BP24" s="16">
        <v>115</v>
      </c>
      <c r="BQ24" s="16">
        <v>117</v>
      </c>
      <c r="BR24" s="16">
        <v>118</v>
      </c>
      <c r="BS24" s="16">
        <v>124</v>
      </c>
      <c r="BT24" s="16">
        <v>118</v>
      </c>
      <c r="BU24" s="16">
        <v>123</v>
      </c>
      <c r="BV24" s="16">
        <v>129</v>
      </c>
      <c r="BW24" s="16">
        <v>129</v>
      </c>
      <c r="BX24" s="16">
        <v>127</v>
      </c>
      <c r="BY24" s="16">
        <v>127</v>
      </c>
      <c r="BZ24" s="16">
        <v>128</v>
      </c>
      <c r="CA24" s="16">
        <v>121</v>
      </c>
      <c r="CB24" s="16">
        <v>120</v>
      </c>
      <c r="CC24" s="16">
        <v>110</v>
      </c>
      <c r="CD24" s="16">
        <v>107</v>
      </c>
      <c r="CE24" s="16">
        <v>118</v>
      </c>
      <c r="CF24" s="16">
        <v>117</v>
      </c>
      <c r="CG24" s="16">
        <v>118</v>
      </c>
      <c r="CH24" s="16">
        <v>115</v>
      </c>
      <c r="CI24" s="16">
        <v>115</v>
      </c>
      <c r="CJ24" s="16">
        <v>113</v>
      </c>
      <c r="CK24" s="16">
        <v>111</v>
      </c>
      <c r="CL24" s="16">
        <f>+CH24</f>
        <v>115</v>
      </c>
      <c r="CM24" s="16">
        <f t="shared" ref="CM24:CP24" si="115">+CI24</f>
        <v>115</v>
      </c>
      <c r="CN24" s="16">
        <f t="shared" si="115"/>
        <v>113</v>
      </c>
      <c r="CO24" s="16">
        <f t="shared" si="115"/>
        <v>111</v>
      </c>
      <c r="CP24" s="16">
        <f t="shared" si="115"/>
        <v>115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430</v>
      </c>
      <c r="DA24" s="16">
        <f t="shared" si="16"/>
        <v>461</v>
      </c>
      <c r="DB24" s="16">
        <f t="shared" si="18"/>
        <v>494</v>
      </c>
      <c r="DC24" s="16">
        <f t="shared" si="19"/>
        <v>511</v>
      </c>
      <c r="DD24" s="16">
        <f t="shared" si="20"/>
        <v>458</v>
      </c>
      <c r="DE24" s="16">
        <f t="shared" si="21"/>
        <v>468</v>
      </c>
      <c r="DF24" s="16">
        <f t="shared" si="22"/>
        <v>454</v>
      </c>
      <c r="DG24" s="16">
        <f t="shared" si="23"/>
        <v>454</v>
      </c>
      <c r="DH24" s="16">
        <f t="shared" ref="DH24:DL24" si="116">+DG24*0.9</f>
        <v>408.6</v>
      </c>
      <c r="DI24" s="16">
        <f t="shared" si="116"/>
        <v>367.74</v>
      </c>
      <c r="DJ24" s="16">
        <f t="shared" si="116"/>
        <v>330.96600000000001</v>
      </c>
      <c r="DK24" s="16">
        <f t="shared" si="116"/>
        <v>297.86940000000004</v>
      </c>
      <c r="DL24" s="16">
        <f t="shared" si="116"/>
        <v>268.08246000000003</v>
      </c>
      <c r="DM24" s="16">
        <f t="shared" ref="DM24:DM25" si="117">+DL24*0.9</f>
        <v>241.27421400000003</v>
      </c>
      <c r="DN24" s="16">
        <f t="shared" ref="DN24:DN25" si="118">+DM24*0.9</f>
        <v>217.14679260000003</v>
      </c>
      <c r="DO24" s="16">
        <f t="shared" ref="DO24:DO25" si="119">+DN24*0.9</f>
        <v>195.43211334000003</v>
      </c>
      <c r="DP24" s="16">
        <f t="shared" ref="DP24:DP25" si="120">+DO24*0.9</f>
        <v>175.88890200600002</v>
      </c>
      <c r="DQ24" s="16">
        <f t="shared" ref="DQ24:DQ25" si="121">+DP24*0.9</f>
        <v>158.30001180540003</v>
      </c>
    </row>
    <row r="25" spans="2:121" s="15" customFormat="1" x14ac:dyDescent="0.25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69</v>
      </c>
      <c r="BU25" s="16">
        <v>123</v>
      </c>
      <c r="BV25" s="16">
        <v>134</v>
      </c>
      <c r="BW25" s="16">
        <v>118</v>
      </c>
      <c r="BX25" s="16">
        <v>142</v>
      </c>
      <c r="BY25" s="16">
        <v>128</v>
      </c>
      <c r="BZ25" s="16">
        <v>141</v>
      </c>
      <c r="CA25" s="16">
        <v>107</v>
      </c>
      <c r="CB25" s="16">
        <v>92</v>
      </c>
      <c r="CC25" s="16">
        <v>73</v>
      </c>
      <c r="CD25" s="16">
        <v>74</v>
      </c>
      <c r="CE25" s="16">
        <v>71</v>
      </c>
      <c r="CF25" s="16">
        <v>65</v>
      </c>
      <c r="CG25" s="16">
        <v>70</v>
      </c>
      <c r="CH25" s="16">
        <v>66</v>
      </c>
      <c r="CI25" s="16">
        <v>59</v>
      </c>
      <c r="CJ25" s="16">
        <v>49</v>
      </c>
      <c r="CK25" s="16">
        <v>62</v>
      </c>
      <c r="CL25" s="16">
        <f>+CK25-1</f>
        <v>61</v>
      </c>
      <c r="CM25" s="16">
        <f t="shared" ref="CM25:CP25" si="122">+CL25-1</f>
        <v>60</v>
      </c>
      <c r="CN25" s="16">
        <f t="shared" si="122"/>
        <v>59</v>
      </c>
      <c r="CO25" s="16">
        <f t="shared" si="122"/>
        <v>58</v>
      </c>
      <c r="CP25" s="16">
        <f t="shared" si="122"/>
        <v>57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0</v>
      </c>
      <c r="DA25" s="16">
        <f t="shared" si="16"/>
        <v>0</v>
      </c>
      <c r="DB25" s="16">
        <f t="shared" si="18"/>
        <v>326</v>
      </c>
      <c r="DC25" s="16">
        <f t="shared" si="19"/>
        <v>529</v>
      </c>
      <c r="DD25" s="16">
        <f t="shared" si="20"/>
        <v>346</v>
      </c>
      <c r="DE25" s="16">
        <f t="shared" si="21"/>
        <v>272</v>
      </c>
      <c r="DF25" s="16">
        <f t="shared" si="22"/>
        <v>231</v>
      </c>
      <c r="DG25" s="16">
        <f t="shared" si="23"/>
        <v>234</v>
      </c>
      <c r="DH25" s="16">
        <f t="shared" ref="DH25:DL25" si="123">+DG25*0.9</f>
        <v>210.6</v>
      </c>
      <c r="DI25" s="16">
        <f t="shared" si="123"/>
        <v>189.54</v>
      </c>
      <c r="DJ25" s="16">
        <f t="shared" si="123"/>
        <v>170.58599999999998</v>
      </c>
      <c r="DK25" s="16">
        <f t="shared" si="123"/>
        <v>153.5274</v>
      </c>
      <c r="DL25" s="16">
        <f t="shared" si="123"/>
        <v>138.17466000000002</v>
      </c>
      <c r="DM25" s="16">
        <f t="shared" si="117"/>
        <v>124.35719400000002</v>
      </c>
      <c r="DN25" s="16">
        <f t="shared" si="118"/>
        <v>111.92147460000002</v>
      </c>
      <c r="DO25" s="16">
        <f t="shared" si="119"/>
        <v>100.72932714000002</v>
      </c>
      <c r="DP25" s="16">
        <f t="shared" si="120"/>
        <v>90.65639442600002</v>
      </c>
      <c r="DQ25" s="16">
        <f t="shared" si="121"/>
        <v>81.590754983400018</v>
      </c>
    </row>
    <row r="26" spans="2:121" s="15" customFormat="1" x14ac:dyDescent="0.25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11</v>
      </c>
      <c r="CB26" s="16">
        <v>33</v>
      </c>
      <c r="CC26" s="16">
        <v>62</v>
      </c>
      <c r="CD26" s="16">
        <v>52</v>
      </c>
      <c r="CE26" s="16">
        <v>66</v>
      </c>
      <c r="CF26" s="16">
        <v>96</v>
      </c>
      <c r="CG26" s="16">
        <v>132</v>
      </c>
      <c r="CH26" s="16">
        <v>114</v>
      </c>
      <c r="CI26" s="16">
        <v>131</v>
      </c>
      <c r="CJ26" s="16">
        <v>150</v>
      </c>
      <c r="CK26" s="16">
        <v>176</v>
      </c>
      <c r="CL26" s="16">
        <f>+CH26*1.3</f>
        <v>148.20000000000002</v>
      </c>
      <c r="CM26" s="16">
        <f t="shared" ref="CM26:CP26" si="124">+CI26*1.3</f>
        <v>170.3</v>
      </c>
      <c r="CN26" s="16">
        <f t="shared" si="124"/>
        <v>195</v>
      </c>
      <c r="CO26" s="16">
        <f t="shared" si="124"/>
        <v>228.8</v>
      </c>
      <c r="CP26" s="16">
        <f t="shared" si="124"/>
        <v>192.66000000000003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0</v>
      </c>
      <c r="DC26" s="16">
        <f t="shared" si="19"/>
        <v>0</v>
      </c>
      <c r="DD26" s="16">
        <f t="shared" si="20"/>
        <v>158</v>
      </c>
      <c r="DE26" s="16">
        <f t="shared" si="21"/>
        <v>408</v>
      </c>
      <c r="DF26" s="16">
        <f t="shared" si="22"/>
        <v>605.20000000000005</v>
      </c>
      <c r="DG26" s="16">
        <f t="shared" si="23"/>
        <v>786.76</v>
      </c>
      <c r="DH26" s="16">
        <f>+DG26*1.2</f>
        <v>944.11199999999997</v>
      </c>
      <c r="DI26" s="16">
        <f>+DH26*1.1</f>
        <v>1038.5232000000001</v>
      </c>
      <c r="DJ26" s="16">
        <f>+DI26*1.1</f>
        <v>1142.3755200000003</v>
      </c>
      <c r="DK26" s="16">
        <f>+DJ26*1.03</f>
        <v>1176.6467856000004</v>
      </c>
      <c r="DL26" s="15">
        <f>+DK26*0.1</f>
        <v>117.66467856000004</v>
      </c>
      <c r="DM26" s="15">
        <f t="shared" ref="DM26:DQ26" si="125">+DL26*0.1</f>
        <v>11.766467856000006</v>
      </c>
      <c r="DN26" s="15">
        <f t="shared" si="125"/>
        <v>1.1766467856000007</v>
      </c>
      <c r="DO26" s="15">
        <f t="shared" si="125"/>
        <v>0.11766467856000007</v>
      </c>
      <c r="DP26" s="15">
        <f t="shared" si="125"/>
        <v>1.1766467856000008E-2</v>
      </c>
      <c r="DQ26" s="15">
        <f t="shared" si="125"/>
        <v>1.1766467856000008E-3</v>
      </c>
    </row>
    <row r="27" spans="2:121" s="15" customFormat="1" x14ac:dyDescent="0.25">
      <c r="B27" s="79" t="s">
        <v>325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>
        <v>64</v>
      </c>
      <c r="CJ27" s="16">
        <v>128</v>
      </c>
      <c r="CK27" s="16">
        <v>139</v>
      </c>
      <c r="CL27" s="16">
        <f>+CK27+2</f>
        <v>141</v>
      </c>
      <c r="CM27" s="16">
        <f t="shared" ref="CM27:CP27" si="126">+CL27+2</f>
        <v>143</v>
      </c>
      <c r="CN27" s="16">
        <f t="shared" si="126"/>
        <v>145</v>
      </c>
      <c r="CO27" s="16">
        <f t="shared" si="126"/>
        <v>147</v>
      </c>
      <c r="CP27" s="16">
        <f t="shared" si="126"/>
        <v>149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>
        <f t="shared" si="22"/>
        <v>472</v>
      </c>
      <c r="DG27" s="16">
        <f t="shared" si="23"/>
        <v>584</v>
      </c>
      <c r="DH27" s="16">
        <f>+DG27*1.1</f>
        <v>642.40000000000009</v>
      </c>
      <c r="DI27" s="16">
        <f>+DH27*1.1</f>
        <v>706.64000000000021</v>
      </c>
      <c r="DJ27" s="16">
        <f>+DI27*1.1</f>
        <v>777.30400000000031</v>
      </c>
      <c r="DK27" s="16">
        <f>+DJ27*1.1</f>
        <v>855.03440000000046</v>
      </c>
      <c r="DL27" s="16">
        <f>+DK27*1.1</f>
        <v>940.53784000000053</v>
      </c>
      <c r="DM27" s="16">
        <f t="shared" ref="DM27:DQ27" si="127">+DL27*1.1</f>
        <v>1034.5916240000006</v>
      </c>
      <c r="DN27" s="16">
        <f t="shared" si="127"/>
        <v>1138.0507864000008</v>
      </c>
      <c r="DO27" s="16">
        <f t="shared" si="127"/>
        <v>1251.8558650400009</v>
      </c>
      <c r="DP27" s="16">
        <f t="shared" si="127"/>
        <v>1377.0414515440011</v>
      </c>
      <c r="DQ27" s="16">
        <f t="shared" si="127"/>
        <v>1514.7455966984014</v>
      </c>
    </row>
    <row r="28" spans="2:121" s="15" customFormat="1" x14ac:dyDescent="0.25">
      <c r="B28" s="109" t="s">
        <v>637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>
        <v>300</v>
      </c>
      <c r="DH28" s="16">
        <v>500</v>
      </c>
      <c r="DI28" s="16">
        <v>800</v>
      </c>
      <c r="DJ28" s="16">
        <v>1200</v>
      </c>
      <c r="DK28" s="16">
        <v>1500</v>
      </c>
      <c r="DL28" s="16">
        <v>1800</v>
      </c>
      <c r="DM28" s="16">
        <v>2000</v>
      </c>
      <c r="DN28" s="16">
        <v>2200</v>
      </c>
      <c r="DO28" s="16">
        <v>2400</v>
      </c>
      <c r="DP28" s="16">
        <v>2600</v>
      </c>
      <c r="DQ28" s="16">
        <v>2800</v>
      </c>
    </row>
    <row r="29" spans="2:121" s="15" customFormat="1" x14ac:dyDescent="0.25">
      <c r="B29" s="79" t="s">
        <v>326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>
        <v>14</v>
      </c>
      <c r="CH29" s="16">
        <v>17</v>
      </c>
      <c r="CI29" s="16">
        <v>27</v>
      </c>
      <c r="CJ29" s="16">
        <v>36</v>
      </c>
      <c r="CK29" s="16">
        <v>43</v>
      </c>
      <c r="CL29" s="16">
        <f>+CK29+15</f>
        <v>58</v>
      </c>
      <c r="CM29" s="16">
        <f>+CL29+15</f>
        <v>73</v>
      </c>
      <c r="CN29" s="16">
        <f>+CM29+15</f>
        <v>88</v>
      </c>
      <c r="CO29" s="16">
        <f>+CN29+15</f>
        <v>103</v>
      </c>
      <c r="CP29" s="16">
        <f>+CO29+15</f>
        <v>118</v>
      </c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>
        <f t="shared" ref="DE29:DE30" si="128">SUM(CE29:CH29)</f>
        <v>31</v>
      </c>
      <c r="DF29" s="16">
        <f t="shared" si="22"/>
        <v>164</v>
      </c>
      <c r="DG29" s="16">
        <f t="shared" si="23"/>
        <v>382</v>
      </c>
      <c r="DH29" s="16">
        <f>+DG29*1.4</f>
        <v>534.79999999999995</v>
      </c>
      <c r="DI29" s="16">
        <f>+DH29*1.3</f>
        <v>695.24</v>
      </c>
      <c r="DJ29" s="16">
        <f t="shared" ref="DJ29:DK29" si="129">+DI29*1.2</f>
        <v>834.28800000000001</v>
      </c>
      <c r="DK29" s="16">
        <f t="shared" si="129"/>
        <v>1001.1455999999999</v>
      </c>
      <c r="DL29" s="16">
        <f>+DK29*1.1</f>
        <v>1101.26016</v>
      </c>
      <c r="DM29" s="16">
        <f>+DL29*1.05</f>
        <v>1156.3231680000001</v>
      </c>
      <c r="DN29" s="16">
        <f t="shared" ref="DN29:DQ29" si="130">+DM29*1.05</f>
        <v>1214.1393264000001</v>
      </c>
      <c r="DO29" s="16">
        <f t="shared" si="130"/>
        <v>1274.8462927200001</v>
      </c>
      <c r="DP29" s="16">
        <f t="shared" si="130"/>
        <v>1338.588607356</v>
      </c>
      <c r="DQ29" s="16">
        <f t="shared" si="130"/>
        <v>1405.5180377238</v>
      </c>
    </row>
    <row r="30" spans="2:121" s="15" customFormat="1" x14ac:dyDescent="0.25">
      <c r="B30" s="74" t="s">
        <v>319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>
        <v>110</v>
      </c>
      <c r="CC30" s="16">
        <v>106</v>
      </c>
      <c r="CD30" s="16"/>
      <c r="CE30" s="16">
        <v>115</v>
      </c>
      <c r="CF30" s="16">
        <v>119</v>
      </c>
      <c r="CG30" s="16">
        <v>120</v>
      </c>
      <c r="CH30" s="16">
        <v>118</v>
      </c>
      <c r="CI30" s="16">
        <v>131</v>
      </c>
      <c r="CJ30" s="16">
        <v>124</v>
      </c>
      <c r="CK30" s="16">
        <v>119</v>
      </c>
      <c r="CL30" s="16">
        <f>+CH30+5</f>
        <v>123</v>
      </c>
      <c r="CM30" s="16">
        <f t="shared" ref="CM30:CP30" si="131">+CI30+5</f>
        <v>136</v>
      </c>
      <c r="CN30" s="16">
        <f t="shared" si="131"/>
        <v>129</v>
      </c>
      <c r="CO30" s="16">
        <f t="shared" si="131"/>
        <v>124</v>
      </c>
      <c r="CP30" s="16">
        <f t="shared" si="131"/>
        <v>128</v>
      </c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>
        <f t="shared" si="128"/>
        <v>472</v>
      </c>
      <c r="DF30" s="16">
        <f t="shared" si="22"/>
        <v>497</v>
      </c>
      <c r="DG30" s="16">
        <f t="shared" si="23"/>
        <v>517</v>
      </c>
      <c r="DH30" s="16">
        <f>+DG30</f>
        <v>517</v>
      </c>
      <c r="DI30" s="16">
        <f t="shared" ref="DI30:DQ30" si="132">+DH30</f>
        <v>517</v>
      </c>
      <c r="DJ30" s="16">
        <f t="shared" si="132"/>
        <v>517</v>
      </c>
      <c r="DK30" s="16">
        <f t="shared" si="132"/>
        <v>517</v>
      </c>
      <c r="DL30" s="16">
        <f t="shared" si="132"/>
        <v>517</v>
      </c>
      <c r="DM30" s="16">
        <f t="shared" si="132"/>
        <v>517</v>
      </c>
      <c r="DN30" s="16">
        <f t="shared" si="132"/>
        <v>517</v>
      </c>
      <c r="DO30" s="16">
        <f t="shared" si="132"/>
        <v>517</v>
      </c>
      <c r="DP30" s="16">
        <f t="shared" si="132"/>
        <v>517</v>
      </c>
      <c r="DQ30" s="16">
        <f t="shared" si="132"/>
        <v>517</v>
      </c>
    </row>
    <row r="31" spans="2:121" s="15" customFormat="1" x14ac:dyDescent="0.25">
      <c r="B31" s="109" t="s">
        <v>463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>
        <v>100</v>
      </c>
      <c r="DH31" s="16">
        <v>200</v>
      </c>
      <c r="DI31" s="16">
        <v>300</v>
      </c>
      <c r="DJ31" s="16">
        <f>+DI31*1.01</f>
        <v>303</v>
      </c>
      <c r="DK31" s="16">
        <f t="shared" ref="DK31:DP31" si="133">+DJ31*1.01</f>
        <v>306.03000000000003</v>
      </c>
      <c r="DL31" s="16">
        <f t="shared" si="133"/>
        <v>309.09030000000001</v>
      </c>
      <c r="DM31" s="16">
        <f t="shared" si="133"/>
        <v>312.18120300000004</v>
      </c>
      <c r="DN31" s="16">
        <f t="shared" si="133"/>
        <v>315.30301503000004</v>
      </c>
      <c r="DO31" s="16">
        <f t="shared" si="133"/>
        <v>318.45604518030007</v>
      </c>
      <c r="DP31" s="16">
        <f t="shared" si="133"/>
        <v>321.64060563210307</v>
      </c>
      <c r="DQ31" s="16">
        <f>+DP31*0.1</f>
        <v>32.164060563210306</v>
      </c>
    </row>
    <row r="32" spans="2:121" s="15" customFormat="1" x14ac:dyDescent="0.25">
      <c r="B32" s="109" t="s">
        <v>574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50</v>
      </c>
      <c r="DH32" s="16">
        <v>150</v>
      </c>
      <c r="DI32" s="16">
        <v>300</v>
      </c>
      <c r="DJ32" s="16">
        <v>450</v>
      </c>
      <c r="DK32" s="16">
        <v>600</v>
      </c>
      <c r="DL32" s="16">
        <v>700</v>
      </c>
      <c r="DM32" s="16">
        <v>800</v>
      </c>
      <c r="DN32" s="16">
        <v>900</v>
      </c>
      <c r="DO32" s="16">
        <v>1000</v>
      </c>
      <c r="DP32" s="16">
        <f>+DO32</f>
        <v>1000</v>
      </c>
      <c r="DQ32" s="16">
        <f>+DP32</f>
        <v>1000</v>
      </c>
    </row>
    <row r="33" spans="2:115" s="15" customFormat="1" x14ac:dyDescent="0.25">
      <c r="B33" s="48" t="s">
        <v>230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80</v>
      </c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>
        <f t="shared" si="15"/>
        <v>0</v>
      </c>
      <c r="DA33" s="16">
        <f t="shared" si="16"/>
        <v>0</v>
      </c>
      <c r="DB33" s="16">
        <f t="shared" si="18"/>
        <v>80</v>
      </c>
      <c r="DC33" s="16"/>
      <c r="DD33" s="16"/>
      <c r="DE33" s="16"/>
      <c r="DF33" s="16"/>
      <c r="DG33" s="16"/>
      <c r="DH33" s="16"/>
      <c r="DI33" s="16"/>
      <c r="DJ33" s="16"/>
      <c r="DK33" s="16"/>
    </row>
    <row r="34" spans="2:115" s="15" customFormat="1" x14ac:dyDescent="0.25">
      <c r="B34" s="48" t="s">
        <v>231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19</v>
      </c>
      <c r="BQ34" s="16">
        <v>27</v>
      </c>
      <c r="BR34" s="16">
        <v>34</v>
      </c>
      <c r="BS34" s="16">
        <v>31</v>
      </c>
      <c r="BT34" s="16">
        <v>31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>
        <f t="shared" si="15"/>
        <v>0</v>
      </c>
      <c r="DA34" s="16">
        <f t="shared" si="16"/>
        <v>80</v>
      </c>
      <c r="DB34" s="16">
        <f t="shared" si="18"/>
        <v>62</v>
      </c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15" s="15" customFormat="1" x14ac:dyDescent="0.25">
      <c r="B35" s="98" t="s">
        <v>438</v>
      </c>
      <c r="C35" s="16"/>
      <c r="D35" s="16"/>
      <c r="E35" s="16"/>
      <c r="F35" s="16"/>
      <c r="G35" s="16">
        <v>50</v>
      </c>
      <c r="H35" s="16">
        <v>43</v>
      </c>
      <c r="I35" s="16">
        <v>50</v>
      </c>
      <c r="J35" s="16">
        <v>54</v>
      </c>
      <c r="K35" s="16">
        <v>52</v>
      </c>
      <c r="L35" s="16">
        <v>57</v>
      </c>
      <c r="M35" s="16">
        <f>219-N35-L35-K35</f>
        <v>56</v>
      </c>
      <c r="N35" s="16">
        <v>54</v>
      </c>
      <c r="O35" s="16">
        <v>53</v>
      </c>
      <c r="P35" s="16">
        <v>58</v>
      </c>
      <c r="Q35" s="16">
        <f>168-P35-O35</f>
        <v>57</v>
      </c>
      <c r="R35" s="16">
        <v>61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15" s="15" customFormat="1" x14ac:dyDescent="0.25">
      <c r="B36" s="98" t="s">
        <v>439</v>
      </c>
      <c r="C36" s="16"/>
      <c r="D36" s="16"/>
      <c r="E36" s="16"/>
      <c r="F36" s="16"/>
      <c r="G36" s="16">
        <v>37</v>
      </c>
      <c r="H36" s="16">
        <v>30</v>
      </c>
      <c r="I36" s="16">
        <v>35</v>
      </c>
      <c r="J36" s="16">
        <v>41</v>
      </c>
      <c r="K36" s="16">
        <v>36</v>
      </c>
      <c r="L36" s="16">
        <v>37</v>
      </c>
      <c r="M36" s="16">
        <f>154-L36-K36-N36</f>
        <v>40</v>
      </c>
      <c r="N36" s="16">
        <v>41</v>
      </c>
      <c r="O36" s="16">
        <v>40</v>
      </c>
      <c r="P36" s="16">
        <v>44</v>
      </c>
      <c r="Q36" s="16">
        <f>127-P36-O36</f>
        <v>43</v>
      </c>
      <c r="R36" s="16">
        <v>46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15" s="15" customFormat="1" x14ac:dyDescent="0.25">
      <c r="B37" s="98" t="s">
        <v>440</v>
      </c>
      <c r="C37" s="16"/>
      <c r="D37" s="16"/>
      <c r="E37" s="16"/>
      <c r="F37" s="16"/>
      <c r="G37" s="16">
        <v>700</v>
      </c>
      <c r="H37" s="16">
        <v>706</v>
      </c>
      <c r="I37" s="16">
        <v>711</v>
      </c>
      <c r="J37" s="16">
        <v>475</v>
      </c>
      <c r="K37" s="16">
        <v>590</v>
      </c>
      <c r="L37" s="16">
        <v>337</v>
      </c>
      <c r="M37" s="16">
        <f>2501-L37-K37-N37</f>
        <v>942</v>
      </c>
      <c r="N37" s="16">
        <v>632</v>
      </c>
      <c r="O37" s="16">
        <v>616</v>
      </c>
      <c r="P37" s="16">
        <v>663</v>
      </c>
      <c r="Q37" s="16">
        <f>1891-P37-O37</f>
        <v>612</v>
      </c>
      <c r="R37" s="16">
        <v>709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15" s="15" customFormat="1" x14ac:dyDescent="0.25">
      <c r="B38" s="15" t="s">
        <v>9</v>
      </c>
      <c r="C38" s="16"/>
      <c r="D38" s="16"/>
      <c r="E38" s="16"/>
      <c r="F38" s="16"/>
      <c r="G38" s="16">
        <v>180</v>
      </c>
      <c r="H38" s="16">
        <v>182</v>
      </c>
      <c r="I38" s="16">
        <v>202</v>
      </c>
      <c r="J38" s="16">
        <v>206</v>
      </c>
      <c r="K38" s="16">
        <v>171</v>
      </c>
      <c r="L38" s="16">
        <v>174</v>
      </c>
      <c r="M38" s="16">
        <f>699-L38-K38-N38</f>
        <v>181</v>
      </c>
      <c r="N38" s="16">
        <v>173</v>
      </c>
      <c r="O38" s="16">
        <v>168</v>
      </c>
      <c r="P38" s="16">
        <v>159</v>
      </c>
      <c r="Q38" s="16">
        <f>499-P38-O38</f>
        <v>172</v>
      </c>
      <c r="R38" s="16">
        <v>164</v>
      </c>
      <c r="S38" s="16"/>
      <c r="T38" s="16"/>
      <c r="U38" s="16"/>
      <c r="V38" s="16"/>
      <c r="W38" s="16">
        <f>218-X38</f>
        <v>64</v>
      </c>
      <c r="X38" s="16">
        <v>154</v>
      </c>
      <c r="Y38" s="16">
        <v>221</v>
      </c>
      <c r="Z38" s="16">
        <v>213</v>
      </c>
      <c r="AA38" s="16">
        <f>390-AB38</f>
        <v>193</v>
      </c>
      <c r="AB38" s="16">
        <v>197</v>
      </c>
      <c r="AC38" s="16">
        <v>195</v>
      </c>
      <c r="AD38" s="16">
        <v>215</v>
      </c>
      <c r="AE38" s="16">
        <v>172</v>
      </c>
      <c r="AF38" s="16">
        <v>187</v>
      </c>
      <c r="AG38" s="16">
        <v>189</v>
      </c>
      <c r="AH38" s="16">
        <v>200</v>
      </c>
      <c r="AI38" s="16">
        <v>184</v>
      </c>
      <c r="AJ38" s="16">
        <v>205</v>
      </c>
      <c r="AK38" s="16">
        <f>810-AJ38-AI38-AL38</f>
        <v>213</v>
      </c>
      <c r="AL38" s="16">
        <v>208</v>
      </c>
      <c r="AM38" s="16">
        <v>199</v>
      </c>
      <c r="AN38" s="16">
        <v>200</v>
      </c>
      <c r="AO38" s="16">
        <v>189</v>
      </c>
      <c r="AP38" s="16">
        <v>211</v>
      </c>
      <c r="AQ38" s="16">
        <v>181</v>
      </c>
      <c r="AR38" s="16">
        <v>199</v>
      </c>
      <c r="AS38" s="16">
        <v>196</v>
      </c>
      <c r="AT38" s="16">
        <v>209</v>
      </c>
      <c r="AU38" s="16">
        <v>189</v>
      </c>
      <c r="AV38" s="16">
        <v>186</v>
      </c>
      <c r="AW38" s="16">
        <v>196</v>
      </c>
      <c r="AX38" s="16">
        <v>207</v>
      </c>
      <c r="AY38" s="16">
        <v>192</v>
      </c>
      <c r="AZ38" s="16">
        <v>198</v>
      </c>
      <c r="BA38" s="16">
        <v>201</v>
      </c>
      <c r="BB38" s="16">
        <v>235</v>
      </c>
      <c r="BC38" s="16">
        <v>190</v>
      </c>
      <c r="BD38" s="16">
        <v>219</v>
      </c>
      <c r="BE38" s="16">
        <v>193</v>
      </c>
      <c r="BF38" s="16">
        <v>219</v>
      </c>
      <c r="BG38" s="16">
        <v>194</v>
      </c>
      <c r="BH38" s="16">
        <v>210</v>
      </c>
      <c r="BI38" s="16">
        <v>201</v>
      </c>
      <c r="BJ38" s="16">
        <v>224</v>
      </c>
      <c r="BK38" s="16">
        <v>219</v>
      </c>
      <c r="BL38" s="16">
        <v>223</v>
      </c>
      <c r="BM38" s="16">
        <v>214</v>
      </c>
      <c r="BN38" s="16">
        <v>236</v>
      </c>
      <c r="BO38" s="16">
        <v>229</v>
      </c>
      <c r="BP38" s="16">
        <v>209</v>
      </c>
      <c r="BQ38" s="16">
        <v>230</v>
      </c>
      <c r="BR38" s="16">
        <v>219</v>
      </c>
      <c r="BS38" s="16">
        <v>233</v>
      </c>
      <c r="BT38" s="16">
        <v>205</v>
      </c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>
        <f t="shared" si="15"/>
        <v>892</v>
      </c>
      <c r="DA38" s="16">
        <f t="shared" si="16"/>
        <v>887</v>
      </c>
      <c r="DB38" s="16">
        <f t="shared" si="18"/>
        <v>438</v>
      </c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15" s="15" customFormat="1" x14ac:dyDescent="0.25">
      <c r="B39" s="15" t="s">
        <v>7</v>
      </c>
      <c r="C39" s="16"/>
      <c r="D39" s="16"/>
      <c r="E39" s="16"/>
      <c r="F39" s="16"/>
      <c r="G39" s="16">
        <v>180</v>
      </c>
      <c r="H39" s="16">
        <v>189</v>
      </c>
      <c r="I39" s="16">
        <v>165</v>
      </c>
      <c r="J39" s="16">
        <v>154</v>
      </c>
      <c r="K39" s="16">
        <v>136</v>
      </c>
      <c r="L39" s="16">
        <v>127</v>
      </c>
      <c r="M39" s="16">
        <f>554-L39-K39-N39</f>
        <v>135</v>
      </c>
      <c r="N39" s="16">
        <v>156</v>
      </c>
      <c r="O39" s="16">
        <v>126</v>
      </c>
      <c r="P39" s="16">
        <v>149</v>
      </c>
      <c r="Q39" s="16">
        <f>403-P39-O39</f>
        <v>128</v>
      </c>
      <c r="R39" s="16">
        <v>132</v>
      </c>
      <c r="S39" s="16">
        <v>129</v>
      </c>
      <c r="T39" s="16">
        <v>121</v>
      </c>
      <c r="U39" s="16">
        <v>130</v>
      </c>
      <c r="V39" s="16">
        <v>153</v>
      </c>
      <c r="W39" s="16">
        <v>115</v>
      </c>
      <c r="X39" s="16">
        <v>138</v>
      </c>
      <c r="Y39" s="16">
        <v>129</v>
      </c>
      <c r="Z39" s="16">
        <v>142</v>
      </c>
      <c r="AA39" s="16">
        <f>220-AB39</f>
        <v>104</v>
      </c>
      <c r="AB39" s="16">
        <v>116</v>
      </c>
      <c r="AC39" s="16">
        <v>134</v>
      </c>
      <c r="AD39" s="16">
        <v>148</v>
      </c>
      <c r="AE39" s="16">
        <v>123</v>
      </c>
      <c r="AF39" s="16">
        <v>129</v>
      </c>
      <c r="AG39" s="16">
        <v>143</v>
      </c>
      <c r="AH39" s="16">
        <v>160</v>
      </c>
      <c r="AI39" s="16">
        <v>145</v>
      </c>
      <c r="AJ39" s="16">
        <v>169</v>
      </c>
      <c r="AK39" s="16">
        <f>638-AJ39-AI39-AL39</f>
        <v>161</v>
      </c>
      <c r="AL39" s="16">
        <v>163</v>
      </c>
      <c r="AM39" s="16">
        <v>155</v>
      </c>
      <c r="AN39" s="16">
        <v>149</v>
      </c>
      <c r="AO39" s="16">
        <v>157</v>
      </c>
      <c r="AP39" s="16">
        <v>194</v>
      </c>
      <c r="AQ39" s="16">
        <v>119</v>
      </c>
      <c r="AR39" s="16">
        <v>153</v>
      </c>
      <c r="AS39" s="16">
        <v>161</v>
      </c>
      <c r="AT39" s="16">
        <v>189</v>
      </c>
      <c r="AU39" s="16">
        <v>157</v>
      </c>
      <c r="AV39" s="16">
        <v>166</v>
      </c>
      <c r="AW39" s="16">
        <v>200</v>
      </c>
      <c r="AX39" s="16">
        <v>186</v>
      </c>
      <c r="AY39" s="16">
        <v>186</v>
      </c>
      <c r="AZ39" s="16">
        <v>187</v>
      </c>
      <c r="BA39" s="16">
        <v>188</v>
      </c>
      <c r="BB39" s="16">
        <v>194</v>
      </c>
      <c r="BC39" s="16">
        <v>182</v>
      </c>
      <c r="BD39" s="16">
        <v>188</v>
      </c>
      <c r="BE39" s="16">
        <v>188</v>
      </c>
      <c r="BF39" s="16">
        <v>205</v>
      </c>
      <c r="BG39" s="16">
        <v>192</v>
      </c>
      <c r="BH39" s="16">
        <v>193</v>
      </c>
      <c r="BI39" s="16">
        <v>191</v>
      </c>
      <c r="BJ39" s="16">
        <v>205</v>
      </c>
      <c r="BK39" s="16">
        <v>182</v>
      </c>
      <c r="BL39" s="16">
        <v>193</v>
      </c>
      <c r="BM39" s="16">
        <v>192</v>
      </c>
      <c r="BN39" s="16">
        <v>209</v>
      </c>
      <c r="BO39" s="16">
        <v>182</v>
      </c>
      <c r="BP39" s="16">
        <v>203</v>
      </c>
      <c r="BQ39" s="16">
        <v>197</v>
      </c>
      <c r="BR39" s="16">
        <v>204</v>
      </c>
      <c r="BS39" s="16">
        <v>205</v>
      </c>
      <c r="BT39" s="16">
        <v>183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776</v>
      </c>
      <c r="DA39" s="16">
        <f t="shared" si="16"/>
        <v>786</v>
      </c>
      <c r="DB39" s="16">
        <f t="shared" si="18"/>
        <v>388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15" s="15" customFormat="1" x14ac:dyDescent="0.25">
      <c r="B40" s="48" t="s">
        <v>232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36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15"/>
        <v>0</v>
      </c>
      <c r="DA40" s="16">
        <f t="shared" si="16"/>
        <v>0</v>
      </c>
      <c r="DB40" s="16">
        <f t="shared" si="18"/>
        <v>36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15" s="15" customFormat="1" x14ac:dyDescent="0.25">
      <c r="B41" s="15" t="s">
        <v>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>
        <v>96</v>
      </c>
      <c r="AP41" s="16"/>
      <c r="AQ41" s="16">
        <v>345</v>
      </c>
      <c r="AR41" s="16">
        <v>70</v>
      </c>
      <c r="AS41" s="16">
        <v>98</v>
      </c>
      <c r="AT41" s="16">
        <v>314</v>
      </c>
      <c r="AU41" s="16">
        <v>354</v>
      </c>
      <c r="AV41" s="16">
        <v>74</v>
      </c>
      <c r="AW41" s="16">
        <v>109</v>
      </c>
      <c r="AX41" s="16">
        <v>298</v>
      </c>
      <c r="AY41" s="16">
        <v>335</v>
      </c>
      <c r="AZ41" s="16">
        <v>46</v>
      </c>
      <c r="BA41" s="16">
        <v>93</v>
      </c>
      <c r="BB41" s="16">
        <v>266</v>
      </c>
      <c r="BC41" s="16">
        <v>319</v>
      </c>
      <c r="BD41" s="16">
        <v>45</v>
      </c>
      <c r="BE41" s="16">
        <v>96</v>
      </c>
      <c r="BF41" s="16">
        <v>270</v>
      </c>
      <c r="BG41" s="16">
        <v>300</v>
      </c>
      <c r="BH41" s="16">
        <v>40</v>
      </c>
      <c r="BI41" s="16">
        <v>116</v>
      </c>
      <c r="BJ41" s="16">
        <v>282</v>
      </c>
      <c r="BK41" s="16">
        <v>321</v>
      </c>
      <c r="BL41" s="16">
        <v>44</v>
      </c>
      <c r="BM41" s="16">
        <v>97</v>
      </c>
      <c r="BN41" s="16">
        <v>264</v>
      </c>
      <c r="BO41" s="16">
        <v>287</v>
      </c>
      <c r="BP41" s="16">
        <v>38</v>
      </c>
      <c r="BQ41" s="16">
        <v>132</v>
      </c>
      <c r="BR41" s="16">
        <v>261</v>
      </c>
      <c r="BS41" s="16">
        <v>270</v>
      </c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726</v>
      </c>
      <c r="DA41" s="16">
        <f t="shared" si="16"/>
        <v>718</v>
      </c>
      <c r="DB41" s="16">
        <f t="shared" si="18"/>
        <v>270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15" s="15" customFormat="1" x14ac:dyDescent="0.25">
      <c r="B42" s="98" t="s">
        <v>428</v>
      </c>
      <c r="C42" s="16"/>
      <c r="D42" s="16"/>
      <c r="E42" s="16"/>
      <c r="F42" s="16"/>
      <c r="G42" s="16">
        <v>17</v>
      </c>
      <c r="H42" s="16">
        <v>193</v>
      </c>
      <c r="I42" s="16">
        <v>200</v>
      </c>
      <c r="J42" s="16">
        <v>211</v>
      </c>
      <c r="K42" s="16">
        <v>197</v>
      </c>
      <c r="L42" s="16">
        <v>226</v>
      </c>
      <c r="M42" s="16">
        <f>874-L42-K42-N42</f>
        <v>218</v>
      </c>
      <c r="N42" s="16">
        <v>233</v>
      </c>
      <c r="O42" s="16">
        <v>207</v>
      </c>
      <c r="P42" s="16">
        <v>189</v>
      </c>
      <c r="Q42" s="16">
        <f>604-P42-O42</f>
        <v>208</v>
      </c>
      <c r="R42" s="16">
        <v>195</v>
      </c>
      <c r="S42" s="16">
        <v>174</v>
      </c>
      <c r="T42" s="16">
        <v>197</v>
      </c>
      <c r="U42" s="16">
        <v>188</v>
      </c>
      <c r="V42" s="16">
        <v>200</v>
      </c>
      <c r="W42" s="16">
        <v>187</v>
      </c>
      <c r="X42" s="16">
        <v>202</v>
      </c>
      <c r="Y42" s="16">
        <v>200</v>
      </c>
      <c r="Z42" s="16">
        <v>198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15" s="15" customFormat="1" x14ac:dyDescent="0.25">
      <c r="B43" s="15" t="s">
        <v>3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>
        <v>241</v>
      </c>
      <c r="AN43" s="16">
        <v>284</v>
      </c>
      <c r="AO43" s="16">
        <v>287</v>
      </c>
      <c r="AP43" s="16">
        <v>373</v>
      </c>
      <c r="AQ43" s="16">
        <v>240</v>
      </c>
      <c r="AR43" s="16">
        <v>258</v>
      </c>
      <c r="AS43" s="16">
        <v>248</v>
      </c>
      <c r="AT43" s="16">
        <v>289</v>
      </c>
      <c r="AU43" s="16">
        <v>254</v>
      </c>
      <c r="AV43" s="16">
        <v>218</v>
      </c>
      <c r="AW43" s="16">
        <v>232</v>
      </c>
      <c r="AX43" s="16">
        <v>230</v>
      </c>
      <c r="AY43" s="16">
        <v>153</v>
      </c>
      <c r="AZ43" s="16">
        <v>170</v>
      </c>
      <c r="BA43" s="16">
        <v>177</v>
      </c>
      <c r="BB43" s="16">
        <v>194</v>
      </c>
      <c r="BC43" s="16">
        <v>156</v>
      </c>
      <c r="BD43" s="16">
        <v>171</v>
      </c>
      <c r="BE43" s="16">
        <v>174</v>
      </c>
      <c r="BF43" s="16">
        <v>174</v>
      </c>
      <c r="BG43" s="16">
        <v>136</v>
      </c>
      <c r="BH43" s="16">
        <v>154</v>
      </c>
      <c r="BI43" s="16">
        <v>147</v>
      </c>
      <c r="BJ43" s="16">
        <v>140</v>
      </c>
      <c r="BK43" s="16">
        <v>130</v>
      </c>
      <c r="BL43" s="16">
        <v>128</v>
      </c>
      <c r="BM43" s="16">
        <v>135</v>
      </c>
      <c r="BN43" s="16">
        <v>76</v>
      </c>
      <c r="BO43" s="16">
        <v>74</v>
      </c>
      <c r="BP43" s="16">
        <v>22</v>
      </c>
      <c r="BQ43" s="16">
        <v>53</v>
      </c>
      <c r="BR43" s="16">
        <v>23</v>
      </c>
      <c r="BS43" s="16">
        <v>8</v>
      </c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>
        <f t="shared" si="15"/>
        <v>469</v>
      </c>
      <c r="DA43" s="16">
        <f t="shared" si="16"/>
        <v>172</v>
      </c>
      <c r="DB43" s="16">
        <f t="shared" si="18"/>
        <v>8</v>
      </c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15" s="15" customFormat="1" x14ac:dyDescent="0.25">
      <c r="B44" s="98" t="s">
        <v>445</v>
      </c>
      <c r="C44" s="16"/>
      <c r="D44" s="16"/>
      <c r="E44" s="16"/>
      <c r="F44" s="16"/>
      <c r="G44" s="16">
        <v>104</v>
      </c>
      <c r="H44" s="16">
        <v>104</v>
      </c>
      <c r="I44" s="16">
        <v>126</v>
      </c>
      <c r="J44" s="16">
        <v>258</v>
      </c>
      <c r="K44" s="16">
        <v>293</v>
      </c>
      <c r="L44" s="16">
        <v>322</v>
      </c>
      <c r="M44" s="16">
        <f>1232-N44-K44-L44</f>
        <v>311</v>
      </c>
      <c r="N44" s="16">
        <v>306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15" s="15" customFormat="1" x14ac:dyDescent="0.25">
      <c r="B45" s="98" t="s">
        <v>433</v>
      </c>
      <c r="C45" s="16"/>
      <c r="D45" s="16"/>
      <c r="E45" s="16"/>
      <c r="F45" s="16"/>
      <c r="G45" s="16">
        <v>75</v>
      </c>
      <c r="H45" s="16">
        <v>50</v>
      </c>
      <c r="I45" s="16">
        <v>50</v>
      </c>
      <c r="J45" s="16">
        <v>148</v>
      </c>
      <c r="K45" s="16">
        <v>135</v>
      </c>
      <c r="L45" s="16">
        <v>85</v>
      </c>
      <c r="M45" s="16">
        <f>495-N45-L45-K45</f>
        <v>86</v>
      </c>
      <c r="N45" s="16">
        <v>189</v>
      </c>
      <c r="O45" s="16">
        <v>143</v>
      </c>
      <c r="P45" s="16">
        <v>135</v>
      </c>
      <c r="Q45" s="16">
        <f>378-P45-O45</f>
        <v>100</v>
      </c>
      <c r="R45" s="16">
        <v>259</v>
      </c>
      <c r="S45" s="16">
        <v>161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15" s="15" customFormat="1" x14ac:dyDescent="0.25">
      <c r="B46" s="98" t="s">
        <v>423</v>
      </c>
      <c r="C46" s="16"/>
      <c r="D46" s="16"/>
      <c r="E46" s="16"/>
      <c r="F46" s="16"/>
      <c r="G46" s="16">
        <v>290</v>
      </c>
      <c r="H46" s="16">
        <v>286</v>
      </c>
      <c r="I46" s="16">
        <v>224</v>
      </c>
      <c r="J46" s="16">
        <v>383</v>
      </c>
      <c r="K46" s="16">
        <v>353</v>
      </c>
      <c r="L46" s="16">
        <v>254</v>
      </c>
      <c r="M46" s="16">
        <f>1065-N46-L46-K46</f>
        <v>177</v>
      </c>
      <c r="N46" s="16">
        <v>281</v>
      </c>
      <c r="O46" s="16">
        <v>249</v>
      </c>
      <c r="P46" s="16">
        <v>138</v>
      </c>
      <c r="Q46" s="16">
        <f>580-P46-O46</f>
        <v>193</v>
      </c>
      <c r="R46" s="16">
        <v>235</v>
      </c>
      <c r="S46" s="16">
        <v>224</v>
      </c>
      <c r="T46" s="16">
        <v>170</v>
      </c>
      <c r="U46" s="16">
        <v>131</v>
      </c>
      <c r="V46" s="16">
        <v>200</v>
      </c>
      <c r="W46" s="16">
        <v>222</v>
      </c>
      <c r="X46" s="16">
        <v>159</v>
      </c>
      <c r="Y46" s="16">
        <v>115</v>
      </c>
      <c r="Z46" s="16">
        <v>154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15" s="15" customFormat="1" x14ac:dyDescent="0.25">
      <c r="B47" s="15" t="s">
        <v>11</v>
      </c>
      <c r="C47" s="16"/>
      <c r="D47" s="16"/>
      <c r="E47" s="16"/>
      <c r="F47" s="16"/>
      <c r="G47" s="16">
        <v>200</v>
      </c>
      <c r="H47" s="16">
        <v>225</v>
      </c>
      <c r="I47" s="16">
        <v>224</v>
      </c>
      <c r="J47" s="16">
        <v>247</v>
      </c>
      <c r="K47" s="16">
        <v>238</v>
      </c>
      <c r="L47" s="16">
        <v>236</v>
      </c>
      <c r="M47" s="16">
        <f>1005-N47-L47-K47</f>
        <v>259</v>
      </c>
      <c r="N47" s="16">
        <v>272</v>
      </c>
      <c r="O47" s="16">
        <v>280</v>
      </c>
      <c r="P47" s="16">
        <v>294</v>
      </c>
      <c r="Q47" s="16">
        <f>839-P47-O47</f>
        <v>265</v>
      </c>
      <c r="R47" s="16">
        <v>159</v>
      </c>
      <c r="S47" s="16">
        <v>300</v>
      </c>
      <c r="T47" s="16">
        <v>315</v>
      </c>
      <c r="U47" s="16">
        <v>338</v>
      </c>
      <c r="V47" s="16">
        <v>371</v>
      </c>
      <c r="W47" s="16">
        <v>353</v>
      </c>
      <c r="X47" s="16">
        <v>355</v>
      </c>
      <c r="Y47" s="16">
        <v>387</v>
      </c>
      <c r="Z47" s="16">
        <v>378</v>
      </c>
      <c r="AA47" s="16">
        <f>635-AB47</f>
        <v>292</v>
      </c>
      <c r="AB47" s="16">
        <v>343</v>
      </c>
      <c r="AC47" s="16">
        <v>353</v>
      </c>
      <c r="AD47" s="16">
        <v>378</v>
      </c>
      <c r="AE47" s="16">
        <v>292</v>
      </c>
      <c r="AF47" s="16">
        <v>294</v>
      </c>
      <c r="AG47" s="16">
        <v>328</v>
      </c>
      <c r="AH47" s="16">
        <v>341</v>
      </c>
      <c r="AI47" s="16">
        <v>248</v>
      </c>
      <c r="AJ47" s="16">
        <v>336</v>
      </c>
      <c r="AK47" s="16">
        <f>1170-AJ47-AI47-AL47</f>
        <v>298</v>
      </c>
      <c r="AL47" s="16">
        <v>288</v>
      </c>
      <c r="AM47" s="16">
        <v>221</v>
      </c>
      <c r="AN47" s="16">
        <v>275</v>
      </c>
      <c r="AO47" s="16">
        <v>267</v>
      </c>
      <c r="AP47" s="16">
        <v>250</v>
      </c>
      <c r="AQ47" s="16">
        <v>219</v>
      </c>
      <c r="AR47" s="16">
        <v>278</v>
      </c>
      <c r="AS47" s="16">
        <v>237</v>
      </c>
      <c r="AT47" s="16">
        <v>228</v>
      </c>
      <c r="AU47" s="16">
        <v>195</v>
      </c>
      <c r="AV47" s="16">
        <v>216</v>
      </c>
      <c r="AW47" s="16">
        <v>256</v>
      </c>
      <c r="AX47" s="16">
        <v>203</v>
      </c>
      <c r="AY47" s="16">
        <v>180</v>
      </c>
      <c r="AZ47" s="16">
        <v>167</v>
      </c>
      <c r="BA47" s="16">
        <v>168</v>
      </c>
      <c r="BB47" s="16">
        <v>185</v>
      </c>
      <c r="BC47" s="16">
        <v>133</v>
      </c>
      <c r="BD47" s="16">
        <v>146</v>
      </c>
      <c r="BE47" s="16">
        <v>137</v>
      </c>
      <c r="BF47" s="16">
        <v>133</v>
      </c>
      <c r="BG47" s="16">
        <v>115</v>
      </c>
      <c r="BH47" s="16">
        <v>110</v>
      </c>
      <c r="BI47" s="16">
        <v>85</v>
      </c>
      <c r="BJ47" s="16">
        <v>113</v>
      </c>
      <c r="BK47" s="16">
        <v>73</v>
      </c>
      <c r="BL47" s="16">
        <v>91</v>
      </c>
      <c r="BM47" s="16">
        <v>88</v>
      </c>
      <c r="BN47" s="16">
        <v>84</v>
      </c>
      <c r="BO47" s="16">
        <v>78</v>
      </c>
      <c r="BP47" s="16">
        <v>77</v>
      </c>
      <c r="BQ47" s="16">
        <v>74</v>
      </c>
      <c r="BR47" s="16">
        <v>54</v>
      </c>
      <c r="BS47" s="16">
        <v>86</v>
      </c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>
        <f t="shared" si="15"/>
        <v>336</v>
      </c>
      <c r="DA47" s="16">
        <f t="shared" si="16"/>
        <v>283</v>
      </c>
      <c r="DB47" s="16">
        <f t="shared" si="18"/>
        <v>86</v>
      </c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15" s="15" customFormat="1" x14ac:dyDescent="0.25">
      <c r="B48" s="98" t="s">
        <v>422</v>
      </c>
      <c r="C48" s="16"/>
      <c r="D48" s="16"/>
      <c r="E48" s="16"/>
      <c r="F48" s="16"/>
      <c r="G48" s="16">
        <v>225</v>
      </c>
      <c r="H48" s="16">
        <v>224</v>
      </c>
      <c r="I48" s="16">
        <v>262</v>
      </c>
      <c r="J48" s="16">
        <v>317</v>
      </c>
      <c r="K48" s="16">
        <v>217</v>
      </c>
      <c r="L48" s="16">
        <v>267</v>
      </c>
      <c r="M48" s="16">
        <f>1096-N48-L48-K48</f>
        <v>262</v>
      </c>
      <c r="N48" s="16">
        <v>350</v>
      </c>
      <c r="O48" s="16">
        <v>246</v>
      </c>
      <c r="P48" s="16">
        <v>339</v>
      </c>
      <c r="Q48" s="16">
        <f>904-P48-O48</f>
        <v>319</v>
      </c>
      <c r="R48" s="16">
        <v>405</v>
      </c>
      <c r="S48" s="16">
        <v>326</v>
      </c>
      <c r="T48" s="16">
        <v>404</v>
      </c>
      <c r="U48" s="16">
        <v>383</v>
      </c>
      <c r="V48" s="16">
        <v>461</v>
      </c>
      <c r="W48" s="16">
        <v>365</v>
      </c>
      <c r="X48" s="16">
        <v>414</v>
      </c>
      <c r="Y48" s="16">
        <v>387</v>
      </c>
      <c r="Z48" s="16">
        <v>268</v>
      </c>
      <c r="AA48" s="16">
        <f>232-AB48</f>
        <v>130</v>
      </c>
      <c r="AB48" s="16">
        <v>102</v>
      </c>
      <c r="AC48" s="16">
        <v>92</v>
      </c>
      <c r="AD48" s="16">
        <v>102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121" s="15" customFormat="1" x14ac:dyDescent="0.25">
      <c r="B49" s="15" t="s">
        <v>10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>
        <v>142</v>
      </c>
      <c r="T49" s="16">
        <v>170</v>
      </c>
      <c r="U49" s="16">
        <v>167</v>
      </c>
      <c r="V49" s="16">
        <v>179</v>
      </c>
      <c r="W49" s="16">
        <v>176</v>
      </c>
      <c r="X49" s="16">
        <v>194</v>
      </c>
      <c r="Y49" s="16">
        <v>194</v>
      </c>
      <c r="Z49" s="16">
        <v>221</v>
      </c>
      <c r="AA49" s="16">
        <f>386-AB49</f>
        <v>178</v>
      </c>
      <c r="AB49" s="16">
        <v>208</v>
      </c>
      <c r="AC49" s="16">
        <v>215</v>
      </c>
      <c r="AD49" s="16">
        <v>254</v>
      </c>
      <c r="AE49" s="16">
        <v>205</v>
      </c>
      <c r="AF49" s="16">
        <v>211</v>
      </c>
      <c r="AG49" s="16">
        <v>225</v>
      </c>
      <c r="AH49" s="16">
        <v>286</v>
      </c>
      <c r="AI49" s="16">
        <v>226</v>
      </c>
      <c r="AJ49" s="16">
        <v>247</v>
      </c>
      <c r="AK49" s="16">
        <f>976-AJ49-AI49-AL49</f>
        <v>245</v>
      </c>
      <c r="AL49" s="16">
        <v>258</v>
      </c>
      <c r="AM49" s="16">
        <v>191</v>
      </c>
      <c r="AN49" s="16">
        <v>211</v>
      </c>
      <c r="AO49" s="16">
        <v>232</v>
      </c>
      <c r="AP49" s="16">
        <v>277</v>
      </c>
      <c r="AQ49" s="16">
        <v>186</v>
      </c>
      <c r="AR49" s="16">
        <v>232</v>
      </c>
      <c r="AS49" s="16">
        <v>201</v>
      </c>
      <c r="AT49" s="16">
        <v>31</v>
      </c>
      <c r="AU49" s="16">
        <v>47</v>
      </c>
      <c r="AV49" s="16">
        <v>21</v>
      </c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>
        <f t="shared" si="15"/>
        <v>0</v>
      </c>
      <c r="DA49" s="16">
        <f t="shared" si="16"/>
        <v>0</v>
      </c>
      <c r="DB49" s="16">
        <f t="shared" si="18"/>
        <v>0</v>
      </c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121" s="15" customFormat="1" x14ac:dyDescent="0.25">
      <c r="B50" s="48" t="s">
        <v>233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16">
        <v>48</v>
      </c>
      <c r="AY50" s="16">
        <v>231</v>
      </c>
      <c r="AZ50" s="16">
        <v>385</v>
      </c>
      <c r="BA50" s="16">
        <v>469</v>
      </c>
      <c r="BB50" s="16">
        <v>554</v>
      </c>
      <c r="BC50" s="16">
        <v>414</v>
      </c>
      <c r="BD50" s="16">
        <v>419</v>
      </c>
      <c r="BE50" s="16">
        <v>378</v>
      </c>
      <c r="BF50" s="16">
        <v>311</v>
      </c>
      <c r="BG50" s="16">
        <v>263</v>
      </c>
      <c r="BH50" s="16">
        <v>225</v>
      </c>
      <c r="BI50" s="16">
        <v>0</v>
      </c>
      <c r="BJ50" s="16">
        <v>0</v>
      </c>
      <c r="BK50" s="16">
        <v>0</v>
      </c>
      <c r="BL50" s="16">
        <v>0</v>
      </c>
      <c r="BM50" s="16">
        <v>23</v>
      </c>
      <c r="BN50" s="16">
        <v>43</v>
      </c>
      <c r="BO50" s="16">
        <v>25</v>
      </c>
      <c r="BP50" s="16">
        <v>4</v>
      </c>
      <c r="BQ50" s="16">
        <v>3</v>
      </c>
      <c r="BR50" s="16">
        <v>4</v>
      </c>
      <c r="BS50" s="16">
        <v>5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66</v>
      </c>
      <c r="DA50" s="16">
        <f t="shared" si="16"/>
        <v>36</v>
      </c>
      <c r="DB50" s="16">
        <f t="shared" si="18"/>
        <v>5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121" s="15" customFormat="1" x14ac:dyDescent="0.25">
      <c r="B51" s="15" t="s">
        <v>8</v>
      </c>
      <c r="C51" s="16"/>
      <c r="D51" s="16"/>
      <c r="E51" s="16"/>
      <c r="F51" s="16"/>
      <c r="G51" s="16"/>
      <c r="H51" s="16"/>
      <c r="I51" s="16">
        <v>208</v>
      </c>
      <c r="J51" s="16">
        <v>227</v>
      </c>
      <c r="K51" s="16">
        <v>171</v>
      </c>
      <c r="L51" s="16">
        <v>219</v>
      </c>
      <c r="M51" s="16">
        <f>927-N51-L51-K51</f>
        <v>225</v>
      </c>
      <c r="N51" s="16">
        <v>312</v>
      </c>
      <c r="O51" s="16">
        <v>205</v>
      </c>
      <c r="P51" s="16">
        <v>266</v>
      </c>
      <c r="Q51" s="16">
        <f>722-P51-O51</f>
        <v>251</v>
      </c>
      <c r="R51" s="16">
        <v>326</v>
      </c>
      <c r="S51" s="16">
        <v>223</v>
      </c>
      <c r="T51" s="16">
        <v>302</v>
      </c>
      <c r="U51" s="16">
        <v>300</v>
      </c>
      <c r="V51" s="16">
        <v>392</v>
      </c>
      <c r="W51" s="16">
        <v>245</v>
      </c>
      <c r="X51" s="16">
        <v>307</v>
      </c>
      <c r="Y51" s="16">
        <v>334</v>
      </c>
      <c r="Z51" s="16">
        <v>455</v>
      </c>
      <c r="AA51" s="16">
        <f>588-AB51</f>
        <v>252</v>
      </c>
      <c r="AB51" s="16">
        <v>336</v>
      </c>
      <c r="AC51" s="16">
        <v>330</v>
      </c>
      <c r="AD51" s="16">
        <v>419</v>
      </c>
      <c r="AE51" s="16">
        <v>291</v>
      </c>
      <c r="AF51" s="16">
        <v>388</v>
      </c>
      <c r="AG51" s="16">
        <v>404</v>
      </c>
      <c r="AH51" s="16">
        <v>499</v>
      </c>
      <c r="AI51" s="16">
        <v>372</v>
      </c>
      <c r="AJ51" s="16">
        <v>419</v>
      </c>
      <c r="AK51" s="16">
        <f>1692-AJ51-AI51-AL51</f>
        <v>418</v>
      </c>
      <c r="AL51" s="16">
        <v>483</v>
      </c>
      <c r="AM51" s="16">
        <v>329</v>
      </c>
      <c r="AN51" s="16">
        <v>388</v>
      </c>
      <c r="AO51" s="16">
        <v>404</v>
      </c>
      <c r="AP51" s="16">
        <v>269</v>
      </c>
      <c r="AQ51" s="16">
        <v>128</v>
      </c>
      <c r="AR51" s="16">
        <v>107</v>
      </c>
      <c r="AS51" s="16">
        <v>39</v>
      </c>
      <c r="AT51" s="16">
        <v>29</v>
      </c>
      <c r="AU51" s="16">
        <v>23</v>
      </c>
      <c r="AV51" s="16">
        <v>17</v>
      </c>
      <c r="AW51" s="16">
        <v>63</v>
      </c>
      <c r="AX51" s="16">
        <v>104</v>
      </c>
      <c r="AY51" s="16"/>
      <c r="AZ51" s="16"/>
      <c r="BA51" s="16"/>
      <c r="BB51" s="16"/>
      <c r="BC51" s="16"/>
      <c r="BD51" s="16"/>
      <c r="BE51" s="16"/>
      <c r="BF51" s="16"/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0</v>
      </c>
      <c r="DA51" s="16">
        <f t="shared" si="16"/>
        <v>0</v>
      </c>
      <c r="DB51" s="16">
        <f t="shared" si="18"/>
        <v>0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121" s="15" customFormat="1" x14ac:dyDescent="0.25">
      <c r="B52" s="15" t="s">
        <v>63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135</v>
      </c>
      <c r="AP52" s="16"/>
      <c r="AQ52" s="16">
        <f>274-AR52</f>
        <v>137</v>
      </c>
      <c r="AR52" s="16">
        <v>137</v>
      </c>
      <c r="AS52" s="16">
        <v>138</v>
      </c>
      <c r="AT52" s="16">
        <v>156</v>
      </c>
      <c r="AU52" s="16">
        <v>142</v>
      </c>
      <c r="AV52" s="16">
        <v>154</v>
      </c>
      <c r="AW52" s="16">
        <v>134</v>
      </c>
      <c r="AX52" s="16">
        <v>120</v>
      </c>
      <c r="AY52" s="16">
        <v>126</v>
      </c>
      <c r="AZ52" s="16">
        <v>118</v>
      </c>
      <c r="BA52" s="16">
        <v>122</v>
      </c>
      <c r="BB52" s="16">
        <v>108</v>
      </c>
      <c r="BC52" s="16">
        <v>111</v>
      </c>
      <c r="BD52" s="16">
        <v>114</v>
      </c>
      <c r="BE52" s="16">
        <v>102</v>
      </c>
      <c r="BF52" s="16">
        <v>101</v>
      </c>
      <c r="BG52" s="16">
        <v>107</v>
      </c>
      <c r="BH52" s="16">
        <v>104</v>
      </c>
      <c r="BI52" s="16">
        <v>100</v>
      </c>
      <c r="BJ52" s="16">
        <v>99</v>
      </c>
      <c r="BK52" s="16">
        <v>106</v>
      </c>
      <c r="BL52" s="16">
        <v>113</v>
      </c>
      <c r="BM52" s="16">
        <v>86</v>
      </c>
      <c r="BN52" s="16">
        <v>86</v>
      </c>
      <c r="BO52" s="16">
        <v>92</v>
      </c>
      <c r="BP52" s="16">
        <v>91</v>
      </c>
      <c r="BQ52" s="16">
        <v>84</v>
      </c>
      <c r="BR52" s="16">
        <v>81</v>
      </c>
      <c r="BS52" s="16">
        <v>79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391</v>
      </c>
      <c r="DA52" s="16">
        <f t="shared" si="16"/>
        <v>348</v>
      </c>
      <c r="DB52" s="16">
        <f t="shared" si="18"/>
        <v>79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121" s="15" customFormat="1" x14ac:dyDescent="0.25">
      <c r="B53" s="15" t="s">
        <v>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91</v>
      </c>
      <c r="AP53" s="16"/>
      <c r="AQ53" s="16">
        <v>81</v>
      </c>
      <c r="AR53" s="16">
        <v>107</v>
      </c>
      <c r="AS53" s="16">
        <v>100</v>
      </c>
      <c r="AT53" s="16">
        <v>101</v>
      </c>
      <c r="AU53" s="16"/>
      <c r="AV53" s="16">
        <v>0</v>
      </c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0</v>
      </c>
      <c r="DA53" s="16">
        <f t="shared" si="16"/>
        <v>0</v>
      </c>
      <c r="DB53" s="16">
        <f t="shared" si="18"/>
        <v>0</v>
      </c>
      <c r="DC53" s="16"/>
      <c r="DD53" s="16"/>
      <c r="DE53" s="16"/>
      <c r="DF53" s="16"/>
      <c r="DG53" s="16"/>
      <c r="DH53" s="16"/>
      <c r="DI53" s="16"/>
      <c r="DJ53" s="16"/>
      <c r="DK53" s="16"/>
    </row>
    <row r="54" spans="2:121" s="15" customFormat="1" x14ac:dyDescent="0.25">
      <c r="B54" s="15" t="s">
        <v>13</v>
      </c>
      <c r="C54" s="16">
        <f t="shared" ref="C54:AH54" si="134">SUM(C5:C53)</f>
        <v>30</v>
      </c>
      <c r="D54" s="16">
        <f t="shared" si="134"/>
        <v>60</v>
      </c>
      <c r="E54" s="16">
        <f t="shared" si="134"/>
        <v>80</v>
      </c>
      <c r="F54" s="16">
        <f t="shared" si="134"/>
        <v>110</v>
      </c>
      <c r="G54" s="16">
        <f t="shared" si="134"/>
        <v>2207</v>
      </c>
      <c r="H54" s="16">
        <f t="shared" si="134"/>
        <v>2435</v>
      </c>
      <c r="I54" s="16">
        <f t="shared" si="134"/>
        <v>2684</v>
      </c>
      <c r="J54" s="16">
        <f t="shared" si="134"/>
        <v>2994</v>
      </c>
      <c r="K54" s="16">
        <f t="shared" si="134"/>
        <v>2871</v>
      </c>
      <c r="L54" s="16">
        <f t="shared" si="134"/>
        <v>2662</v>
      </c>
      <c r="M54" s="16">
        <f t="shared" si="134"/>
        <v>3248</v>
      </c>
      <c r="N54" s="16">
        <f t="shared" si="134"/>
        <v>3440</v>
      </c>
      <c r="O54" s="16">
        <f t="shared" si="134"/>
        <v>2725</v>
      </c>
      <c r="P54" s="16">
        <f t="shared" si="134"/>
        <v>2925</v>
      </c>
      <c r="Q54" s="16">
        <f t="shared" si="134"/>
        <v>2889</v>
      </c>
      <c r="R54" s="16">
        <f t="shared" si="134"/>
        <v>3311</v>
      </c>
      <c r="S54" s="16">
        <f t="shared" si="134"/>
        <v>2250</v>
      </c>
      <c r="T54" s="16">
        <f t="shared" si="134"/>
        <v>2414</v>
      </c>
      <c r="U54" s="16">
        <f t="shared" si="134"/>
        <v>2440</v>
      </c>
      <c r="V54" s="16">
        <f t="shared" si="134"/>
        <v>2910</v>
      </c>
      <c r="W54" s="16">
        <f t="shared" si="134"/>
        <v>2605</v>
      </c>
      <c r="X54" s="16">
        <f t="shared" si="134"/>
        <v>3012</v>
      </c>
      <c r="Y54" s="16">
        <f t="shared" si="134"/>
        <v>3171</v>
      </c>
      <c r="Z54" s="16">
        <f t="shared" si="134"/>
        <v>3380</v>
      </c>
      <c r="AA54" s="16">
        <f t="shared" si="134"/>
        <v>2173</v>
      </c>
      <c r="AB54" s="16">
        <f t="shared" si="134"/>
        <v>2613</v>
      </c>
      <c r="AC54" s="16">
        <f t="shared" si="134"/>
        <v>2810</v>
      </c>
      <c r="AD54" s="16">
        <f t="shared" si="134"/>
        <v>3178</v>
      </c>
      <c r="AE54" s="16">
        <f t="shared" si="134"/>
        <v>2480</v>
      </c>
      <c r="AF54" s="16">
        <f t="shared" si="134"/>
        <v>2802</v>
      </c>
      <c r="AG54" s="16">
        <f t="shared" si="134"/>
        <v>2968</v>
      </c>
      <c r="AH54" s="16">
        <f t="shared" si="134"/>
        <v>3365</v>
      </c>
      <c r="AI54" s="16">
        <f t="shared" ref="AI54:BN54" si="135">SUM(AI5:AI53)</f>
        <v>2821</v>
      </c>
      <c r="AJ54" s="16">
        <f t="shared" si="135"/>
        <v>3373</v>
      </c>
      <c r="AK54" s="16">
        <f t="shared" si="135"/>
        <v>3446</v>
      </c>
      <c r="AL54" s="16">
        <f t="shared" si="135"/>
        <v>3578</v>
      </c>
      <c r="AM54" s="16">
        <f t="shared" si="135"/>
        <v>3416</v>
      </c>
      <c r="AN54" s="16">
        <f t="shared" si="135"/>
        <v>3995</v>
      </c>
      <c r="AO54" s="16">
        <f t="shared" si="135"/>
        <v>4383</v>
      </c>
      <c r="AP54" s="16">
        <f t="shared" si="135"/>
        <v>4443</v>
      </c>
      <c r="AQ54" s="16">
        <f t="shared" si="135"/>
        <v>4009</v>
      </c>
      <c r="AR54" s="16">
        <f t="shared" si="135"/>
        <v>4297</v>
      </c>
      <c r="AS54" s="16">
        <f t="shared" si="135"/>
        <v>4335</v>
      </c>
      <c r="AT54" s="16">
        <f t="shared" si="135"/>
        <v>4749</v>
      </c>
      <c r="AU54" s="16">
        <f t="shared" si="135"/>
        <v>4157</v>
      </c>
      <c r="AV54" s="16">
        <f t="shared" si="135"/>
        <v>4506</v>
      </c>
      <c r="AW54" s="16">
        <f t="shared" si="135"/>
        <v>4649</v>
      </c>
      <c r="AX54" s="16">
        <f t="shared" si="135"/>
        <v>4966</v>
      </c>
      <c r="AY54" s="16">
        <f t="shared" si="135"/>
        <v>4694</v>
      </c>
      <c r="AZ54" s="16">
        <f t="shared" si="135"/>
        <v>5129</v>
      </c>
      <c r="BA54" s="16">
        <f t="shared" si="135"/>
        <v>5591</v>
      </c>
      <c r="BB54" s="16">
        <f t="shared" si="135"/>
        <v>6043</v>
      </c>
      <c r="BC54" s="16">
        <f t="shared" si="135"/>
        <v>5681</v>
      </c>
      <c r="BD54" s="16">
        <f t="shared" si="135"/>
        <v>6143</v>
      </c>
      <c r="BE54" s="16">
        <f t="shared" si="135"/>
        <v>6090</v>
      </c>
      <c r="BF54" s="16">
        <f t="shared" si="135"/>
        <v>6507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15"/>
        <v>0</v>
      </c>
      <c r="DA54" s="16">
        <f t="shared" si="16"/>
        <v>0</v>
      </c>
      <c r="DB54" s="16">
        <f t="shared" si="18"/>
        <v>0</v>
      </c>
      <c r="DC54" s="16"/>
      <c r="DD54" s="16"/>
      <c r="DE54" s="16"/>
      <c r="DF54" s="16"/>
      <c r="DG54" s="16"/>
      <c r="DH54" s="16"/>
      <c r="DI54" s="16"/>
      <c r="DJ54" s="16"/>
      <c r="DK54" s="16"/>
    </row>
    <row r="55" spans="2:121" s="15" customFormat="1" x14ac:dyDescent="0.25">
      <c r="B55" s="15" t="s">
        <v>12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>
        <v>301</v>
      </c>
      <c r="AP55" s="16"/>
      <c r="AQ55" s="16">
        <f>+AQ56-AQ54</f>
        <v>320</v>
      </c>
      <c r="AR55" s="16">
        <v>395</v>
      </c>
      <c r="AS55" s="16">
        <v>323</v>
      </c>
      <c r="AT55" s="16">
        <v>362</v>
      </c>
      <c r="AU55" s="16">
        <v>406</v>
      </c>
      <c r="AV55" s="16">
        <f>4926-AV54</f>
        <v>420</v>
      </c>
      <c r="AW55" s="16">
        <v>370</v>
      </c>
      <c r="AX55" s="16">
        <v>486</v>
      </c>
      <c r="AY55" s="16">
        <v>346</v>
      </c>
      <c r="AZ55" s="16">
        <v>346</v>
      </c>
      <c r="BA55" s="16">
        <v>353</v>
      </c>
      <c r="BB55" s="16">
        <v>317</v>
      </c>
      <c r="BC55" s="16">
        <v>277</v>
      </c>
      <c r="BD55" s="16">
        <v>289</v>
      </c>
      <c r="BE55" s="16">
        <v>296</v>
      </c>
      <c r="BF55" s="16">
        <v>277</v>
      </c>
      <c r="BG55" s="16">
        <f>6538-SUM(BG5:BG54)</f>
        <v>297</v>
      </c>
      <c r="BH55" s="16">
        <f>6944-SUM(BH5:BH54)</f>
        <v>289</v>
      </c>
      <c r="BI55" s="16">
        <f>6995-SUM(BI5:BI54)</f>
        <v>181</v>
      </c>
      <c r="BJ55" s="16">
        <f>7739-SUM(BJ5:BJ54)</f>
        <v>231</v>
      </c>
      <c r="BK55" s="16">
        <f>7934-7733</f>
        <v>201</v>
      </c>
      <c r="BL55" s="16">
        <v>131</v>
      </c>
      <c r="BM55" s="16">
        <v>25</v>
      </c>
      <c r="BN55" s="16">
        <f>8305-8239</f>
        <v>66</v>
      </c>
      <c r="BO55" s="16">
        <f>7828-7714</f>
        <v>114</v>
      </c>
      <c r="BP55" s="16">
        <v>254</v>
      </c>
      <c r="BQ55" s="16">
        <f>8479-8396</f>
        <v>83</v>
      </c>
      <c r="BR55" s="16">
        <f>8704-8631</f>
        <v>73</v>
      </c>
      <c r="BS55" s="16">
        <f>8619-8514</f>
        <v>105</v>
      </c>
      <c r="BT55" s="16">
        <f>10425-9835</f>
        <v>590</v>
      </c>
      <c r="BU55" s="16">
        <f>12882-11512</f>
        <v>1370</v>
      </c>
      <c r="BV55" s="16">
        <f>13858-12276</f>
        <v>1582</v>
      </c>
      <c r="BW55" s="16">
        <f>12935-11534</f>
        <v>1401</v>
      </c>
      <c r="BX55" s="16">
        <f>13959-12738</f>
        <v>1221</v>
      </c>
      <c r="BY55" s="16">
        <f>14342-13225</f>
        <v>1117</v>
      </c>
      <c r="BZ55" s="16">
        <f>14886-13501</f>
        <v>1385</v>
      </c>
      <c r="CA55" s="16">
        <f>13538-12327</f>
        <v>1211</v>
      </c>
      <c r="CB55" s="16">
        <f>14583-13574</f>
        <v>1009</v>
      </c>
      <c r="CC55" s="16">
        <v>925</v>
      </c>
      <c r="CD55" s="16">
        <v>992</v>
      </c>
      <c r="CE55" s="16">
        <v>691</v>
      </c>
      <c r="CF55" s="16">
        <v>741</v>
      </c>
      <c r="CG55" s="16">
        <v>782</v>
      </c>
      <c r="CH55" s="16">
        <f>3035-CG55-CF55-CE55</f>
        <v>821</v>
      </c>
      <c r="CI55" s="16">
        <v>744</v>
      </c>
      <c r="CJ55" s="16">
        <f>14462-SUM(CJ5:CJ30)</f>
        <v>810</v>
      </c>
      <c r="CK55" s="16">
        <v>726</v>
      </c>
      <c r="CL55" s="16">
        <f>+CH55</f>
        <v>821</v>
      </c>
      <c r="CM55" s="16">
        <f t="shared" ref="CM55:CP55" si="136">+CI55</f>
        <v>744</v>
      </c>
      <c r="CN55" s="16">
        <f t="shared" si="136"/>
        <v>810</v>
      </c>
      <c r="CO55" s="16">
        <f t="shared" si="136"/>
        <v>726</v>
      </c>
      <c r="CP55" s="16">
        <f t="shared" si="136"/>
        <v>821</v>
      </c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423</v>
      </c>
      <c r="DA55" s="16">
        <f t="shared" ref="DA55" si="137">SUM(BO55:BR55)</f>
        <v>524</v>
      </c>
      <c r="DB55" s="16">
        <f t="shared" ref="DB55" si="138">SUM(BS55:BV55)</f>
        <v>3647</v>
      </c>
      <c r="DC55" s="16">
        <f t="shared" si="19"/>
        <v>5124</v>
      </c>
      <c r="DD55" s="16">
        <f t="shared" si="20"/>
        <v>4137</v>
      </c>
      <c r="DE55" s="16">
        <f>SUM(CE55:CH55)</f>
        <v>3035</v>
      </c>
      <c r="DF55" s="16">
        <f>SUM(CI55:CL55)</f>
        <v>3101</v>
      </c>
      <c r="DG55" s="16">
        <f t="shared" ref="DG55:DL55" si="139">+DF55*0.9</f>
        <v>2790.9</v>
      </c>
      <c r="DH55" s="16">
        <f t="shared" si="139"/>
        <v>2511.81</v>
      </c>
      <c r="DI55" s="16">
        <f t="shared" si="139"/>
        <v>2260.6289999999999</v>
      </c>
      <c r="DJ55" s="16">
        <f t="shared" si="139"/>
        <v>2034.5661</v>
      </c>
      <c r="DK55" s="16">
        <f t="shared" si="139"/>
        <v>1831.1094900000001</v>
      </c>
      <c r="DL55" s="16">
        <f t="shared" si="139"/>
        <v>1647.9985410000002</v>
      </c>
      <c r="DM55" s="16">
        <f t="shared" ref="DM55" si="140">+DL55*0.9</f>
        <v>1483.1986869000002</v>
      </c>
      <c r="DN55" s="16">
        <f t="shared" ref="DN55" si="141">+DM55*0.9</f>
        <v>1334.8788182100002</v>
      </c>
      <c r="DO55" s="16">
        <f t="shared" ref="DO55" si="142">+DN55*0.9</f>
        <v>1201.3909363890002</v>
      </c>
      <c r="DP55" s="16">
        <f t="shared" ref="DP55" si="143">+DO55*0.9</f>
        <v>1081.2518427501002</v>
      </c>
      <c r="DQ55" s="16">
        <f t="shared" ref="DQ55" si="144">+DP55*0.9</f>
        <v>973.12665847509015</v>
      </c>
    </row>
    <row r="56" spans="2:121" s="17" customFormat="1" ht="13" x14ac:dyDescent="0.3">
      <c r="B56" s="17" t="s">
        <v>241</v>
      </c>
      <c r="C56" s="18">
        <f t="shared" ref="C56:AP56" si="145">+C55+C54</f>
        <v>30</v>
      </c>
      <c r="D56" s="18">
        <f t="shared" si="145"/>
        <v>60</v>
      </c>
      <c r="E56" s="18">
        <f t="shared" si="145"/>
        <v>80</v>
      </c>
      <c r="F56" s="18">
        <f t="shared" si="145"/>
        <v>110</v>
      </c>
      <c r="G56" s="18">
        <f t="shared" si="145"/>
        <v>2207</v>
      </c>
      <c r="H56" s="18">
        <f t="shared" si="145"/>
        <v>2435</v>
      </c>
      <c r="I56" s="18">
        <f t="shared" si="145"/>
        <v>2684</v>
      </c>
      <c r="J56" s="18">
        <f t="shared" si="145"/>
        <v>2994</v>
      </c>
      <c r="K56" s="18">
        <f t="shared" si="145"/>
        <v>2871</v>
      </c>
      <c r="L56" s="18">
        <f t="shared" si="145"/>
        <v>2662</v>
      </c>
      <c r="M56" s="18">
        <f t="shared" si="145"/>
        <v>3248</v>
      </c>
      <c r="N56" s="18">
        <f t="shared" si="145"/>
        <v>3440</v>
      </c>
      <c r="O56" s="18">
        <f t="shared" si="145"/>
        <v>2725</v>
      </c>
      <c r="P56" s="18">
        <f t="shared" si="145"/>
        <v>2925</v>
      </c>
      <c r="Q56" s="18">
        <f t="shared" si="145"/>
        <v>2889</v>
      </c>
      <c r="R56" s="18">
        <f t="shared" si="145"/>
        <v>3311</v>
      </c>
      <c r="S56" s="18">
        <f t="shared" si="145"/>
        <v>2250</v>
      </c>
      <c r="T56" s="18">
        <f t="shared" si="145"/>
        <v>2414</v>
      </c>
      <c r="U56" s="18">
        <f t="shared" si="145"/>
        <v>2440</v>
      </c>
      <c r="V56" s="18">
        <f t="shared" si="145"/>
        <v>2910</v>
      </c>
      <c r="W56" s="18">
        <f t="shared" si="145"/>
        <v>2605</v>
      </c>
      <c r="X56" s="18">
        <f t="shared" si="145"/>
        <v>3012</v>
      </c>
      <c r="Y56" s="18">
        <f t="shared" si="145"/>
        <v>3171</v>
      </c>
      <c r="Z56" s="18">
        <f t="shared" si="145"/>
        <v>3380</v>
      </c>
      <c r="AA56" s="18">
        <f t="shared" si="145"/>
        <v>2173</v>
      </c>
      <c r="AB56" s="18">
        <f t="shared" si="145"/>
        <v>2613</v>
      </c>
      <c r="AC56" s="18">
        <f t="shared" si="145"/>
        <v>2810</v>
      </c>
      <c r="AD56" s="18">
        <f t="shared" si="145"/>
        <v>3178</v>
      </c>
      <c r="AE56" s="18">
        <f t="shared" si="145"/>
        <v>2480</v>
      </c>
      <c r="AF56" s="18">
        <f t="shared" si="145"/>
        <v>2802</v>
      </c>
      <c r="AG56" s="18">
        <f t="shared" si="145"/>
        <v>2968</v>
      </c>
      <c r="AH56" s="18">
        <f t="shared" si="145"/>
        <v>3365</v>
      </c>
      <c r="AI56" s="18">
        <f t="shared" si="145"/>
        <v>2821</v>
      </c>
      <c r="AJ56" s="18">
        <f t="shared" si="145"/>
        <v>3373</v>
      </c>
      <c r="AK56" s="18">
        <f t="shared" si="145"/>
        <v>3446</v>
      </c>
      <c r="AL56" s="18">
        <f t="shared" si="145"/>
        <v>3578</v>
      </c>
      <c r="AM56" s="18">
        <f t="shared" si="145"/>
        <v>3416</v>
      </c>
      <c r="AN56" s="18">
        <f t="shared" si="145"/>
        <v>3995</v>
      </c>
      <c r="AO56" s="18">
        <f t="shared" si="145"/>
        <v>4684</v>
      </c>
      <c r="AP56" s="18">
        <f t="shared" si="145"/>
        <v>4443</v>
      </c>
      <c r="AQ56" s="18">
        <v>4329</v>
      </c>
      <c r="AR56" s="18">
        <f>+AR54+AR55</f>
        <v>4692</v>
      </c>
      <c r="AS56" s="18">
        <f t="shared" ref="AS56:BF56" si="146">+AS55+AS54</f>
        <v>4658</v>
      </c>
      <c r="AT56" s="18">
        <f t="shared" si="146"/>
        <v>5111</v>
      </c>
      <c r="AU56" s="18">
        <f t="shared" si="146"/>
        <v>4563</v>
      </c>
      <c r="AV56" s="18">
        <f t="shared" si="146"/>
        <v>4926</v>
      </c>
      <c r="AW56" s="18">
        <f t="shared" si="146"/>
        <v>5019</v>
      </c>
      <c r="AX56" s="18">
        <f t="shared" si="146"/>
        <v>5452</v>
      </c>
      <c r="AY56" s="18">
        <f t="shared" si="146"/>
        <v>5040</v>
      </c>
      <c r="AZ56" s="18">
        <f t="shared" si="146"/>
        <v>5475</v>
      </c>
      <c r="BA56" s="18">
        <f t="shared" si="146"/>
        <v>5944</v>
      </c>
      <c r="BB56" s="18">
        <f t="shared" si="146"/>
        <v>6360</v>
      </c>
      <c r="BC56" s="18">
        <f t="shared" si="146"/>
        <v>5958</v>
      </c>
      <c r="BD56" s="18">
        <f t="shared" si="146"/>
        <v>6432</v>
      </c>
      <c r="BE56" s="18">
        <f t="shared" si="146"/>
        <v>6386</v>
      </c>
      <c r="BF56" s="18">
        <f t="shared" si="146"/>
        <v>6784</v>
      </c>
      <c r="BG56" s="18">
        <v>6538</v>
      </c>
      <c r="BH56" s="18">
        <v>6944</v>
      </c>
      <c r="BI56" s="18">
        <v>6995</v>
      </c>
      <c r="BJ56" s="18">
        <f>SUM(BJ5:BJ55)</f>
        <v>7739</v>
      </c>
      <c r="BK56" s="18">
        <v>7934</v>
      </c>
      <c r="BL56" s="18">
        <f t="shared" ref="BL56:CL56" si="147">SUM(BL5:BL55)</f>
        <v>8258</v>
      </c>
      <c r="BM56" s="18">
        <f t="shared" si="147"/>
        <v>8236</v>
      </c>
      <c r="BN56" s="18">
        <f t="shared" si="147"/>
        <v>8305</v>
      </c>
      <c r="BO56" s="18">
        <f t="shared" si="147"/>
        <v>7828</v>
      </c>
      <c r="BP56" s="18">
        <f t="shared" si="147"/>
        <v>8255</v>
      </c>
      <c r="BQ56" s="18">
        <f t="shared" si="147"/>
        <v>8479</v>
      </c>
      <c r="BR56" s="18">
        <f t="shared" si="147"/>
        <v>8704</v>
      </c>
      <c r="BS56" s="18">
        <f t="shared" si="147"/>
        <v>8619</v>
      </c>
      <c r="BT56" s="18">
        <f t="shared" si="147"/>
        <v>10425</v>
      </c>
      <c r="BU56" s="18">
        <f t="shared" si="147"/>
        <v>12882</v>
      </c>
      <c r="BV56" s="18">
        <f t="shared" si="147"/>
        <v>13858</v>
      </c>
      <c r="BW56" s="18">
        <f t="shared" si="147"/>
        <v>12935</v>
      </c>
      <c r="BX56" s="18">
        <f t="shared" si="147"/>
        <v>13959</v>
      </c>
      <c r="BY56" s="18">
        <f t="shared" si="147"/>
        <v>14342</v>
      </c>
      <c r="BZ56" s="18">
        <f t="shared" si="147"/>
        <v>14886</v>
      </c>
      <c r="CA56" s="18">
        <f t="shared" si="147"/>
        <v>13538</v>
      </c>
      <c r="CB56" s="18">
        <f t="shared" si="147"/>
        <v>14583</v>
      </c>
      <c r="CC56" s="18">
        <f t="shared" si="147"/>
        <v>14812</v>
      </c>
      <c r="CD56" s="18">
        <f t="shared" si="147"/>
        <v>15121</v>
      </c>
      <c r="CE56" s="18">
        <f t="shared" si="147"/>
        <v>12225</v>
      </c>
      <c r="CF56" s="18">
        <f t="shared" si="147"/>
        <v>13865</v>
      </c>
      <c r="CG56" s="18">
        <f t="shared" si="147"/>
        <v>13927</v>
      </c>
      <c r="CH56" s="18">
        <f t="shared" si="147"/>
        <v>14301</v>
      </c>
      <c r="CI56" s="18">
        <f t="shared" si="147"/>
        <v>12310</v>
      </c>
      <c r="CJ56" s="18">
        <f t="shared" si="147"/>
        <v>14462</v>
      </c>
      <c r="CK56" s="18">
        <f t="shared" si="147"/>
        <v>14460</v>
      </c>
      <c r="CL56" s="18">
        <f t="shared" si="147"/>
        <v>14376.49</v>
      </c>
      <c r="CM56" s="18">
        <f t="shared" ref="CM56:CP56" si="148">SUM(CM5:CM55)</f>
        <v>12632.049999999997</v>
      </c>
      <c r="CN56" s="18">
        <f t="shared" si="148"/>
        <v>14892.750000000002</v>
      </c>
      <c r="CO56" s="18">
        <f t="shared" si="148"/>
        <v>15370.960000000001</v>
      </c>
      <c r="CP56" s="18">
        <f t="shared" si="148"/>
        <v>15381.247100000002</v>
      </c>
      <c r="CQ56" s="18"/>
      <c r="CR56" s="18"/>
      <c r="CS56" s="18"/>
      <c r="CT56" s="18"/>
      <c r="CU56" s="18"/>
      <c r="CV56" s="18"/>
      <c r="CW56" s="18"/>
      <c r="CX56" s="18"/>
      <c r="CY56" s="18"/>
      <c r="CZ56" s="18">
        <f t="shared" ref="CZ56:DL56" si="149">SUM(CZ5:CZ55)</f>
        <v>32733</v>
      </c>
      <c r="DA56" s="18">
        <f t="shared" si="149"/>
        <v>33266</v>
      </c>
      <c r="DB56" s="18">
        <f t="shared" si="149"/>
        <v>45784</v>
      </c>
      <c r="DC56" s="18">
        <f t="shared" si="149"/>
        <v>56122</v>
      </c>
      <c r="DD56" s="18">
        <f t="shared" si="149"/>
        <v>57838</v>
      </c>
      <c r="DE56" s="18">
        <f t="shared" si="149"/>
        <v>54318</v>
      </c>
      <c r="DF56" s="18">
        <f t="shared" si="149"/>
        <v>55608.49</v>
      </c>
      <c r="DG56" s="18">
        <f t="shared" si="149"/>
        <v>58416.907100000004</v>
      </c>
      <c r="DH56" s="18">
        <f t="shared" si="149"/>
        <v>59010.721429999998</v>
      </c>
      <c r="DI56" s="18">
        <f t="shared" si="149"/>
        <v>60633.254911999997</v>
      </c>
      <c r="DJ56" s="18">
        <f t="shared" si="149"/>
        <v>60222.559253540036</v>
      </c>
      <c r="DK56" s="18">
        <f t="shared" si="149"/>
        <v>60718.380274947718</v>
      </c>
      <c r="DL56" s="18">
        <f t="shared" si="149"/>
        <v>52517.014799691678</v>
      </c>
      <c r="DM56" s="18">
        <f t="shared" ref="DM56:DQ56" si="150">SUM(DM5:DM55)</f>
        <v>41616.175970055272</v>
      </c>
      <c r="DN56" s="18">
        <f t="shared" si="150"/>
        <v>41322.083416082649</v>
      </c>
      <c r="DO56" s="18">
        <f t="shared" si="150"/>
        <v>42241.422794044694</v>
      </c>
      <c r="DP56" s="18">
        <f t="shared" si="150"/>
        <v>43305.91709556312</v>
      </c>
      <c r="DQ56" s="18">
        <f t="shared" si="150"/>
        <v>44210.609882333192</v>
      </c>
    </row>
    <row r="57" spans="2:121" s="15" customFormat="1" x14ac:dyDescent="0.25">
      <c r="B57" s="15" t="s">
        <v>25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>
        <v>1153</v>
      </c>
      <c r="AR57" s="16">
        <v>1054</v>
      </c>
      <c r="AS57" s="16">
        <v>1092</v>
      </c>
      <c r="AT57" s="16">
        <v>1282</v>
      </c>
      <c r="AU57" s="16">
        <v>1100</v>
      </c>
      <c r="AV57" s="16">
        <f>1113-69-3-6</f>
        <v>1035</v>
      </c>
      <c r="AW57" s="16">
        <v>1094</v>
      </c>
      <c r="AX57" s="16">
        <v>1119</v>
      </c>
      <c r="AY57" s="16">
        <v>942</v>
      </c>
      <c r="AZ57" s="16">
        <v>916</v>
      </c>
      <c r="BA57" s="16">
        <v>1167</v>
      </c>
      <c r="BB57" s="16">
        <v>1475</v>
      </c>
      <c r="BC57" s="16">
        <v>1369</v>
      </c>
      <c r="BD57" s="16">
        <v>1405</v>
      </c>
      <c r="BE57" s="16">
        <v>1235</v>
      </c>
      <c r="BF57" s="16">
        <v>1287</v>
      </c>
      <c r="BG57" s="16">
        <v>1313</v>
      </c>
      <c r="BH57" s="16">
        <v>1231</v>
      </c>
      <c r="BI57" s="16">
        <v>1342</v>
      </c>
      <c r="BJ57" s="16">
        <v>1625</v>
      </c>
      <c r="BK57" s="16">
        <v>1572</v>
      </c>
      <c r="BL57" s="16">
        <v>1607</v>
      </c>
      <c r="BM57" s="16">
        <v>1509</v>
      </c>
      <c r="BN57" s="16">
        <v>1674</v>
      </c>
      <c r="BO57" s="16">
        <v>1303</v>
      </c>
      <c r="BP57" s="16">
        <v>1427</v>
      </c>
      <c r="BQ57" s="16">
        <v>1525</v>
      </c>
      <c r="BR57" s="16">
        <v>1605</v>
      </c>
      <c r="BS57" s="16">
        <v>1494</v>
      </c>
      <c r="BT57" s="16">
        <v>1796</v>
      </c>
      <c r="BU57" s="16">
        <v>2362</v>
      </c>
      <c r="BV57" s="16">
        <v>2523</v>
      </c>
      <c r="BW57" s="16">
        <v>2085</v>
      </c>
      <c r="BX57" s="16">
        <v>2479</v>
      </c>
      <c r="BY57" s="16">
        <v>2413</v>
      </c>
      <c r="BZ57" s="16">
        <v>2448</v>
      </c>
      <c r="CA57" s="16">
        <v>2103</v>
      </c>
      <c r="CB57" s="16">
        <v>2167</v>
      </c>
      <c r="CC57" s="16">
        <v>2167</v>
      </c>
      <c r="CD57" s="16">
        <f>+CD56-CD58</f>
        <v>2268.1499999999996</v>
      </c>
      <c r="CE57" s="16">
        <v>1931</v>
      </c>
      <c r="CF57" s="16">
        <v>2117</v>
      </c>
      <c r="CG57" s="16">
        <v>2301</v>
      </c>
      <c r="CH57" s="16">
        <v>2297</v>
      </c>
      <c r="CI57" s="16">
        <v>2108</v>
      </c>
      <c r="CJ57" s="16">
        <v>2135</v>
      </c>
      <c r="CK57" s="16">
        <v>2251</v>
      </c>
      <c r="CL57" s="16">
        <f>+CL56-CL58</f>
        <v>2444.0033000000003</v>
      </c>
      <c r="CM57" s="16">
        <f>+CM56-CM58</f>
        <v>1894.8075000000008</v>
      </c>
      <c r="CN57" s="16">
        <f>+CN56-CN58</f>
        <v>2233.9125000000004</v>
      </c>
      <c r="CO57" s="16">
        <f>+CO56-CO58</f>
        <v>2305.6440000000002</v>
      </c>
      <c r="CP57" s="16">
        <f>+CP56-CP58</f>
        <v>2307.1870650000001</v>
      </c>
      <c r="CQ57" s="16"/>
      <c r="CR57" s="16"/>
      <c r="CS57" s="16"/>
      <c r="CT57" s="16"/>
      <c r="CU57" s="16"/>
      <c r="CV57" s="16"/>
      <c r="CW57" s="16"/>
      <c r="CX57" s="16"/>
      <c r="CY57" s="16"/>
      <c r="CZ57" s="16">
        <f t="shared" si="15"/>
        <v>6362</v>
      </c>
      <c r="DA57" s="16">
        <f t="shared" ref="DA57" si="151">SUM(BO57:BR57)</f>
        <v>5860</v>
      </c>
      <c r="DB57" s="16">
        <f t="shared" ref="DB57" si="152">SUM(BS57:BV57)</f>
        <v>8175</v>
      </c>
      <c r="DC57" s="16">
        <f t="shared" ref="DC57" si="153">SUM(BW57:BZ57)</f>
        <v>9425</v>
      </c>
      <c r="DD57" s="16">
        <f t="shared" ref="DD57" si="154">SUM(CA57:CD57)</f>
        <v>8705.15</v>
      </c>
      <c r="DE57" s="16">
        <f>SUM(CE57:CH57)</f>
        <v>8646</v>
      </c>
      <c r="DF57" s="16">
        <f>SUM(CI57:CL57)</f>
        <v>8938.0033000000003</v>
      </c>
      <c r="DG57" s="16">
        <f t="shared" ref="DG57:DL57" si="155">+DG56-DG58</f>
        <v>8762.5360650000002</v>
      </c>
      <c r="DH57" s="16">
        <f t="shared" si="155"/>
        <v>8851.6082145000037</v>
      </c>
      <c r="DI57" s="16">
        <f t="shared" si="155"/>
        <v>9094.9882368000035</v>
      </c>
      <c r="DJ57" s="16">
        <f t="shared" si="155"/>
        <v>9033.3838880310068</v>
      </c>
      <c r="DK57" s="16">
        <f t="shared" si="155"/>
        <v>9107.7570412421555</v>
      </c>
      <c r="DL57" s="16">
        <f t="shared" si="155"/>
        <v>7877.5522199537518</v>
      </c>
    </row>
    <row r="58" spans="2:121" s="15" customFormat="1" x14ac:dyDescent="0.25">
      <c r="B58" s="15" t="s">
        <v>24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f t="shared" ref="AQ58:BB58" si="156">+AQ56-AQ57</f>
        <v>3176</v>
      </c>
      <c r="AR58" s="16">
        <f t="shared" si="156"/>
        <v>3638</v>
      </c>
      <c r="AS58" s="16">
        <f t="shared" si="156"/>
        <v>3566</v>
      </c>
      <c r="AT58" s="16">
        <f t="shared" si="156"/>
        <v>3829</v>
      </c>
      <c r="AU58" s="16">
        <f t="shared" si="156"/>
        <v>3463</v>
      </c>
      <c r="AV58" s="16">
        <f t="shared" si="156"/>
        <v>3891</v>
      </c>
      <c r="AW58" s="16">
        <f t="shared" si="156"/>
        <v>3925</v>
      </c>
      <c r="AX58" s="16">
        <f t="shared" si="156"/>
        <v>4333</v>
      </c>
      <c r="AY58" s="16">
        <f t="shared" si="156"/>
        <v>4098</v>
      </c>
      <c r="AZ58" s="16">
        <f t="shared" si="156"/>
        <v>4559</v>
      </c>
      <c r="BA58" s="16">
        <f t="shared" si="156"/>
        <v>4777</v>
      </c>
      <c r="BB58" s="16">
        <f t="shared" si="156"/>
        <v>4885</v>
      </c>
      <c r="BC58" s="16">
        <f t="shared" ref="BC58" si="157">+BC56-BC57</f>
        <v>4589</v>
      </c>
      <c r="BD58" s="16">
        <f t="shared" ref="BD58:BE58" si="158">+BD56-BD57</f>
        <v>5027</v>
      </c>
      <c r="BE58" s="16">
        <f t="shared" si="158"/>
        <v>5151</v>
      </c>
      <c r="BF58" s="16">
        <f t="shared" ref="BF58:BG58" si="159">+BF56-BF57</f>
        <v>5497</v>
      </c>
      <c r="BG58" s="16">
        <f t="shared" si="159"/>
        <v>5225</v>
      </c>
      <c r="BH58" s="16">
        <f t="shared" ref="BH58:BI58" si="160">+BH56-BH57</f>
        <v>5713</v>
      </c>
      <c r="BI58" s="16">
        <f t="shared" si="160"/>
        <v>5653</v>
      </c>
      <c r="BJ58" s="16">
        <f t="shared" ref="BJ58" si="161">+BJ56-BJ57</f>
        <v>6114</v>
      </c>
      <c r="BK58" s="16">
        <f t="shared" ref="BK58:BP58" si="162">+BK56-BK57</f>
        <v>6362</v>
      </c>
      <c r="BL58" s="16">
        <f t="shared" si="162"/>
        <v>6651</v>
      </c>
      <c r="BM58" s="16">
        <f t="shared" si="162"/>
        <v>6727</v>
      </c>
      <c r="BN58" s="16">
        <f t="shared" si="162"/>
        <v>6631</v>
      </c>
      <c r="BO58" s="16">
        <f t="shared" si="162"/>
        <v>6525</v>
      </c>
      <c r="BP58" s="16">
        <f t="shared" si="162"/>
        <v>6828</v>
      </c>
      <c r="BQ58" s="16">
        <f t="shared" ref="BQ58:BR58" si="163">BQ56-BQ57</f>
        <v>6954</v>
      </c>
      <c r="BR58" s="16">
        <f t="shared" si="163"/>
        <v>7099</v>
      </c>
      <c r="BS58" s="16">
        <f t="shared" ref="BS58:BT58" si="164">BS56-BS57</f>
        <v>7125</v>
      </c>
      <c r="BT58" s="16">
        <f t="shared" si="164"/>
        <v>8629</v>
      </c>
      <c r="BU58" s="16">
        <f t="shared" ref="BU58:CA58" si="165">BU56-BU57</f>
        <v>10520</v>
      </c>
      <c r="BV58" s="16">
        <f t="shared" si="165"/>
        <v>11335</v>
      </c>
      <c r="BW58" s="16">
        <f t="shared" si="165"/>
        <v>10850</v>
      </c>
      <c r="BX58" s="16">
        <f t="shared" si="165"/>
        <v>11480</v>
      </c>
      <c r="BY58" s="16">
        <f t="shared" si="165"/>
        <v>11929</v>
      </c>
      <c r="BZ58" s="16">
        <f t="shared" si="165"/>
        <v>12438</v>
      </c>
      <c r="CA58" s="16">
        <f t="shared" si="165"/>
        <v>11435</v>
      </c>
      <c r="CB58" s="16">
        <f t="shared" ref="CB58" si="166">CB56-CB57</f>
        <v>12416</v>
      </c>
      <c r="CC58" s="16">
        <f>+CC56-CC57</f>
        <v>12645</v>
      </c>
      <c r="CD58" s="16">
        <f>+CD56*0.85</f>
        <v>12852.85</v>
      </c>
      <c r="CE58" s="16">
        <f>CE56-CE57</f>
        <v>10294</v>
      </c>
      <c r="CF58" s="16">
        <f t="shared" ref="CF58:CK58" si="167">+CF56-CF57</f>
        <v>11748</v>
      </c>
      <c r="CG58" s="16">
        <f t="shared" si="167"/>
        <v>11626</v>
      </c>
      <c r="CH58" s="16">
        <f t="shared" si="167"/>
        <v>12004</v>
      </c>
      <c r="CI58" s="16">
        <f t="shared" si="167"/>
        <v>10202</v>
      </c>
      <c r="CJ58" s="16">
        <f t="shared" si="167"/>
        <v>12327</v>
      </c>
      <c r="CK58" s="16">
        <f t="shared" si="167"/>
        <v>12209</v>
      </c>
      <c r="CL58" s="16">
        <f>+CL56*0.83</f>
        <v>11932.486699999999</v>
      </c>
      <c r="CM58" s="16">
        <f>+CM56*0.85</f>
        <v>10737.242499999997</v>
      </c>
      <c r="CN58" s="16">
        <f>+CN56*0.85</f>
        <v>12658.837500000001</v>
      </c>
      <c r="CO58" s="16">
        <f>+CO56*0.85</f>
        <v>13065.316000000001</v>
      </c>
      <c r="CP58" s="16">
        <f>+CP56*0.85</f>
        <v>13074.060035000002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ref="CZ58:DB58" si="168">+CZ56-CZ57</f>
        <v>26371</v>
      </c>
      <c r="DA58" s="16">
        <f t="shared" si="168"/>
        <v>27406</v>
      </c>
      <c r="DB58" s="16">
        <f t="shared" si="168"/>
        <v>37609</v>
      </c>
      <c r="DC58" s="16">
        <f>+DC56-DC57</f>
        <v>46697</v>
      </c>
      <c r="DD58" s="16">
        <f>+DD56-DD57</f>
        <v>49132.85</v>
      </c>
      <c r="DE58" s="16">
        <f>+DE56-DE57</f>
        <v>45672</v>
      </c>
      <c r="DF58" s="16">
        <f>+DF56-DF57</f>
        <v>46670.486699999994</v>
      </c>
      <c r="DG58" s="16">
        <f t="shared" ref="DG58:DL58" si="169">+DG56*0.85</f>
        <v>49654.371035000004</v>
      </c>
      <c r="DH58" s="16">
        <f t="shared" si="169"/>
        <v>50159.113215499994</v>
      </c>
      <c r="DI58" s="16">
        <f t="shared" si="169"/>
        <v>51538.266675199993</v>
      </c>
      <c r="DJ58" s="16">
        <f t="shared" si="169"/>
        <v>51189.175365509029</v>
      </c>
      <c r="DK58" s="16">
        <f t="shared" si="169"/>
        <v>51610.623233705563</v>
      </c>
      <c r="DL58" s="16">
        <f t="shared" si="169"/>
        <v>44639.462579737927</v>
      </c>
    </row>
    <row r="59" spans="2:121" s="15" customFormat="1" x14ac:dyDescent="0.25">
      <c r="B59" s="15" t="s">
        <v>23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v>1237</v>
      </c>
      <c r="AR59" s="16">
        <v>1406</v>
      </c>
      <c r="AS59" s="16">
        <v>1261</v>
      </c>
      <c r="AT59" s="16">
        <v>1448</v>
      </c>
      <c r="AU59" s="16">
        <v>1340</v>
      </c>
      <c r="AV59" s="16">
        <f>1448-96-6</f>
        <v>1346</v>
      </c>
      <c r="AW59" s="16">
        <v>1595</v>
      </c>
      <c r="AX59" s="16">
        <v>3341</v>
      </c>
      <c r="AY59" s="16">
        <v>1473</v>
      </c>
      <c r="AZ59" s="16">
        <v>1703</v>
      </c>
      <c r="BA59" s="16">
        <v>1474</v>
      </c>
      <c r="BB59" s="16">
        <v>1737</v>
      </c>
      <c r="BC59" s="16">
        <v>1355</v>
      </c>
      <c r="BD59" s="16">
        <v>1466</v>
      </c>
      <c r="BE59" s="16">
        <v>1368</v>
      </c>
      <c r="BF59" s="16">
        <v>1625</v>
      </c>
      <c r="BG59" s="16">
        <v>1360</v>
      </c>
      <c r="BH59" s="16">
        <v>1405</v>
      </c>
      <c r="BI59" s="16">
        <v>1448</v>
      </c>
      <c r="BJ59" s="16">
        <v>1641</v>
      </c>
      <c r="BK59" s="16">
        <v>1670</v>
      </c>
      <c r="BL59" s="16">
        <v>1643</v>
      </c>
      <c r="BM59" s="16">
        <v>1575</v>
      </c>
      <c r="BN59" s="16">
        <v>1797</v>
      </c>
      <c r="BO59" s="16">
        <v>1563</v>
      </c>
      <c r="BP59" s="16">
        <v>1620</v>
      </c>
      <c r="BQ59" s="16">
        <v>1621</v>
      </c>
      <c r="BR59" s="16">
        <v>1883</v>
      </c>
      <c r="BS59" s="16">
        <v>1599</v>
      </c>
      <c r="BT59" s="16">
        <v>2392</v>
      </c>
      <c r="BU59" s="16">
        <v>2723</v>
      </c>
      <c r="BV59" s="16">
        <v>3089</v>
      </c>
      <c r="BW59" s="16">
        <v>2743</v>
      </c>
      <c r="BX59" s="16">
        <v>2953</v>
      </c>
      <c r="BY59" s="16">
        <v>2961</v>
      </c>
      <c r="BZ59" s="16">
        <v>3307</v>
      </c>
      <c r="CA59" s="16">
        <v>2852</v>
      </c>
      <c r="CB59" s="16">
        <v>3089</v>
      </c>
      <c r="CC59" s="16">
        <v>3089</v>
      </c>
      <c r="CD59" s="16">
        <f>+BZ59*1.01</f>
        <v>3340.07</v>
      </c>
      <c r="CE59" s="16">
        <v>2984</v>
      </c>
      <c r="CF59" s="16">
        <v>3218</v>
      </c>
      <c r="CG59" s="16">
        <v>3330</v>
      </c>
      <c r="CH59" s="16">
        <v>3540</v>
      </c>
      <c r="CI59" s="16">
        <v>3032</v>
      </c>
      <c r="CJ59" s="16">
        <v>3315</v>
      </c>
      <c r="CK59" s="16">
        <v>3326</v>
      </c>
      <c r="CL59" s="16">
        <f>+CH59*0.98</f>
        <v>3469.2</v>
      </c>
      <c r="CM59" s="16">
        <f>+CI59*1.05</f>
        <v>3183.6</v>
      </c>
      <c r="CN59" s="16">
        <f t="shared" ref="CN59:CN60" si="170">+CJ59*1.05</f>
        <v>3480.75</v>
      </c>
      <c r="CO59" s="16">
        <f t="shared" ref="CO59:CO60" si="171">+CK59*1.05</f>
        <v>3492.3</v>
      </c>
      <c r="CP59" s="16">
        <f t="shared" ref="CP59:CP60" si="172">+CL59*1.05</f>
        <v>3642.66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si="15"/>
        <v>6685</v>
      </c>
      <c r="DA59" s="16">
        <f t="shared" ref="DA59:DA60" si="173">SUM(BO59:BR59)</f>
        <v>6687</v>
      </c>
      <c r="DB59" s="16">
        <f t="shared" ref="DB59:DB60" si="174">SUM(BS59:BV59)</f>
        <v>9803</v>
      </c>
      <c r="DC59" s="16">
        <f t="shared" ref="DC59:DC60" si="175">SUM(BW59:BZ59)</f>
        <v>11964</v>
      </c>
      <c r="DD59" s="16">
        <f t="shared" ref="DD59:DD60" si="176">SUM(CA59:CD59)</f>
        <v>12370.07</v>
      </c>
      <c r="DE59" s="16">
        <f>SUM(CE59:CH59)</f>
        <v>13072</v>
      </c>
      <c r="DF59" s="16">
        <f t="shared" ref="DF59:DF60" si="177">SUM(CI59:CL59)</f>
        <v>13142.2</v>
      </c>
      <c r="DG59" s="16">
        <f t="shared" ref="DG59:DL59" si="178">+DG56*0.2</f>
        <v>11683.381420000002</v>
      </c>
      <c r="DH59" s="16">
        <f t="shared" si="178"/>
        <v>11802.144286000001</v>
      </c>
      <c r="DI59" s="16">
        <f t="shared" si="178"/>
        <v>12126.6509824</v>
      </c>
      <c r="DJ59" s="16">
        <f t="shared" si="178"/>
        <v>12044.511850708008</v>
      </c>
      <c r="DK59" s="16">
        <f t="shared" si="178"/>
        <v>12143.676054989544</v>
      </c>
      <c r="DL59" s="16">
        <f t="shared" si="178"/>
        <v>10503.402959938336</v>
      </c>
    </row>
    <row r="60" spans="2:121" s="15" customFormat="1" x14ac:dyDescent="0.25">
      <c r="B60" s="15" t="s">
        <v>22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634</v>
      </c>
      <c r="AR60" s="16">
        <v>709</v>
      </c>
      <c r="AS60" s="16">
        <v>714</v>
      </c>
      <c r="AT60" s="16">
        <v>798</v>
      </c>
      <c r="AU60" s="16">
        <v>772</v>
      </c>
      <c r="AV60" s="16">
        <f>834-41</f>
        <v>793</v>
      </c>
      <c r="AW60" s="16">
        <v>812</v>
      </c>
      <c r="AX60" s="16">
        <v>879</v>
      </c>
      <c r="AY60" s="16">
        <v>811</v>
      </c>
      <c r="AZ60" s="16">
        <v>981</v>
      </c>
      <c r="BA60" s="16">
        <v>1418</v>
      </c>
      <c r="BB60" s="16">
        <v>1075</v>
      </c>
      <c r="BC60" s="16">
        <v>946</v>
      </c>
      <c r="BD60" s="16">
        <v>1124</v>
      </c>
      <c r="BE60" s="16">
        <v>1051</v>
      </c>
      <c r="BF60" s="16">
        <v>1175</v>
      </c>
      <c r="BG60" s="16">
        <v>1112</v>
      </c>
      <c r="BH60" s="16">
        <v>1212</v>
      </c>
      <c r="BI60" s="16">
        <v>1190</v>
      </c>
      <c r="BJ60" s="16">
        <v>1322</v>
      </c>
      <c r="BK60" s="16">
        <v>1189</v>
      </c>
      <c r="BL60" s="16">
        <v>1267</v>
      </c>
      <c r="BM60" s="16">
        <v>1268</v>
      </c>
      <c r="BN60" s="16">
        <v>1369</v>
      </c>
      <c r="BO60" s="16">
        <v>1199</v>
      </c>
      <c r="BP60" s="16">
        <v>1232</v>
      </c>
      <c r="BQ60" s="16">
        <v>1227</v>
      </c>
      <c r="BR60" s="16">
        <v>1331</v>
      </c>
      <c r="BS60" s="16">
        <v>1234</v>
      </c>
      <c r="BT60" s="16">
        <v>1332</v>
      </c>
      <c r="BU60" s="16">
        <v>1513</v>
      </c>
      <c r="BV60" s="16">
        <v>1751</v>
      </c>
      <c r="BW60" s="16">
        <v>1505</v>
      </c>
      <c r="BX60" s="16">
        <v>1583</v>
      </c>
      <c r="BY60" s="16">
        <v>1632</v>
      </c>
      <c r="BZ60" s="16">
        <v>1798</v>
      </c>
      <c r="CA60" s="16">
        <v>1480</v>
      </c>
      <c r="CB60" s="16">
        <v>1607</v>
      </c>
      <c r="CC60" s="16">
        <v>1607</v>
      </c>
      <c r="CD60" s="16">
        <f>+BZ60*1.01</f>
        <v>1815.98</v>
      </c>
      <c r="CE60" s="16">
        <v>1657</v>
      </c>
      <c r="CF60" s="16">
        <v>1730</v>
      </c>
      <c r="CG60" s="16">
        <v>1720</v>
      </c>
      <c r="CH60" s="16">
        <v>1992</v>
      </c>
      <c r="CI60" s="16">
        <v>1811</v>
      </c>
      <c r="CJ60" s="16">
        <v>1917</v>
      </c>
      <c r="CK60" s="16">
        <v>2055</v>
      </c>
      <c r="CL60" s="16">
        <f>+CH60</f>
        <v>1992</v>
      </c>
      <c r="CM60" s="16">
        <f t="shared" ref="CM60" si="179">+CI60*1.05</f>
        <v>1901.5500000000002</v>
      </c>
      <c r="CN60" s="16">
        <f t="shared" si="170"/>
        <v>2012.8500000000001</v>
      </c>
      <c r="CO60" s="16">
        <f t="shared" si="171"/>
        <v>2157.75</v>
      </c>
      <c r="CP60" s="16">
        <f t="shared" si="172"/>
        <v>2091.6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si="15"/>
        <v>5093</v>
      </c>
      <c r="DA60" s="16">
        <f t="shared" si="173"/>
        <v>4989</v>
      </c>
      <c r="DB60" s="16">
        <f t="shared" si="174"/>
        <v>5830</v>
      </c>
      <c r="DC60" s="16">
        <f t="shared" si="175"/>
        <v>6518</v>
      </c>
      <c r="DD60" s="16">
        <f t="shared" si="176"/>
        <v>6509.98</v>
      </c>
      <c r="DE60" s="16">
        <f>SUM(CE60:CH60)</f>
        <v>7099</v>
      </c>
      <c r="DF60" s="16">
        <f t="shared" si="177"/>
        <v>7775</v>
      </c>
      <c r="DG60" s="16"/>
      <c r="DH60" s="16"/>
      <c r="DI60" s="16"/>
      <c r="DJ60" s="16"/>
      <c r="DK60" s="16"/>
    </row>
    <row r="61" spans="2:121" s="15" customFormat="1" x14ac:dyDescent="0.25">
      <c r="B61" s="15" t="s">
        <v>20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f t="shared" ref="AQ61:BB61" si="180">+AQ60+AQ59</f>
        <v>1871</v>
      </c>
      <c r="AR61" s="16">
        <f t="shared" si="180"/>
        <v>2115</v>
      </c>
      <c r="AS61" s="16">
        <f t="shared" si="180"/>
        <v>1975</v>
      </c>
      <c r="AT61" s="16">
        <f t="shared" si="180"/>
        <v>2246</v>
      </c>
      <c r="AU61" s="16">
        <f t="shared" si="180"/>
        <v>2112</v>
      </c>
      <c r="AV61" s="16">
        <f t="shared" si="180"/>
        <v>2139</v>
      </c>
      <c r="AW61" s="16">
        <f t="shared" si="180"/>
        <v>2407</v>
      </c>
      <c r="AX61" s="16">
        <f t="shared" si="180"/>
        <v>4220</v>
      </c>
      <c r="AY61" s="16">
        <f t="shared" si="180"/>
        <v>2284</v>
      </c>
      <c r="AZ61" s="16">
        <f t="shared" si="180"/>
        <v>2684</v>
      </c>
      <c r="BA61" s="16">
        <f t="shared" si="180"/>
        <v>2892</v>
      </c>
      <c r="BB61" s="16">
        <f t="shared" si="180"/>
        <v>2812</v>
      </c>
      <c r="BC61" s="16">
        <f t="shared" ref="BC61" si="181">+BC59+BC60</f>
        <v>2301</v>
      </c>
      <c r="BD61" s="16">
        <f t="shared" ref="BD61:BE61" si="182">+BD59+BD60</f>
        <v>2590</v>
      </c>
      <c r="BE61" s="16">
        <f t="shared" si="182"/>
        <v>2419</v>
      </c>
      <c r="BF61" s="16">
        <f t="shared" ref="BF61:BG61" si="183">+BF59+BF60</f>
        <v>2800</v>
      </c>
      <c r="BG61" s="16">
        <f t="shared" si="183"/>
        <v>2472</v>
      </c>
      <c r="BH61" s="16">
        <f t="shared" ref="BH61:BI61" si="184">+BH59+BH60</f>
        <v>2617</v>
      </c>
      <c r="BI61" s="16">
        <f t="shared" si="184"/>
        <v>2638</v>
      </c>
      <c r="BJ61" s="16">
        <f t="shared" ref="BJ61" si="185">+BJ59+BJ60</f>
        <v>2963</v>
      </c>
      <c r="BK61" s="16">
        <f t="shared" ref="BK61:BP61" si="186">+BK59+BK60</f>
        <v>2859</v>
      </c>
      <c r="BL61" s="16">
        <f t="shared" si="186"/>
        <v>2910</v>
      </c>
      <c r="BM61" s="16">
        <f t="shared" si="186"/>
        <v>2843</v>
      </c>
      <c r="BN61" s="16">
        <f t="shared" si="186"/>
        <v>3166</v>
      </c>
      <c r="BO61" s="16">
        <f t="shared" si="186"/>
        <v>2762</v>
      </c>
      <c r="BP61" s="16">
        <f t="shared" si="186"/>
        <v>2852</v>
      </c>
      <c r="BQ61" s="16">
        <f t="shared" ref="BQ61:BR61" si="187">BQ60+BQ59</f>
        <v>2848</v>
      </c>
      <c r="BR61" s="16">
        <f t="shared" si="187"/>
        <v>3214</v>
      </c>
      <c r="BS61" s="16">
        <f t="shared" ref="BS61:BT61" si="188">BS60+BS59</f>
        <v>2833</v>
      </c>
      <c r="BT61" s="16">
        <f t="shared" si="188"/>
        <v>3724</v>
      </c>
      <c r="BU61" s="16">
        <f t="shared" ref="BU61:CA61" si="189">BU60+BU59</f>
        <v>4236</v>
      </c>
      <c r="BV61" s="16">
        <f t="shared" si="189"/>
        <v>4840</v>
      </c>
      <c r="BW61" s="16">
        <f t="shared" si="189"/>
        <v>4248</v>
      </c>
      <c r="BX61" s="16">
        <f t="shared" si="189"/>
        <v>4536</v>
      </c>
      <c r="BY61" s="16">
        <f t="shared" si="189"/>
        <v>4593</v>
      </c>
      <c r="BZ61" s="16">
        <f t="shared" si="189"/>
        <v>5105</v>
      </c>
      <c r="CA61" s="16">
        <f t="shared" si="189"/>
        <v>4332</v>
      </c>
      <c r="CB61" s="16">
        <f t="shared" ref="CB61:CD61" si="190">CB60+CB59</f>
        <v>4696</v>
      </c>
      <c r="CC61" s="16">
        <f t="shared" si="190"/>
        <v>4696</v>
      </c>
      <c r="CD61" s="16">
        <f t="shared" si="190"/>
        <v>5156.05</v>
      </c>
      <c r="CE61" s="16">
        <f t="shared" ref="CE61:CH61" si="191">CE60+CE59</f>
        <v>4641</v>
      </c>
      <c r="CF61" s="16">
        <f t="shared" si="191"/>
        <v>4948</v>
      </c>
      <c r="CG61" s="16">
        <f t="shared" si="191"/>
        <v>5050</v>
      </c>
      <c r="CH61" s="16">
        <f t="shared" si="191"/>
        <v>5532</v>
      </c>
      <c r="CI61" s="16">
        <f>+CI59+CI60</f>
        <v>4843</v>
      </c>
      <c r="CJ61" s="16">
        <f t="shared" ref="CJ61:CL61" si="192">+CJ59+CJ60</f>
        <v>5232</v>
      </c>
      <c r="CK61" s="16">
        <f t="shared" si="192"/>
        <v>5381</v>
      </c>
      <c r="CL61" s="16">
        <f t="shared" si="192"/>
        <v>5461.2</v>
      </c>
      <c r="CM61" s="16">
        <f t="shared" ref="CM61:CP61" si="193">+CM59+CM60</f>
        <v>5085.1499999999996</v>
      </c>
      <c r="CN61" s="16">
        <f t="shared" si="193"/>
        <v>5493.6</v>
      </c>
      <c r="CO61" s="16">
        <f t="shared" si="193"/>
        <v>5650.05</v>
      </c>
      <c r="CP61" s="16">
        <f t="shared" si="193"/>
        <v>5734.26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ref="CZ61" si="194">+CZ59+CZ60</f>
        <v>11778</v>
      </c>
      <c r="DA61" s="16">
        <f t="shared" ref="DA61:DB61" si="195">+DA59+DA60</f>
        <v>11676</v>
      </c>
      <c r="DB61" s="16">
        <f t="shared" si="195"/>
        <v>15633</v>
      </c>
      <c r="DC61" s="16">
        <f>+DC59+DC60</f>
        <v>18482</v>
      </c>
      <c r="DD61" s="16">
        <f>+DD59+DD60</f>
        <v>18880.05</v>
      </c>
      <c r="DE61" s="16">
        <f t="shared" ref="DE61:DL61" si="196">+DE59+DE60</f>
        <v>20171</v>
      </c>
      <c r="DF61" s="16">
        <f t="shared" si="196"/>
        <v>20917.2</v>
      </c>
      <c r="DG61" s="16">
        <f t="shared" si="196"/>
        <v>11683.381420000002</v>
      </c>
      <c r="DH61" s="16">
        <f t="shared" si="196"/>
        <v>11802.144286000001</v>
      </c>
      <c r="DI61" s="16">
        <f t="shared" si="196"/>
        <v>12126.6509824</v>
      </c>
      <c r="DJ61" s="16">
        <f t="shared" si="196"/>
        <v>12044.511850708008</v>
      </c>
      <c r="DK61" s="16">
        <f t="shared" si="196"/>
        <v>12143.676054989544</v>
      </c>
      <c r="DL61" s="16">
        <f t="shared" si="196"/>
        <v>10503.402959938336</v>
      </c>
    </row>
    <row r="62" spans="2:121" s="15" customFormat="1" x14ac:dyDescent="0.25">
      <c r="B62" s="15" t="s">
        <v>21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>AQ58-AQ61</f>
        <v>1305</v>
      </c>
      <c r="AR62" s="16">
        <f>AR58-AR61</f>
        <v>1523</v>
      </c>
      <c r="AS62" s="16">
        <f>AS58-AS61</f>
        <v>1591</v>
      </c>
      <c r="AT62" s="16">
        <f>AT58-AT61</f>
        <v>1583</v>
      </c>
      <c r="AU62" s="16">
        <f>AU58-AU61</f>
        <v>1351</v>
      </c>
      <c r="AV62" s="16">
        <f t="shared" ref="AV62:BB62" si="197">+AV58-AV61</f>
        <v>1752</v>
      </c>
      <c r="AW62" s="16">
        <f t="shared" si="197"/>
        <v>1518</v>
      </c>
      <c r="AX62" s="16">
        <f t="shared" si="197"/>
        <v>113</v>
      </c>
      <c r="AY62" s="16">
        <f t="shared" si="197"/>
        <v>1814</v>
      </c>
      <c r="AZ62" s="16">
        <f t="shared" si="197"/>
        <v>1875</v>
      </c>
      <c r="BA62" s="16">
        <f t="shared" si="197"/>
        <v>1885</v>
      </c>
      <c r="BB62" s="16">
        <f t="shared" si="197"/>
        <v>2073</v>
      </c>
      <c r="BC62" s="16">
        <f t="shared" ref="BC62" si="198">+BC58-BC61</f>
        <v>2288</v>
      </c>
      <c r="BD62" s="16">
        <f t="shared" ref="BD62:BE62" si="199">+BD58-BD61</f>
        <v>2437</v>
      </c>
      <c r="BE62" s="16">
        <f t="shared" si="199"/>
        <v>2732</v>
      </c>
      <c r="BF62" s="16">
        <f t="shared" ref="BF62:BG62" si="200">+BF58-BF61</f>
        <v>2697</v>
      </c>
      <c r="BG62" s="16">
        <f t="shared" si="200"/>
        <v>2753</v>
      </c>
      <c r="BH62" s="16">
        <f t="shared" ref="BH62:BI62" si="201">+BH58-BH61</f>
        <v>3096</v>
      </c>
      <c r="BI62" s="16">
        <f t="shared" si="201"/>
        <v>3015</v>
      </c>
      <c r="BJ62" s="16">
        <f t="shared" ref="BJ62" si="202">+BJ58-BJ61</f>
        <v>3151</v>
      </c>
      <c r="BK62" s="16">
        <f t="shared" ref="BK62:BP62" si="203">+BK58-BK61</f>
        <v>3503</v>
      </c>
      <c r="BL62" s="16">
        <f t="shared" si="203"/>
        <v>3741</v>
      </c>
      <c r="BM62" s="16">
        <f t="shared" si="203"/>
        <v>3884</v>
      </c>
      <c r="BN62" s="16">
        <f t="shared" si="203"/>
        <v>3465</v>
      </c>
      <c r="BO62" s="16">
        <f t="shared" si="203"/>
        <v>3763</v>
      </c>
      <c r="BP62" s="16">
        <f t="shared" si="203"/>
        <v>3976</v>
      </c>
      <c r="BQ62" s="16">
        <f t="shared" ref="BQ62:BR62" si="204">BQ58-BQ61</f>
        <v>4106</v>
      </c>
      <c r="BR62" s="16">
        <f t="shared" si="204"/>
        <v>3885</v>
      </c>
      <c r="BS62" s="16">
        <f t="shared" ref="BS62:BT62" si="205">BS58-BS61</f>
        <v>4292</v>
      </c>
      <c r="BT62" s="16">
        <f t="shared" si="205"/>
        <v>4905</v>
      </c>
      <c r="BU62" s="16">
        <f t="shared" ref="BU62:CA62" si="206">BU58-BU61</f>
        <v>6284</v>
      </c>
      <c r="BV62" s="16">
        <f t="shared" si="206"/>
        <v>6495</v>
      </c>
      <c r="BW62" s="16">
        <f t="shared" si="206"/>
        <v>6602</v>
      </c>
      <c r="BX62" s="16">
        <f t="shared" si="206"/>
        <v>6944</v>
      </c>
      <c r="BY62" s="16">
        <f t="shared" si="206"/>
        <v>7336</v>
      </c>
      <c r="BZ62" s="16">
        <f t="shared" si="206"/>
        <v>7333</v>
      </c>
      <c r="CA62" s="16">
        <f t="shared" si="206"/>
        <v>7103</v>
      </c>
      <c r="CB62" s="16">
        <f t="shared" ref="CB62:CD62" si="207">CB58-CB61</f>
        <v>7720</v>
      </c>
      <c r="CC62" s="16">
        <f t="shared" si="207"/>
        <v>7949</v>
      </c>
      <c r="CD62" s="16">
        <f t="shared" si="207"/>
        <v>7696.8</v>
      </c>
      <c r="CE62" s="16">
        <f t="shared" ref="CE62:CH62" si="208">CE58-CE61</f>
        <v>5653</v>
      </c>
      <c r="CF62" s="16">
        <f t="shared" si="208"/>
        <v>6800</v>
      </c>
      <c r="CG62" s="16">
        <f t="shared" si="208"/>
        <v>6576</v>
      </c>
      <c r="CH62" s="16">
        <f t="shared" si="208"/>
        <v>6472</v>
      </c>
      <c r="CI62" s="16">
        <f>+CI58-CI61</f>
        <v>5359</v>
      </c>
      <c r="CJ62" s="16">
        <f t="shared" ref="CJ62:CL62" si="209">+CJ58-CJ61</f>
        <v>7095</v>
      </c>
      <c r="CK62" s="16">
        <f t="shared" si="209"/>
        <v>6828</v>
      </c>
      <c r="CL62" s="16">
        <f t="shared" si="209"/>
        <v>6471.2866999999997</v>
      </c>
      <c r="CM62" s="16">
        <f t="shared" ref="CM62:CP62" si="210">+CM58-CM61</f>
        <v>5652.092499999997</v>
      </c>
      <c r="CN62" s="16">
        <f t="shared" si="210"/>
        <v>7165.2375000000011</v>
      </c>
      <c r="CO62" s="16">
        <f t="shared" si="210"/>
        <v>7415.2660000000005</v>
      </c>
      <c r="CP62" s="16">
        <f t="shared" si="210"/>
        <v>7339.800035000002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" si="211">+CZ58-CZ61</f>
        <v>14593</v>
      </c>
      <c r="DA62" s="16">
        <f t="shared" ref="DA62:DB62" si="212">+DA58-DA61</f>
        <v>15730</v>
      </c>
      <c r="DB62" s="16">
        <f t="shared" si="212"/>
        <v>21976</v>
      </c>
      <c r="DC62" s="16">
        <f>+DC58-DC61</f>
        <v>28215</v>
      </c>
      <c r="DD62" s="16">
        <f>+DD58-DD61</f>
        <v>30252.799999999999</v>
      </c>
      <c r="DE62" s="16">
        <f t="shared" ref="DE62:DL62" si="213">+DE58-DE61</f>
        <v>25501</v>
      </c>
      <c r="DF62" s="16">
        <f t="shared" si="213"/>
        <v>25753.286699999993</v>
      </c>
      <c r="DG62" s="16">
        <f t="shared" si="213"/>
        <v>37970.989614999999</v>
      </c>
      <c r="DH62" s="16">
        <f t="shared" si="213"/>
        <v>38356.968929499992</v>
      </c>
      <c r="DI62" s="16">
        <f t="shared" si="213"/>
        <v>39411.615692799991</v>
      </c>
      <c r="DJ62" s="16">
        <f t="shared" si="213"/>
        <v>39144.663514801025</v>
      </c>
      <c r="DK62" s="16">
        <f t="shared" si="213"/>
        <v>39466.947178716015</v>
      </c>
      <c r="DL62" s="16">
        <f t="shared" si="213"/>
        <v>34136.059619799591</v>
      </c>
    </row>
    <row r="63" spans="2:121" s="15" customFormat="1" x14ac:dyDescent="0.25">
      <c r="B63" s="15" t="s">
        <v>19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-66-15+15</f>
        <v>-66</v>
      </c>
      <c r="AR63" s="16">
        <f>-75+4</f>
        <v>-71</v>
      </c>
      <c r="AS63" s="16">
        <f>-69-11-5</f>
        <v>-85</v>
      </c>
      <c r="AT63" s="16">
        <f>-68-13</f>
        <v>-81</v>
      </c>
      <c r="AU63" s="16">
        <f>-65+3</f>
        <v>-62</v>
      </c>
      <c r="AV63" s="16">
        <f>-69-5-8</f>
        <v>-82</v>
      </c>
      <c r="AW63" s="16">
        <f>-128-221</f>
        <v>-349</v>
      </c>
      <c r="AX63" s="16">
        <f>-129+3</f>
        <v>-126</v>
      </c>
      <c r="AY63" s="16">
        <f>-126-1</f>
        <v>-127</v>
      </c>
      <c r="AZ63" s="16">
        <f>-164+4</f>
        <v>-160</v>
      </c>
      <c r="BA63" s="16">
        <f>-197-28</f>
        <v>-225</v>
      </c>
      <c r="BB63" s="16">
        <f>-199+12</f>
        <v>-187</v>
      </c>
      <c r="BC63" s="16">
        <v>-200</v>
      </c>
      <c r="BD63" s="16">
        <f>-225-51</f>
        <v>-276</v>
      </c>
      <c r="BE63" s="16">
        <f>-250+3</f>
        <v>-247</v>
      </c>
      <c r="BF63" s="16">
        <f>-251+5</f>
        <v>-246</v>
      </c>
      <c r="BG63" s="16">
        <f>-247+25</f>
        <v>-222</v>
      </c>
      <c r="BH63" s="16">
        <v>-253</v>
      </c>
      <c r="BI63" s="16">
        <f>-252+52</f>
        <v>-200</v>
      </c>
      <c r="BJ63" s="16">
        <f>-252+50</f>
        <v>-202</v>
      </c>
      <c r="BK63" s="16">
        <f>5-251</f>
        <v>-246</v>
      </c>
      <c r="BL63" s="16">
        <f>-15-272</f>
        <v>-287</v>
      </c>
      <c r="BM63" s="16">
        <f>-302-2+1</f>
        <v>-303</v>
      </c>
      <c r="BN63" s="16">
        <f>-319-6+11</f>
        <v>-314</v>
      </c>
      <c r="BO63" s="16">
        <f>34-325</f>
        <v>-291</v>
      </c>
      <c r="BP63" s="16">
        <f>-302+26</f>
        <v>-276</v>
      </c>
      <c r="BQ63" s="16">
        <f>-288-19+3</f>
        <v>-304</v>
      </c>
      <c r="BR63" s="16">
        <f>-282-11+22</f>
        <v>-271</v>
      </c>
      <c r="BS63" s="16">
        <f>-284-5</f>
        <v>-289</v>
      </c>
      <c r="BT63" s="16">
        <f>-484+7-33</f>
        <v>-510</v>
      </c>
      <c r="BU63" s="49">
        <v>620</v>
      </c>
      <c r="BV63" s="49">
        <v>618</v>
      </c>
      <c r="BW63" s="16">
        <v>-622</v>
      </c>
      <c r="BX63" s="16">
        <v>-606</v>
      </c>
      <c r="BY63" s="16">
        <v>-585</v>
      </c>
      <c r="BZ63" s="16">
        <v>-571</v>
      </c>
      <c r="CA63" s="16">
        <f>-539+28</f>
        <v>-511</v>
      </c>
      <c r="CB63" s="16">
        <f>-497+210</f>
        <v>-287</v>
      </c>
      <c r="CC63" s="16">
        <f>120-497</f>
        <v>-377</v>
      </c>
      <c r="CD63" s="16">
        <f>+CC63</f>
        <v>-377</v>
      </c>
      <c r="CE63" s="16">
        <v>69</v>
      </c>
      <c r="CF63" s="16">
        <f>-119-454</f>
        <v>-573</v>
      </c>
      <c r="CG63" s="16">
        <f>146-398</f>
        <v>-252</v>
      </c>
      <c r="CH63" s="16">
        <f>-363+142</f>
        <v>-221</v>
      </c>
      <c r="CI63" s="16">
        <f>-429+76</f>
        <v>-353</v>
      </c>
      <c r="CJ63" s="16">
        <f>153-506-1</f>
        <v>-354</v>
      </c>
      <c r="CK63" s="16">
        <f>199-591</f>
        <v>-392</v>
      </c>
      <c r="CL63" s="16">
        <f>+CK63</f>
        <v>-392</v>
      </c>
      <c r="CM63" s="16">
        <f>+CL63</f>
        <v>-392</v>
      </c>
      <c r="CN63" s="16">
        <f>+CM63</f>
        <v>-392</v>
      </c>
      <c r="CO63" s="16">
        <f>+CN63</f>
        <v>-392</v>
      </c>
      <c r="CP63" s="16">
        <f>+CO63</f>
        <v>-392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:CZ65" si="214">SUM(BK63:BN63)</f>
        <v>-1150</v>
      </c>
      <c r="DA63" s="16">
        <f t="shared" ref="DA63" si="215">SUM(BO63:BR63)</f>
        <v>-1142</v>
      </c>
      <c r="DB63" s="16">
        <f t="shared" ref="DB63" si="216">SUM(BS63:BV63)</f>
        <v>439</v>
      </c>
      <c r="DC63" s="16">
        <f t="shared" ref="DC63" si="217">SUM(BW63:BZ63)</f>
        <v>-2384</v>
      </c>
      <c r="DD63" s="16">
        <f t="shared" ref="DD63" si="218">SUM(CA63:CD63)</f>
        <v>-1552</v>
      </c>
      <c r="DE63" s="16">
        <f>SUM(CE63:CH63)</f>
        <v>-977</v>
      </c>
      <c r="DF63" s="16">
        <f t="shared" ref="DF63" si="219">SUM(CI63:CL63)</f>
        <v>-1491</v>
      </c>
      <c r="DG63" s="16">
        <f t="shared" ref="DG63:DI63" si="220">+DF63+300</f>
        <v>-1191</v>
      </c>
      <c r="DH63" s="16">
        <f t="shared" si="220"/>
        <v>-891</v>
      </c>
      <c r="DI63" s="16">
        <f t="shared" si="220"/>
        <v>-591</v>
      </c>
      <c r="DJ63" s="16">
        <f>+DI63+300</f>
        <v>-291</v>
      </c>
      <c r="DK63" s="16">
        <f>+DJ63+300</f>
        <v>9</v>
      </c>
      <c r="DL63" s="16">
        <f>+DK63+300</f>
        <v>309</v>
      </c>
    </row>
    <row r="64" spans="2:121" s="15" customFormat="1" x14ac:dyDescent="0.25">
      <c r="B64" s="15" t="s">
        <v>18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>+AQ62+AQ63</f>
        <v>1239</v>
      </c>
      <c r="AR64" s="16">
        <f>+AR62+AR63</f>
        <v>1452</v>
      </c>
      <c r="AS64" s="16">
        <f>+AS62+AS63</f>
        <v>1506</v>
      </c>
      <c r="AT64" s="16">
        <f>+AT62+AT63</f>
        <v>1502</v>
      </c>
      <c r="AU64" s="16">
        <f>+AU62+AU63</f>
        <v>1289</v>
      </c>
      <c r="AV64" s="16">
        <f t="shared" ref="AV64:BB64" si="221">+AV63+AV62</f>
        <v>1670</v>
      </c>
      <c r="AW64" s="16">
        <f t="shared" si="221"/>
        <v>1169</v>
      </c>
      <c r="AX64" s="16">
        <f t="shared" si="221"/>
        <v>-13</v>
      </c>
      <c r="AY64" s="16">
        <f t="shared" si="221"/>
        <v>1687</v>
      </c>
      <c r="AZ64" s="16">
        <f t="shared" si="221"/>
        <v>1715</v>
      </c>
      <c r="BA64" s="16">
        <f t="shared" si="221"/>
        <v>1660</v>
      </c>
      <c r="BB64" s="16">
        <f t="shared" si="221"/>
        <v>1886</v>
      </c>
      <c r="BC64" s="16">
        <f t="shared" ref="BC64" si="222">+BC62+BC63</f>
        <v>2088</v>
      </c>
      <c r="BD64" s="16">
        <f t="shared" ref="BD64:BE64" si="223">+BD62+BD63</f>
        <v>2161</v>
      </c>
      <c r="BE64" s="16">
        <f t="shared" si="223"/>
        <v>2485</v>
      </c>
      <c r="BF64" s="16">
        <f t="shared" ref="BF64:BG64" si="224">+BF62+BF63</f>
        <v>2451</v>
      </c>
      <c r="BG64" s="16">
        <f t="shared" si="224"/>
        <v>2531</v>
      </c>
      <c r="BH64" s="16">
        <f t="shared" ref="BH64:BI64" si="225">+BH62+BH63</f>
        <v>2843</v>
      </c>
      <c r="BI64" s="16">
        <f t="shared" si="225"/>
        <v>2815</v>
      </c>
      <c r="BJ64" s="16">
        <f t="shared" ref="BJ64:BP64" si="226">+BJ62+BJ63</f>
        <v>2949</v>
      </c>
      <c r="BK64" s="16">
        <f t="shared" si="226"/>
        <v>3257</v>
      </c>
      <c r="BL64" s="16">
        <f t="shared" si="226"/>
        <v>3454</v>
      </c>
      <c r="BM64" s="16">
        <f t="shared" si="226"/>
        <v>3581</v>
      </c>
      <c r="BN64" s="16">
        <f t="shared" si="226"/>
        <v>3151</v>
      </c>
      <c r="BO64" s="16">
        <f t="shared" si="226"/>
        <v>3472</v>
      </c>
      <c r="BP64" s="16">
        <f t="shared" si="226"/>
        <v>3700</v>
      </c>
      <c r="BQ64" s="16">
        <f t="shared" ref="BQ64:BR64" si="227">BQ62+BQ63</f>
        <v>3802</v>
      </c>
      <c r="BR64" s="16">
        <f t="shared" si="227"/>
        <v>3614</v>
      </c>
      <c r="BS64" s="16">
        <f t="shared" ref="BS64:BT64" si="228">BS62+BS63</f>
        <v>4003</v>
      </c>
      <c r="BT64" s="16">
        <f t="shared" si="228"/>
        <v>4395</v>
      </c>
      <c r="BU64" s="16">
        <f t="shared" ref="BU64:CA64" si="229">BU62+BU63</f>
        <v>6904</v>
      </c>
      <c r="BV64" s="16">
        <f t="shared" si="229"/>
        <v>7113</v>
      </c>
      <c r="BW64" s="16">
        <f t="shared" si="229"/>
        <v>5980</v>
      </c>
      <c r="BX64" s="16">
        <f t="shared" si="229"/>
        <v>6338</v>
      </c>
      <c r="BY64" s="16">
        <f t="shared" si="229"/>
        <v>6751</v>
      </c>
      <c r="BZ64" s="16">
        <f t="shared" si="229"/>
        <v>6762</v>
      </c>
      <c r="CA64" s="16">
        <f t="shared" si="229"/>
        <v>6592</v>
      </c>
      <c r="CB64" s="16">
        <f t="shared" ref="CB64:CD64" si="230">CB62+CB63</f>
        <v>7433</v>
      </c>
      <c r="CC64" s="16">
        <f t="shared" si="230"/>
        <v>7572</v>
      </c>
      <c r="CD64" s="16">
        <f t="shared" si="230"/>
        <v>7319.8</v>
      </c>
      <c r="CE64" s="16">
        <f t="shared" ref="CE64:CH64" si="231">CE62+CE63</f>
        <v>5722</v>
      </c>
      <c r="CF64" s="16">
        <f t="shared" si="231"/>
        <v>6227</v>
      </c>
      <c r="CG64" s="16">
        <f t="shared" si="231"/>
        <v>6324</v>
      </c>
      <c r="CH64" s="16">
        <f t="shared" si="231"/>
        <v>6251</v>
      </c>
      <c r="CI64" s="16">
        <f>+CI62+CI63</f>
        <v>5006</v>
      </c>
      <c r="CJ64" s="16">
        <f>+CJ62+CJ63</f>
        <v>6741</v>
      </c>
      <c r="CK64" s="16">
        <f>+CK62+CK63</f>
        <v>6436</v>
      </c>
      <c r="CL64" s="16">
        <f>+CL62+CL63</f>
        <v>6079.2866999999997</v>
      </c>
      <c r="CM64" s="16">
        <f t="shared" ref="CM64:CP64" si="232">+CM62+CM63</f>
        <v>5260.092499999997</v>
      </c>
      <c r="CN64" s="16">
        <f t="shared" si="232"/>
        <v>6773.2375000000011</v>
      </c>
      <c r="CO64" s="16">
        <f t="shared" si="232"/>
        <v>7023.2660000000005</v>
      </c>
      <c r="CP64" s="16">
        <f t="shared" si="232"/>
        <v>6947.800035000002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DB64" si="233">+CZ62+CZ63</f>
        <v>13443</v>
      </c>
      <c r="DA64" s="16">
        <f t="shared" si="233"/>
        <v>14588</v>
      </c>
      <c r="DB64" s="16">
        <f t="shared" si="233"/>
        <v>22415</v>
      </c>
      <c r="DC64" s="16">
        <f>+DC62+DC63</f>
        <v>25831</v>
      </c>
      <c r="DD64" s="16">
        <f>+DD62+DD63</f>
        <v>28700.799999999999</v>
      </c>
      <c r="DE64" s="16">
        <f t="shared" ref="DE64:DL64" si="234">+DE62+DE63</f>
        <v>24524</v>
      </c>
      <c r="DF64" s="16">
        <f t="shared" si="234"/>
        <v>24262.286699999993</v>
      </c>
      <c r="DG64" s="16">
        <f t="shared" si="234"/>
        <v>36779.989614999999</v>
      </c>
      <c r="DH64" s="16">
        <f t="shared" si="234"/>
        <v>37465.968929499992</v>
      </c>
      <c r="DI64" s="16">
        <f t="shared" si="234"/>
        <v>38820.615692799991</v>
      </c>
      <c r="DJ64" s="16">
        <f>+DJ62+DJ63</f>
        <v>38853.663514801025</v>
      </c>
      <c r="DK64" s="16">
        <f t="shared" si="234"/>
        <v>39475.947178716015</v>
      </c>
      <c r="DL64" s="16">
        <f t="shared" si="234"/>
        <v>34445.059619799591</v>
      </c>
    </row>
    <row r="65" spans="2:243" s="15" customFormat="1" x14ac:dyDescent="0.25">
      <c r="B65" s="15" t="s">
        <v>17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v>271</v>
      </c>
      <c r="AR65" s="16">
        <v>300</v>
      </c>
      <c r="AS65" s="16">
        <v>322</v>
      </c>
      <c r="AT65" s="16">
        <v>311</v>
      </c>
      <c r="AU65" s="16">
        <v>306</v>
      </c>
      <c r="AV65" s="16">
        <v>335</v>
      </c>
      <c r="AW65" s="16">
        <v>181</v>
      </c>
      <c r="AX65" s="16">
        <v>0</v>
      </c>
      <c r="AY65" s="16">
        <v>374</v>
      </c>
      <c r="AZ65" s="16">
        <v>312</v>
      </c>
      <c r="BA65" s="16">
        <v>408</v>
      </c>
      <c r="BB65" s="16">
        <v>407</v>
      </c>
      <c r="BC65" s="16">
        <v>422</v>
      </c>
      <c r="BD65" s="16">
        <v>486</v>
      </c>
      <c r="BE65" s="16">
        <v>495</v>
      </c>
      <c r="BF65" s="16">
        <v>497</v>
      </c>
      <c r="BG65" s="16">
        <v>458</v>
      </c>
      <c r="BH65" s="16">
        <v>548</v>
      </c>
      <c r="BI65" s="16">
        <v>533</v>
      </c>
      <c r="BJ65" s="16">
        <v>556</v>
      </c>
      <c r="BK65" s="16">
        <v>249</v>
      </c>
      <c r="BL65" s="16">
        <v>311</v>
      </c>
      <c r="BM65" s="16">
        <v>326</v>
      </c>
      <c r="BN65" s="16">
        <v>289</v>
      </c>
      <c r="BO65" s="16">
        <v>274</v>
      </c>
      <c r="BP65" s="16">
        <v>324</v>
      </c>
      <c r="BQ65" s="16">
        <v>334</v>
      </c>
      <c r="BR65" s="16">
        <v>320</v>
      </c>
      <c r="BS65" s="16">
        <v>390</v>
      </c>
      <c r="BT65" s="16">
        <v>501</v>
      </c>
      <c r="BU65" s="16">
        <v>668</v>
      </c>
      <c r="BV65" s="16">
        <v>686</v>
      </c>
      <c r="BW65" s="16">
        <v>738</v>
      </c>
      <c r="BX65" s="16">
        <f>799+3</f>
        <v>802</v>
      </c>
      <c r="BY65" s="16">
        <f>862+1</f>
        <v>863</v>
      </c>
      <c r="BZ65" s="16">
        <f>6764-5919</f>
        <v>845</v>
      </c>
      <c r="CA65" s="16">
        <v>778</v>
      </c>
      <c r="CB65" s="16">
        <v>965</v>
      </c>
      <c r="CC65" s="16">
        <v>965</v>
      </c>
      <c r="CD65" s="16">
        <f>+CD64*0.15</f>
        <v>1097.97</v>
      </c>
      <c r="CE65" s="16">
        <f>6422-5641</f>
        <v>781</v>
      </c>
      <c r="CF65" s="81">
        <f>583+3</f>
        <v>586</v>
      </c>
      <c r="CG65" s="16">
        <v>980</v>
      </c>
      <c r="CH65" s="16">
        <f>388+2</f>
        <v>390</v>
      </c>
      <c r="CI65" s="16">
        <v>715</v>
      </c>
      <c r="CJ65" s="16">
        <v>1091</v>
      </c>
      <c r="CK65" s="16">
        <v>1027</v>
      </c>
      <c r="CL65" s="16">
        <f>+CL64*0.1</f>
        <v>607.92867000000001</v>
      </c>
      <c r="CM65" s="16">
        <f>+CM64*0.1</f>
        <v>526.00924999999972</v>
      </c>
      <c r="CN65" s="16">
        <f t="shared" ref="CN65:CP65" si="235">+CN64*0.1</f>
        <v>677.32375000000013</v>
      </c>
      <c r="CO65" s="16">
        <f t="shared" si="235"/>
        <v>702.3266000000001</v>
      </c>
      <c r="CP65" s="16">
        <f t="shared" si="235"/>
        <v>694.78000350000025</v>
      </c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 t="shared" si="214"/>
        <v>1175</v>
      </c>
      <c r="DA65" s="16">
        <f t="shared" ref="DA65" si="236">SUM(BO65:BR65)</f>
        <v>1252</v>
      </c>
      <c r="DB65" s="16">
        <f t="shared" ref="DB65" si="237">SUM(BS65:BV65)</f>
        <v>2245</v>
      </c>
      <c r="DC65" s="16">
        <f t="shared" ref="DC65" si="238">SUM(BW65:BZ65)</f>
        <v>3248</v>
      </c>
      <c r="DD65" s="16">
        <f t="shared" ref="DD65" si="239">SUM(CA65:CD65)</f>
        <v>3805.9700000000003</v>
      </c>
      <c r="DE65" s="16">
        <f>SUM(CE65:CH65)</f>
        <v>2737</v>
      </c>
      <c r="DF65" s="16">
        <f t="shared" ref="DF65" si="240">SUM(CI65:CL65)</f>
        <v>3440.9286700000002</v>
      </c>
      <c r="DG65" s="16">
        <f t="shared" ref="DG65:DL65" si="241">+DG64*0.15</f>
        <v>5516.9984422499992</v>
      </c>
      <c r="DH65" s="16">
        <f t="shared" si="241"/>
        <v>5619.8953394249984</v>
      </c>
      <c r="DI65" s="16">
        <f t="shared" si="241"/>
        <v>5823.0923539199985</v>
      </c>
      <c r="DJ65" s="16">
        <f t="shared" si="241"/>
        <v>5828.0495272201533</v>
      </c>
      <c r="DK65" s="16">
        <f t="shared" si="241"/>
        <v>5921.3920768074022</v>
      </c>
      <c r="DL65" s="16">
        <f t="shared" si="241"/>
        <v>5166.7589429699383</v>
      </c>
    </row>
    <row r="66" spans="2:243" s="15" customFormat="1" x14ac:dyDescent="0.25">
      <c r="B66" s="15" t="s">
        <v>16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f t="shared" ref="AQ66:BB66" si="242">+AQ64-AQ65</f>
        <v>968</v>
      </c>
      <c r="AR66" s="16">
        <f t="shared" si="242"/>
        <v>1152</v>
      </c>
      <c r="AS66" s="16">
        <f t="shared" si="242"/>
        <v>1184</v>
      </c>
      <c r="AT66" s="16">
        <f t="shared" si="242"/>
        <v>1191</v>
      </c>
      <c r="AU66" s="16">
        <f t="shared" si="242"/>
        <v>983</v>
      </c>
      <c r="AV66" s="16">
        <f t="shared" si="242"/>
        <v>1335</v>
      </c>
      <c r="AW66" s="16">
        <f t="shared" si="242"/>
        <v>988</v>
      </c>
      <c r="AX66" s="16">
        <f t="shared" si="242"/>
        <v>-13</v>
      </c>
      <c r="AY66" s="16">
        <f t="shared" si="242"/>
        <v>1313</v>
      </c>
      <c r="AZ66" s="16">
        <f t="shared" si="242"/>
        <v>1403</v>
      </c>
      <c r="BA66" s="16">
        <f t="shared" si="242"/>
        <v>1252</v>
      </c>
      <c r="BB66" s="16">
        <f t="shared" si="242"/>
        <v>1479</v>
      </c>
      <c r="BC66" s="16">
        <f t="shared" ref="BC66" si="243">+BC64-BC65</f>
        <v>1666</v>
      </c>
      <c r="BD66" s="16">
        <f t="shared" ref="BD66:BE66" si="244">+BD64-BD65</f>
        <v>1675</v>
      </c>
      <c r="BE66" s="16">
        <f t="shared" si="244"/>
        <v>1990</v>
      </c>
      <c r="BF66" s="16">
        <f t="shared" ref="BF66:BG66" si="245">+BF64-BF65</f>
        <v>1954</v>
      </c>
      <c r="BG66" s="16">
        <f t="shared" si="245"/>
        <v>2073</v>
      </c>
      <c r="BH66" s="16">
        <f t="shared" ref="BH66:BI66" si="246">+BH64-BH65</f>
        <v>2295</v>
      </c>
      <c r="BI66" s="16">
        <f t="shared" si="246"/>
        <v>2282</v>
      </c>
      <c r="BJ66" s="16">
        <f t="shared" ref="BJ66" si="247">+BJ64-BJ65</f>
        <v>2393</v>
      </c>
      <c r="BK66" s="16">
        <f t="shared" ref="BK66:BP66" si="248">+BK64-BK65</f>
        <v>3008</v>
      </c>
      <c r="BL66" s="16">
        <f t="shared" si="248"/>
        <v>3143</v>
      </c>
      <c r="BM66" s="16">
        <f t="shared" si="248"/>
        <v>3255</v>
      </c>
      <c r="BN66" s="16">
        <f t="shared" si="248"/>
        <v>2862</v>
      </c>
      <c r="BO66" s="16">
        <f t="shared" si="248"/>
        <v>3198</v>
      </c>
      <c r="BP66" s="16">
        <f t="shared" si="248"/>
        <v>3376</v>
      </c>
      <c r="BQ66" s="16">
        <f t="shared" ref="BQ66:BR66" si="249">BQ64-BQ65</f>
        <v>3468</v>
      </c>
      <c r="BR66" s="16">
        <f t="shared" si="249"/>
        <v>3294</v>
      </c>
      <c r="BS66" s="16">
        <f t="shared" ref="BS66:BT66" si="250">BS64-BS65</f>
        <v>3613</v>
      </c>
      <c r="BT66" s="16">
        <f t="shared" si="250"/>
        <v>3894</v>
      </c>
      <c r="BU66" s="16">
        <f t="shared" ref="BU66:CA66" si="251">BU64-BU65</f>
        <v>6236</v>
      </c>
      <c r="BV66" s="16">
        <f t="shared" si="251"/>
        <v>6427</v>
      </c>
      <c r="BW66" s="16">
        <f t="shared" si="251"/>
        <v>5242</v>
      </c>
      <c r="BX66" s="16">
        <f t="shared" si="251"/>
        <v>5536</v>
      </c>
      <c r="BY66" s="16">
        <f t="shared" si="251"/>
        <v>5888</v>
      </c>
      <c r="BZ66" s="16">
        <f t="shared" si="251"/>
        <v>5917</v>
      </c>
      <c r="CA66" s="16">
        <f t="shared" si="251"/>
        <v>5814</v>
      </c>
      <c r="CB66" s="16">
        <f t="shared" ref="CB66:CD66" si="252">CB64-CB65</f>
        <v>6468</v>
      </c>
      <c r="CC66" s="16">
        <f t="shared" si="252"/>
        <v>6607</v>
      </c>
      <c r="CD66" s="16">
        <f t="shared" si="252"/>
        <v>6221.83</v>
      </c>
      <c r="CE66" s="16">
        <f t="shared" ref="CE66:CJ66" si="253">CE64-CE65</f>
        <v>4941</v>
      </c>
      <c r="CF66" s="16">
        <f t="shared" si="253"/>
        <v>5641</v>
      </c>
      <c r="CG66" s="16">
        <f t="shared" si="253"/>
        <v>5344</v>
      </c>
      <c r="CH66" s="16">
        <f t="shared" si="253"/>
        <v>5861</v>
      </c>
      <c r="CI66" s="16">
        <f t="shared" si="253"/>
        <v>4291</v>
      </c>
      <c r="CJ66" s="16">
        <f t="shared" si="253"/>
        <v>5650</v>
      </c>
      <c r="CK66" s="16">
        <f t="shared" ref="CK66:CL66" si="254">CK64-CK65</f>
        <v>5409</v>
      </c>
      <c r="CL66" s="16">
        <f t="shared" si="254"/>
        <v>5471.3580299999994</v>
      </c>
      <c r="CM66" s="16">
        <f t="shared" ref="CM66:CP66" si="255">CM64-CM65</f>
        <v>4734.083249999997</v>
      </c>
      <c r="CN66" s="16">
        <f t="shared" si="255"/>
        <v>6095.9137500000006</v>
      </c>
      <c r="CO66" s="16">
        <f t="shared" si="255"/>
        <v>6320.9394000000002</v>
      </c>
      <c r="CP66" s="16">
        <f t="shared" si="255"/>
        <v>6253.020031500002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 t="shared" ref="CZ66:DB66" si="256">+CZ64-CZ65</f>
        <v>12268</v>
      </c>
      <c r="DA66" s="16">
        <f t="shared" si="256"/>
        <v>13336</v>
      </c>
      <c r="DB66" s="16">
        <f t="shared" si="256"/>
        <v>20170</v>
      </c>
      <c r="DC66" s="16">
        <f>+DC64-DC65</f>
        <v>22583</v>
      </c>
      <c r="DD66" s="16">
        <f>+DD64-DD65</f>
        <v>24894.829999999998</v>
      </c>
      <c r="DE66" s="16">
        <f>+DE64-DE65</f>
        <v>21787</v>
      </c>
      <c r="DF66" s="16">
        <f t="shared" ref="DF66:DL66" si="257">+DF64-DF65</f>
        <v>20821.358029999992</v>
      </c>
      <c r="DG66" s="16">
        <f t="shared" si="257"/>
        <v>31262.99117275</v>
      </c>
      <c r="DH66" s="16">
        <f t="shared" si="257"/>
        <v>31846.073590074993</v>
      </c>
      <c r="DI66" s="16">
        <f t="shared" si="257"/>
        <v>32997.52333887999</v>
      </c>
      <c r="DJ66" s="16">
        <f t="shared" si="257"/>
        <v>33025.613987580873</v>
      </c>
      <c r="DK66" s="16">
        <f t="shared" si="257"/>
        <v>33554.555101908612</v>
      </c>
      <c r="DL66" s="16">
        <f t="shared" si="257"/>
        <v>29278.300676829655</v>
      </c>
      <c r="DM66" s="15">
        <f t="shared" ref="DM66:ER66" si="258">DL66*(1+$DT$74)</f>
        <v>28985.517670061359</v>
      </c>
      <c r="DN66" s="15">
        <f t="shared" si="258"/>
        <v>28695.662493360745</v>
      </c>
      <c r="DO66" s="15">
        <f t="shared" si="258"/>
        <v>28408.705868427136</v>
      </c>
      <c r="DP66" s="15">
        <f t="shared" si="258"/>
        <v>28124.618809742864</v>
      </c>
      <c r="DQ66" s="15">
        <f t="shared" si="258"/>
        <v>27843.372621645434</v>
      </c>
      <c r="DR66" s="15">
        <f t="shared" si="258"/>
        <v>27564.938895428979</v>
      </c>
      <c r="DS66" s="15">
        <f t="shared" si="258"/>
        <v>27289.289506474688</v>
      </c>
      <c r="DT66" s="15">
        <f t="shared" si="258"/>
        <v>27016.396611409942</v>
      </c>
      <c r="DU66" s="15">
        <f t="shared" si="258"/>
        <v>26746.232645295844</v>
      </c>
      <c r="DV66" s="15">
        <f t="shared" si="258"/>
        <v>26478.770318842886</v>
      </c>
      <c r="DW66" s="15">
        <f t="shared" si="258"/>
        <v>26213.982615654455</v>
      </c>
      <c r="DX66" s="15">
        <f t="shared" si="258"/>
        <v>25951.84278949791</v>
      </c>
      <c r="DY66" s="15">
        <f t="shared" si="258"/>
        <v>25692.324361602932</v>
      </c>
      <c r="DZ66" s="15">
        <f t="shared" si="258"/>
        <v>25435.401117986901</v>
      </c>
      <c r="EA66" s="15">
        <f t="shared" si="258"/>
        <v>25181.047106807033</v>
      </c>
      <c r="EB66" s="15">
        <f t="shared" si="258"/>
        <v>24929.236635738962</v>
      </c>
      <c r="EC66" s="15">
        <f t="shared" si="258"/>
        <v>24679.944269381573</v>
      </c>
      <c r="ED66" s="15">
        <f t="shared" si="258"/>
        <v>24433.144826687756</v>
      </c>
      <c r="EE66" s="15">
        <f t="shared" si="258"/>
        <v>24188.813378420877</v>
      </c>
      <c r="EF66" s="15">
        <f t="shared" si="258"/>
        <v>23946.925244636666</v>
      </c>
      <c r="EG66" s="15">
        <f t="shared" si="258"/>
        <v>23707.455992190298</v>
      </c>
      <c r="EH66" s="15">
        <f t="shared" si="258"/>
        <v>23470.381432268394</v>
      </c>
      <c r="EI66" s="15">
        <f t="shared" si="258"/>
        <v>23235.677617945708</v>
      </c>
      <c r="EJ66" s="15">
        <f t="shared" si="258"/>
        <v>23003.32084176625</v>
      </c>
      <c r="EK66" s="15">
        <f t="shared" si="258"/>
        <v>22773.287633348587</v>
      </c>
      <c r="EL66" s="15">
        <f t="shared" si="258"/>
        <v>22545.554757015103</v>
      </c>
      <c r="EM66" s="15">
        <f t="shared" si="258"/>
        <v>22320.09920944495</v>
      </c>
      <c r="EN66" s="15">
        <f t="shared" si="258"/>
        <v>22096.898217350499</v>
      </c>
      <c r="EO66" s="15">
        <f t="shared" si="258"/>
        <v>21875.929235176995</v>
      </c>
      <c r="EP66" s="15">
        <f t="shared" si="258"/>
        <v>21657.169942825225</v>
      </c>
      <c r="EQ66" s="15">
        <f t="shared" si="258"/>
        <v>21440.598243396973</v>
      </c>
      <c r="ER66" s="15">
        <f t="shared" si="258"/>
        <v>21226.192260963002</v>
      </c>
      <c r="ES66" s="15">
        <f t="shared" ref="ES66:FX66" si="259">ER66*(1+$DT$74)</f>
        <v>21013.930338353373</v>
      </c>
      <c r="ET66" s="15">
        <f t="shared" si="259"/>
        <v>20803.79103496984</v>
      </c>
      <c r="EU66" s="15">
        <f t="shared" si="259"/>
        <v>20595.75312462014</v>
      </c>
      <c r="EV66" s="15">
        <f t="shared" si="259"/>
        <v>20389.795593373939</v>
      </c>
      <c r="EW66" s="15">
        <f t="shared" si="259"/>
        <v>20185.897637440201</v>
      </c>
      <c r="EX66" s="15">
        <f t="shared" si="259"/>
        <v>19984.038661065799</v>
      </c>
      <c r="EY66" s="15">
        <f t="shared" si="259"/>
        <v>19784.198274455142</v>
      </c>
      <c r="EZ66" s="15">
        <f t="shared" si="259"/>
        <v>19586.356291710592</v>
      </c>
      <c r="FA66" s="15">
        <f t="shared" si="259"/>
        <v>19390.492728793484</v>
      </c>
      <c r="FB66" s="15">
        <f t="shared" si="259"/>
        <v>19196.58780150555</v>
      </c>
      <c r="FC66" s="15">
        <f t="shared" si="259"/>
        <v>19004.621923490493</v>
      </c>
      <c r="FD66" s="15">
        <f t="shared" si="259"/>
        <v>18814.575704255589</v>
      </c>
      <c r="FE66" s="15">
        <f t="shared" si="259"/>
        <v>18626.429947213033</v>
      </c>
      <c r="FF66" s="15">
        <f t="shared" si="259"/>
        <v>18440.165647740901</v>
      </c>
      <c r="FG66" s="15">
        <f t="shared" si="259"/>
        <v>18255.763991263491</v>
      </c>
      <c r="FH66" s="15">
        <f t="shared" si="259"/>
        <v>18073.206351350855</v>
      </c>
      <c r="FI66" s="15">
        <f t="shared" si="259"/>
        <v>17892.474287837347</v>
      </c>
      <c r="FJ66" s="15">
        <f t="shared" si="259"/>
        <v>17713.549544958973</v>
      </c>
      <c r="FK66" s="15">
        <f t="shared" si="259"/>
        <v>17536.414049509382</v>
      </c>
      <c r="FL66" s="15">
        <f t="shared" si="259"/>
        <v>17361.049909014288</v>
      </c>
      <c r="FM66" s="15">
        <f t="shared" si="259"/>
        <v>17187.439409924144</v>
      </c>
      <c r="FN66" s="15">
        <f t="shared" si="259"/>
        <v>17015.565015824901</v>
      </c>
      <c r="FO66" s="15">
        <f t="shared" si="259"/>
        <v>16845.409365666652</v>
      </c>
      <c r="FP66" s="15">
        <f t="shared" si="259"/>
        <v>16676.955272009985</v>
      </c>
      <c r="FQ66" s="15">
        <f t="shared" si="259"/>
        <v>16510.185719289886</v>
      </c>
      <c r="FR66" s="15">
        <f t="shared" si="259"/>
        <v>16345.083862096986</v>
      </c>
      <c r="FS66" s="15">
        <f t="shared" si="259"/>
        <v>16181.633023476015</v>
      </c>
      <c r="FT66" s="15">
        <f t="shared" si="259"/>
        <v>16019.816693241255</v>
      </c>
      <c r="FU66" s="15">
        <f t="shared" si="259"/>
        <v>15859.618526308843</v>
      </c>
      <c r="FV66" s="15">
        <f t="shared" si="259"/>
        <v>15701.022341045755</v>
      </c>
      <c r="FW66" s="15">
        <f t="shared" si="259"/>
        <v>15544.012117635297</v>
      </c>
      <c r="FX66" s="15">
        <f t="shared" si="259"/>
        <v>15388.571996458944</v>
      </c>
      <c r="FY66" s="15">
        <f t="shared" ref="FY66:HD66" si="260">FX66*(1+$DT$74)</f>
        <v>15234.686276494354</v>
      </c>
      <c r="FZ66" s="15">
        <f t="shared" si="260"/>
        <v>15082.339413729411</v>
      </c>
      <c r="GA66" s="15">
        <f t="shared" si="260"/>
        <v>14931.516019592116</v>
      </c>
      <c r="GB66" s="15">
        <f t="shared" si="260"/>
        <v>14782.200859396195</v>
      </c>
      <c r="GC66" s="15">
        <f t="shared" si="260"/>
        <v>14634.378850802232</v>
      </c>
      <c r="GD66" s="15">
        <f t="shared" si="260"/>
        <v>14488.03506229421</v>
      </c>
      <c r="GE66" s="15">
        <f t="shared" si="260"/>
        <v>14343.154711671268</v>
      </c>
      <c r="GF66" s="15">
        <f t="shared" si="260"/>
        <v>14199.723164554556</v>
      </c>
      <c r="GG66" s="15">
        <f t="shared" si="260"/>
        <v>14057.72593290901</v>
      </c>
      <c r="GH66" s="15">
        <f t="shared" si="260"/>
        <v>13917.148673579921</v>
      </c>
      <c r="GI66" s="15">
        <f t="shared" si="260"/>
        <v>13777.977186844122</v>
      </c>
      <c r="GJ66" s="15">
        <f t="shared" si="260"/>
        <v>13640.197414975681</v>
      </c>
      <c r="GK66" s="15">
        <f t="shared" si="260"/>
        <v>13503.795440825923</v>
      </c>
      <c r="GL66" s="15">
        <f t="shared" si="260"/>
        <v>13368.757486417664</v>
      </c>
      <c r="GM66" s="15">
        <f t="shared" si="260"/>
        <v>13235.069911553488</v>
      </c>
      <c r="GN66" s="15">
        <f t="shared" si="260"/>
        <v>13102.719212437953</v>
      </c>
      <c r="GO66" s="15">
        <f t="shared" si="260"/>
        <v>12971.692020313572</v>
      </c>
      <c r="GP66" s="15">
        <f t="shared" si="260"/>
        <v>12841.975100110436</v>
      </c>
      <c r="GQ66" s="15">
        <f t="shared" si="260"/>
        <v>12713.555349109332</v>
      </c>
      <c r="GR66" s="15">
        <f t="shared" si="260"/>
        <v>12586.41979561824</v>
      </c>
      <c r="GS66" s="15">
        <f t="shared" si="260"/>
        <v>12460.555597662058</v>
      </c>
      <c r="GT66" s="15">
        <f t="shared" si="260"/>
        <v>12335.950041685437</v>
      </c>
      <c r="GU66" s="15">
        <f t="shared" si="260"/>
        <v>12212.590541268582</v>
      </c>
      <c r="GV66" s="15">
        <f t="shared" si="260"/>
        <v>12090.464635855897</v>
      </c>
      <c r="GW66" s="15">
        <f t="shared" si="260"/>
        <v>11969.559989497338</v>
      </c>
      <c r="GX66" s="15">
        <f t="shared" si="260"/>
        <v>11849.864389602364</v>
      </c>
      <c r="GY66" s="15">
        <f t="shared" si="260"/>
        <v>11731.36574570634</v>
      </c>
      <c r="GZ66" s="15">
        <f t="shared" si="260"/>
        <v>11614.052088249276</v>
      </c>
      <c r="HA66" s="15">
        <f t="shared" si="260"/>
        <v>11497.911567366784</v>
      </c>
      <c r="HB66" s="15">
        <f t="shared" si="260"/>
        <v>11382.932451693116</v>
      </c>
      <c r="HC66" s="15">
        <f t="shared" si="260"/>
        <v>11269.103127176184</v>
      </c>
      <c r="HD66" s="15">
        <f t="shared" si="260"/>
        <v>11156.412095904421</v>
      </c>
      <c r="HE66" s="15">
        <f t="shared" ref="HE66:II66" si="261">HD66*(1+$DT$74)</f>
        <v>11044.847974945376</v>
      </c>
      <c r="HF66" s="15">
        <f t="shared" si="261"/>
        <v>10934.399495195923</v>
      </c>
      <c r="HG66" s="15">
        <f t="shared" si="261"/>
        <v>10825.055500243963</v>
      </c>
      <c r="HH66" s="15">
        <f t="shared" si="261"/>
        <v>10716.804945241523</v>
      </c>
      <c r="HI66" s="15">
        <f t="shared" si="261"/>
        <v>10609.636895789108</v>
      </c>
      <c r="HJ66" s="15">
        <f t="shared" si="261"/>
        <v>10503.540526831217</v>
      </c>
      <c r="HK66" s="15">
        <f t="shared" si="261"/>
        <v>10398.505121562905</v>
      </c>
      <c r="HL66" s="15">
        <f t="shared" si="261"/>
        <v>10294.520070347275</v>
      </c>
      <c r="HM66" s="15">
        <f t="shared" si="261"/>
        <v>10191.574869643802</v>
      </c>
      <c r="HN66" s="15">
        <f t="shared" si="261"/>
        <v>10089.659120947364</v>
      </c>
      <c r="HO66" s="15">
        <f t="shared" si="261"/>
        <v>9988.7625297378909</v>
      </c>
      <c r="HP66" s="15">
        <f t="shared" si="261"/>
        <v>9888.8749044405122</v>
      </c>
      <c r="HQ66" s="15">
        <f t="shared" si="261"/>
        <v>9789.9861553961073</v>
      </c>
      <c r="HR66" s="15">
        <f t="shared" si="261"/>
        <v>9692.0862938421469</v>
      </c>
      <c r="HS66" s="15">
        <f t="shared" si="261"/>
        <v>9595.1654309037258</v>
      </c>
      <c r="HT66" s="15">
        <f t="shared" si="261"/>
        <v>9499.2137765946882</v>
      </c>
      <c r="HU66" s="15">
        <f t="shared" si="261"/>
        <v>9404.2216388287416</v>
      </c>
      <c r="HV66" s="15">
        <f t="shared" si="261"/>
        <v>9310.1794224404548</v>
      </c>
      <c r="HW66" s="15">
        <f t="shared" si="261"/>
        <v>9217.0776282160496</v>
      </c>
      <c r="HX66" s="15">
        <f t="shared" si="261"/>
        <v>9124.9068519338889</v>
      </c>
      <c r="HY66" s="15">
        <f t="shared" si="261"/>
        <v>9033.6577834145501</v>
      </c>
      <c r="HZ66" s="15">
        <f t="shared" si="261"/>
        <v>8943.3212055804051</v>
      </c>
      <c r="IA66" s="15">
        <f t="shared" si="261"/>
        <v>8853.8879935246005</v>
      </c>
      <c r="IB66" s="15">
        <f t="shared" si="261"/>
        <v>8765.3491135893546</v>
      </c>
      <c r="IC66" s="15">
        <f t="shared" si="261"/>
        <v>8677.6956224534606</v>
      </c>
      <c r="ID66" s="15">
        <f t="shared" si="261"/>
        <v>8590.9186662289267</v>
      </c>
      <c r="IE66" s="15">
        <f t="shared" si="261"/>
        <v>8505.0094795666373</v>
      </c>
      <c r="IF66" s="15">
        <f t="shared" si="261"/>
        <v>8419.9593847709712</v>
      </c>
      <c r="IG66" s="15">
        <f t="shared" si="261"/>
        <v>8335.7597909232609</v>
      </c>
      <c r="IH66" s="15">
        <f t="shared" si="261"/>
        <v>8252.4021930140279</v>
      </c>
      <c r="II66" s="15">
        <f t="shared" si="261"/>
        <v>8169.8781710838875</v>
      </c>
    </row>
    <row r="67" spans="2:243" s="14" customFormat="1" x14ac:dyDescent="0.25">
      <c r="B67" s="14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>
        <f t="shared" ref="AQ67:BB67" si="262">AQ66/AQ68</f>
        <v>0.60311526479750777</v>
      </c>
      <c r="AR67" s="3">
        <f t="shared" si="262"/>
        <v>0.71597265382224984</v>
      </c>
      <c r="AS67" s="3">
        <f t="shared" si="262"/>
        <v>0.74465408805031441</v>
      </c>
      <c r="AT67" s="3">
        <f t="shared" si="262"/>
        <v>0.74067164179104472</v>
      </c>
      <c r="AU67" s="3">
        <f t="shared" si="262"/>
        <v>0.61093847110006216</v>
      </c>
      <c r="AV67" s="3">
        <f t="shared" si="262"/>
        <v>0.83022388059701491</v>
      </c>
      <c r="AW67" s="3">
        <f t="shared" si="262"/>
        <v>0.61366459627329195</v>
      </c>
      <c r="AX67" s="3">
        <f t="shared" si="262"/>
        <v>-8.1402629931120844E-3</v>
      </c>
      <c r="AY67" s="3">
        <f t="shared" si="262"/>
        <v>0.81654228855721389</v>
      </c>
      <c r="AZ67" s="3">
        <f t="shared" si="262"/>
        <v>0.85915492957746475</v>
      </c>
      <c r="BA67" s="3">
        <f t="shared" si="262"/>
        <v>0.75240384615384615</v>
      </c>
      <c r="BB67" s="3">
        <f t="shared" si="262"/>
        <v>0.90182926829268295</v>
      </c>
      <c r="BC67" s="3">
        <f t="shared" ref="BC67:BD67" si="263">BC66/BC68</f>
        <v>1.0252307692307692</v>
      </c>
      <c r="BD67" s="3">
        <f t="shared" si="263"/>
        <v>1.0263480392156863</v>
      </c>
      <c r="BE67" s="3">
        <f t="shared" ref="BE67:BF67" si="264">BE66/BE68</f>
        <v>1.2134146341463414</v>
      </c>
      <c r="BF67" s="3">
        <f t="shared" si="264"/>
        <v>1.219725343320849</v>
      </c>
      <c r="BG67" s="3">
        <f t="shared" ref="BG67:BH67" si="265">BG66/BG68</f>
        <v>1.2932002495321273</v>
      </c>
      <c r="BH67" s="3">
        <f t="shared" si="265"/>
        <v>1.434375</v>
      </c>
      <c r="BI67" s="3">
        <f t="shared" ref="BI67" si="266">BI66/BI68</f>
        <v>1.4235807860262009</v>
      </c>
      <c r="BJ67" s="3">
        <f t="shared" ref="BJ67:BK67" si="267">BJ66/BJ68</f>
        <v>1.4937578027465668</v>
      </c>
      <c r="BK67" s="3">
        <f t="shared" si="267"/>
        <v>1.8847117794486214</v>
      </c>
      <c r="BL67" s="3">
        <f t="shared" ref="BL67:BM67" si="268">BL66/BL68</f>
        <v>1.9993638676844783</v>
      </c>
      <c r="BM67" s="3">
        <f t="shared" si="268"/>
        <v>2.1485148514851486</v>
      </c>
      <c r="BN67" s="3">
        <f t="shared" ref="BN67:BR67" si="269">BN66/BN68</f>
        <v>1.9067288474350432</v>
      </c>
      <c r="BO67" s="3">
        <f t="shared" si="269"/>
        <v>2.1564396493594065</v>
      </c>
      <c r="BP67" s="3">
        <f t="shared" si="269"/>
        <v>2.2749326145552562</v>
      </c>
      <c r="BQ67" s="3">
        <f t="shared" ref="BQ67" si="270">BQ66/BQ68</f>
        <v>2.3385030343897504</v>
      </c>
      <c r="BR67" s="3">
        <f t="shared" si="269"/>
        <v>2.2181818181818183</v>
      </c>
      <c r="BS67" s="3">
        <f t="shared" ref="BS67:BT67" si="271">BS66/BS68</f>
        <v>2.4346361185983829</v>
      </c>
      <c r="BT67" s="3">
        <f t="shared" si="271"/>
        <v>2.3642987249544625</v>
      </c>
      <c r="BU67" s="3">
        <f t="shared" ref="BU67:CA67" si="272">BU66/BU68</f>
        <v>3.5152198421645999</v>
      </c>
      <c r="BV67" s="3">
        <f t="shared" si="272"/>
        <v>3.6188063063063063</v>
      </c>
      <c r="BW67" s="3">
        <f t="shared" si="272"/>
        <v>2.9532394366197181</v>
      </c>
      <c r="BX67" s="3">
        <f t="shared" si="272"/>
        <v>3.1171171171171173</v>
      </c>
      <c r="BY67" s="3">
        <f t="shared" si="272"/>
        <v>3.3134496342149689</v>
      </c>
      <c r="BZ67" s="3">
        <f t="shared" si="272"/>
        <v>3.3278965129358831</v>
      </c>
      <c r="CA67" s="3">
        <f t="shared" si="272"/>
        <v>3.2699662542182226</v>
      </c>
      <c r="CB67" s="3">
        <f t="shared" ref="CB67:CD67" si="273">CB66/CB68</f>
        <v>3.6418918918918921</v>
      </c>
      <c r="CC67" s="3">
        <f t="shared" si="273"/>
        <v>3.7201576576576576</v>
      </c>
      <c r="CD67" s="3">
        <f t="shared" si="273"/>
        <v>3.5032826576576577</v>
      </c>
      <c r="CE67" s="3">
        <f t="shared" ref="CE67:CJ67" si="274">CE66/CE68</f>
        <v>2.7820945945945947</v>
      </c>
      <c r="CF67" s="3">
        <f t="shared" si="274"/>
        <v>3.1852060982495765</v>
      </c>
      <c r="CG67" s="3">
        <f t="shared" si="274"/>
        <v>3.0175042348955392</v>
      </c>
      <c r="CH67" s="3">
        <f t="shared" si="274"/>
        <v>3.3075620767494356</v>
      </c>
      <c r="CI67" s="3">
        <f t="shared" si="274"/>
        <v>2.4215575620767495</v>
      </c>
      <c r="CJ67" s="3">
        <f t="shared" si="274"/>
        <v>3.1884875846501131</v>
      </c>
      <c r="CK67" s="3">
        <f t="shared" ref="CK67:CL67" si="275">CK66/CK68</f>
        <v>3.0524830699774266</v>
      </c>
      <c r="CL67" s="3">
        <f t="shared" si="275"/>
        <v>3.0876738318284422</v>
      </c>
      <c r="CM67" s="3">
        <f t="shared" ref="CM67:CP67" si="276">CM66/CM68</f>
        <v>2.6716045428893889</v>
      </c>
      <c r="CN67" s="3">
        <f t="shared" si="276"/>
        <v>3.440131913092551</v>
      </c>
      <c r="CO67" s="3">
        <f t="shared" si="276"/>
        <v>3.5671215575620767</v>
      </c>
      <c r="CP67" s="3">
        <f t="shared" si="276"/>
        <v>3.5287923428329582</v>
      </c>
      <c r="CQ67" s="3"/>
      <c r="CR67" s="3"/>
      <c r="CS67" s="3"/>
      <c r="CT67" s="3"/>
      <c r="CU67" s="3"/>
      <c r="CV67" s="3"/>
      <c r="CW67" s="3"/>
      <c r="CX67" s="3"/>
      <c r="CY67" s="3"/>
      <c r="CZ67" s="3">
        <f t="shared" ref="CZ67:DB67" si="277">+CZ66/CZ68</f>
        <v>7.9353169469598965</v>
      </c>
      <c r="DA67" s="3">
        <f t="shared" si="277"/>
        <v>8.9880370682392581</v>
      </c>
      <c r="DB67" s="3">
        <f t="shared" si="277"/>
        <v>12.076036521478821</v>
      </c>
      <c r="DC67" s="3">
        <f>+DC66/DC68</f>
        <v>12.712074303405572</v>
      </c>
      <c r="DD67" s="3">
        <f>+DD66/DD68</f>
        <v>14.013414016324232</v>
      </c>
      <c r="DE67" s="3">
        <f>+DE66/DE68</f>
        <v>12.291678420310296</v>
      </c>
      <c r="DF67" s="3">
        <f t="shared" ref="DF67:DL67" si="278">+DF66/DF68</f>
        <v>11.750202048532726</v>
      </c>
      <c r="DG67" s="3">
        <f t="shared" si="278"/>
        <v>17.642771542183972</v>
      </c>
      <c r="DH67" s="3">
        <f t="shared" si="278"/>
        <v>17.971824825098754</v>
      </c>
      <c r="DI67" s="3">
        <f t="shared" si="278"/>
        <v>18.621627166410828</v>
      </c>
      <c r="DJ67" s="3">
        <f t="shared" si="278"/>
        <v>18.637479676964375</v>
      </c>
      <c r="DK67" s="3">
        <f t="shared" si="278"/>
        <v>18.935979177149331</v>
      </c>
      <c r="DL67" s="3">
        <f t="shared" si="278"/>
        <v>16.522743045614931</v>
      </c>
    </row>
    <row r="68" spans="2:243" s="15" customFormat="1" x14ac:dyDescent="0.25">
      <c r="B68" s="15" t="s">
        <v>14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>
        <v>1605</v>
      </c>
      <c r="AR68" s="16">
        <v>1609</v>
      </c>
      <c r="AS68" s="16">
        <v>1590</v>
      </c>
      <c r="AT68" s="16">
        <v>1608</v>
      </c>
      <c r="AU68" s="16">
        <v>1609</v>
      </c>
      <c r="AV68" s="16">
        <v>1608</v>
      </c>
      <c r="AW68" s="16">
        <v>1610</v>
      </c>
      <c r="AX68" s="16">
        <v>1597</v>
      </c>
      <c r="AY68" s="16">
        <v>1608</v>
      </c>
      <c r="AZ68" s="16">
        <v>1633</v>
      </c>
      <c r="BA68" s="16">
        <v>1664</v>
      </c>
      <c r="BB68" s="16">
        <v>1640</v>
      </c>
      <c r="BC68" s="16">
        <v>1625</v>
      </c>
      <c r="BD68" s="16">
        <v>1632</v>
      </c>
      <c r="BE68" s="16">
        <v>1640</v>
      </c>
      <c r="BF68" s="16">
        <v>1602</v>
      </c>
      <c r="BG68" s="16">
        <v>1603</v>
      </c>
      <c r="BH68" s="16">
        <v>1600</v>
      </c>
      <c r="BI68" s="16">
        <v>1603</v>
      </c>
      <c r="BJ68" s="16">
        <v>1602</v>
      </c>
      <c r="BK68" s="16">
        <v>1596</v>
      </c>
      <c r="BL68" s="16">
        <v>1572</v>
      </c>
      <c r="BM68" s="16">
        <v>1515</v>
      </c>
      <c r="BN68" s="16">
        <v>1501</v>
      </c>
      <c r="BO68" s="16">
        <v>1483</v>
      </c>
      <c r="BP68" s="16">
        <v>1484</v>
      </c>
      <c r="BQ68" s="16">
        <v>1483</v>
      </c>
      <c r="BR68" s="16">
        <v>1485</v>
      </c>
      <c r="BS68" s="16">
        <v>1484</v>
      </c>
      <c r="BT68" s="16">
        <v>1647</v>
      </c>
      <c r="BU68" s="16">
        <v>1774</v>
      </c>
      <c r="BV68" s="16">
        <v>1776</v>
      </c>
      <c r="BW68" s="16">
        <v>1775</v>
      </c>
      <c r="BX68" s="16">
        <v>1776</v>
      </c>
      <c r="BY68" s="16">
        <v>1777</v>
      </c>
      <c r="BZ68" s="16">
        <v>1778</v>
      </c>
      <c r="CA68" s="16">
        <v>1778</v>
      </c>
      <c r="CB68" s="16">
        <v>1776</v>
      </c>
      <c r="CC68" s="16">
        <v>1776</v>
      </c>
      <c r="CD68" s="16">
        <f>+CC68</f>
        <v>1776</v>
      </c>
      <c r="CE68" s="16">
        <v>1776</v>
      </c>
      <c r="CF68" s="16">
        <v>1771</v>
      </c>
      <c r="CG68" s="16">
        <v>1771</v>
      </c>
      <c r="CH68" s="16">
        <v>1772</v>
      </c>
      <c r="CI68" s="16">
        <v>1772</v>
      </c>
      <c r="CJ68" s="49">
        <f>+CI68</f>
        <v>1772</v>
      </c>
      <c r="CK68" s="16">
        <v>1772</v>
      </c>
      <c r="CL68" s="16">
        <f t="shared" ref="CL68" si="279">+CK68</f>
        <v>1772</v>
      </c>
      <c r="CM68" s="16">
        <f t="shared" ref="CM68" si="280">+CL68</f>
        <v>1772</v>
      </c>
      <c r="CN68" s="16">
        <f t="shared" ref="CN68" si="281">+CM68</f>
        <v>1772</v>
      </c>
      <c r="CO68" s="16">
        <f t="shared" ref="CO68" si="282">+CN68</f>
        <v>1772</v>
      </c>
      <c r="CP68" s="16">
        <f t="shared" ref="CP68" si="283">+CO68</f>
        <v>1772</v>
      </c>
      <c r="CQ68" s="16"/>
      <c r="CR68" s="16"/>
      <c r="CS68" s="16"/>
      <c r="CT68" s="16"/>
      <c r="CU68" s="16"/>
      <c r="CV68" s="16"/>
      <c r="CW68" s="16"/>
      <c r="CX68" s="16"/>
      <c r="CY68" s="16"/>
      <c r="CZ68" s="16">
        <f>AVERAGE(BK68:BN68)</f>
        <v>1546</v>
      </c>
      <c r="DA68" s="16">
        <f>AVERAGE(BO68:BR68)</f>
        <v>1483.75</v>
      </c>
      <c r="DB68" s="16">
        <f>AVERAGE(BS68:BV68)</f>
        <v>1670.25</v>
      </c>
      <c r="DC68" s="16">
        <f>AVERAGE(BW68:BZ68)</f>
        <v>1776.5</v>
      </c>
      <c r="DD68" s="16">
        <f>AVERAGE(CA68:CD68)</f>
        <v>1776.5</v>
      </c>
      <c r="DE68" s="16">
        <f>AVERAGE(CE68:CH68)</f>
        <v>1772.5</v>
      </c>
      <c r="DF68" s="16">
        <f>AVERAGE(CI68:CL68)</f>
        <v>1772</v>
      </c>
      <c r="DG68" s="16">
        <f t="shared" ref="DG68:DL68" si="284">DF68</f>
        <v>1772</v>
      </c>
      <c r="DH68" s="16">
        <f t="shared" si="284"/>
        <v>1772</v>
      </c>
      <c r="DI68" s="16">
        <f t="shared" si="284"/>
        <v>1772</v>
      </c>
      <c r="DJ68" s="16">
        <f t="shared" si="284"/>
        <v>1772</v>
      </c>
      <c r="DK68" s="16">
        <f t="shared" si="284"/>
        <v>1772</v>
      </c>
      <c r="DL68" s="16">
        <f t="shared" si="284"/>
        <v>1772</v>
      </c>
    </row>
    <row r="70" spans="2:243" s="32" customFormat="1" ht="13" x14ac:dyDescent="0.3">
      <c r="B70" s="32" t="s">
        <v>156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>
        <f t="shared" ref="BG70:BU70" si="285">+BG56/BC56-1</f>
        <v>9.7348103390399565E-2</v>
      </c>
      <c r="BH70" s="33">
        <f t="shared" si="285"/>
        <v>7.9601990049751326E-2</v>
      </c>
      <c r="BI70" s="33">
        <f t="shared" si="285"/>
        <v>9.536486063263383E-2</v>
      </c>
      <c r="BJ70" s="33">
        <f t="shared" si="285"/>
        <v>0.14077240566037741</v>
      </c>
      <c r="BK70" s="33">
        <f t="shared" si="285"/>
        <v>0.21352095442031205</v>
      </c>
      <c r="BL70" s="33">
        <f t="shared" si="285"/>
        <v>0.18922811059907829</v>
      </c>
      <c r="BM70" s="33">
        <f t="shared" si="285"/>
        <v>0.1774124374553252</v>
      </c>
      <c r="BN70" s="33">
        <f t="shared" si="285"/>
        <v>7.3136064090967734E-2</v>
      </c>
      <c r="BO70" s="33">
        <f t="shared" si="285"/>
        <v>-1.3360221830098329E-2</v>
      </c>
      <c r="BP70" s="33">
        <f t="shared" si="285"/>
        <v>-3.6328408815688995E-4</v>
      </c>
      <c r="BQ70" s="33">
        <f t="shared" si="285"/>
        <v>2.9504613890237952E-2</v>
      </c>
      <c r="BR70" s="33">
        <f t="shared" si="285"/>
        <v>4.8043347381095725E-2</v>
      </c>
      <c r="BS70" s="33">
        <f t="shared" si="285"/>
        <v>0.10104752171691356</v>
      </c>
      <c r="BT70" s="33">
        <f t="shared" si="285"/>
        <v>0.26287098728043601</v>
      </c>
      <c r="BU70" s="33">
        <f t="shared" si="285"/>
        <v>0.51928293430829098</v>
      </c>
      <c r="BV70" s="33">
        <f t="shared" ref="BV70:BZ70" si="286">+BV56/BR56-1</f>
        <v>0.59214154411764697</v>
      </c>
      <c r="BW70" s="33">
        <f t="shared" si="286"/>
        <v>0.50075414781297134</v>
      </c>
      <c r="BX70" s="33">
        <f t="shared" si="286"/>
        <v>0.3389928057553957</v>
      </c>
      <c r="BY70" s="33">
        <f t="shared" si="286"/>
        <v>0.11333643844123586</v>
      </c>
      <c r="BZ70" s="33">
        <f t="shared" si="286"/>
        <v>7.4180978496175554E-2</v>
      </c>
      <c r="CA70" s="33">
        <f>+CA56/BW56-1</f>
        <v>4.6617703904135999E-2</v>
      </c>
      <c r="CB70" s="33">
        <f t="shared" ref="CB70" si="287">+CB56/BX56-1</f>
        <v>4.4702342574683085E-2</v>
      </c>
      <c r="CC70" s="33">
        <f>+CC56/BY56-1</f>
        <v>3.2770882722074957E-2</v>
      </c>
      <c r="CD70" s="33">
        <f t="shared" ref="CD70" si="288">+CD56/BZ56-1</f>
        <v>1.5786645169958424E-2</v>
      </c>
      <c r="CE70" s="33">
        <f t="shared" ref="CE70" si="289">+CE56/CA56-1</f>
        <v>-9.6986260895257748E-2</v>
      </c>
      <c r="CF70" s="33">
        <f t="shared" ref="CF70" si="290">+CF56/CB56-1</f>
        <v>-4.9235411095110759E-2</v>
      </c>
      <c r="CG70" s="33">
        <f t="shared" ref="CG70" si="291">+CG56/CC56-1</f>
        <v>-5.9748852281933607E-2</v>
      </c>
      <c r="CH70" s="33">
        <f t="shared" ref="CH70:CL70" si="292">+CH56/CD56-1</f>
        <v>-5.4229217644335637E-2</v>
      </c>
      <c r="CI70" s="33">
        <f t="shared" si="292"/>
        <v>6.952965235173858E-3</v>
      </c>
      <c r="CJ70" s="33">
        <f t="shared" si="292"/>
        <v>4.3058059862964404E-2</v>
      </c>
      <c r="CK70" s="33">
        <f t="shared" si="292"/>
        <v>3.8270984418754983E-2</v>
      </c>
      <c r="CL70" s="33">
        <f t="shared" si="292"/>
        <v>5.2786518425285145E-3</v>
      </c>
      <c r="CM70" s="33">
        <f t="shared" ref="CM70" si="293">+CM56/CI56-1</f>
        <v>2.6161657189276877E-2</v>
      </c>
      <c r="CN70" s="33">
        <f t="shared" ref="CN70" si="294">+CN56/CJ56-1</f>
        <v>2.9784953671691428E-2</v>
      </c>
      <c r="CO70" s="33">
        <f t="shared" ref="CO70" si="295">+CO56/CK56-1</f>
        <v>6.299861687413566E-2</v>
      </c>
      <c r="CP70" s="33">
        <f t="shared" ref="CP70" si="296">+CP56/CL56-1</f>
        <v>6.9888901950337257E-2</v>
      </c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>
        <f>+DA56/CZ56-1</f>
        <v>1.6283261540341654E-2</v>
      </c>
      <c r="DB70" s="33">
        <f>+DB56/DA56-1</f>
        <v>0.37630012625503517</v>
      </c>
      <c r="DC70" s="33">
        <f>+DC56/DB56-1</f>
        <v>0.22579940590599334</v>
      </c>
      <c r="DD70" s="33">
        <f>+DD56/DC56-1</f>
        <v>3.0576244609956893E-2</v>
      </c>
      <c r="DE70" s="33">
        <f t="shared" ref="DE70:DQ70" si="297">+DE56/DD56-1</f>
        <v>-6.0859642449600626E-2</v>
      </c>
      <c r="DF70" s="33">
        <f t="shared" si="297"/>
        <v>2.3758054420265795E-2</v>
      </c>
      <c r="DG70" s="33">
        <f t="shared" si="297"/>
        <v>5.0503387162643909E-2</v>
      </c>
      <c r="DH70" s="33">
        <f t="shared" si="297"/>
        <v>1.016511074411186E-2</v>
      </c>
      <c r="DI70" s="33">
        <f t="shared" si="297"/>
        <v>2.7495571019660936E-2</v>
      </c>
      <c r="DJ70" s="33">
        <f t="shared" si="297"/>
        <v>-6.7734390815077372E-3</v>
      </c>
      <c r="DK70" s="33">
        <f t="shared" si="297"/>
        <v>8.2331443159073814E-3</v>
      </c>
      <c r="DL70" s="33">
        <f t="shared" si="297"/>
        <v>-0.13507220446458301</v>
      </c>
      <c r="DM70" s="33">
        <f t="shared" si="297"/>
        <v>-0.20756775439757869</v>
      </c>
      <c r="DN70" s="33">
        <f t="shared" si="297"/>
        <v>-7.0667846604703932E-3</v>
      </c>
      <c r="DO70" s="33">
        <f t="shared" si="297"/>
        <v>2.2248137120894462E-2</v>
      </c>
      <c r="DP70" s="33">
        <f t="shared" si="297"/>
        <v>2.5200247319048685E-2</v>
      </c>
      <c r="DQ70" s="33">
        <f t="shared" si="297"/>
        <v>2.089074305420402E-2</v>
      </c>
    </row>
    <row r="71" spans="2:243" s="32" customFormat="1" ht="13" x14ac:dyDescent="0.3">
      <c r="B71" s="32" t="s">
        <v>250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>
        <v>0.17599999999999999</v>
      </c>
      <c r="BL71" s="33">
        <v>0.17100000000000001</v>
      </c>
      <c r="BM71" s="33">
        <v>0.185</v>
      </c>
      <c r="BN71" s="33">
        <v>8.3000000000000004E-2</v>
      </c>
      <c r="BO71" s="33">
        <v>4.0000000000000001E-3</v>
      </c>
      <c r="BP71" s="33">
        <v>1.4999999999999999E-2</v>
      </c>
      <c r="BQ71" s="33"/>
      <c r="BR71" s="33"/>
      <c r="BS71" s="33"/>
      <c r="BT71" s="33"/>
      <c r="BU71" s="33"/>
      <c r="BV71" s="33"/>
      <c r="BW71" s="33"/>
      <c r="BX71" s="33"/>
      <c r="BY71" s="33"/>
      <c r="BZ71" s="33">
        <v>7.3999999999999996E-2</v>
      </c>
      <c r="CA71" s="33">
        <v>5.3999999999999999E-2</v>
      </c>
      <c r="CB71" s="33">
        <v>6.0999999999999999E-2</v>
      </c>
      <c r="CC71" s="33">
        <v>5.3999999999999999E-2</v>
      </c>
      <c r="CD71" s="33">
        <v>3.7999999999999999E-2</v>
      </c>
      <c r="CE71" s="33">
        <v>-8.3000000000000004E-2</v>
      </c>
      <c r="CF71" s="33"/>
      <c r="CG71" s="33">
        <v>-5.8000000000000003E-2</v>
      </c>
      <c r="CH71" s="33">
        <v>-5.3999999999999999E-2</v>
      </c>
      <c r="CI71" s="33">
        <v>1.6E-2</v>
      </c>
      <c r="CJ71" s="33">
        <v>5.6000000000000001E-2</v>
      </c>
      <c r="CK71" s="33">
        <v>4.9000000000000002E-2</v>
      </c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</row>
    <row r="72" spans="2:243" s="29" customFormat="1" x14ac:dyDescent="0.25">
      <c r="B72" s="31" t="s">
        <v>155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>
        <f t="shared" ref="BK72:CL72" si="298">+BK5/BG5-1</f>
        <v>0.14351627003399714</v>
      </c>
      <c r="BL72" s="30">
        <f t="shared" si="298"/>
        <v>9.9448685326547936E-2</v>
      </c>
      <c r="BM72" s="30">
        <f t="shared" si="298"/>
        <v>8.9980855137204774E-2</v>
      </c>
      <c r="BN72" s="30">
        <f t="shared" si="298"/>
        <v>5.3147996729354663E-3</v>
      </c>
      <c r="BO72" s="30">
        <f t="shared" si="298"/>
        <v>-5.5850499044383106E-2</v>
      </c>
      <c r="BP72" s="30">
        <f t="shared" si="298"/>
        <v>-6.0752169720347138E-2</v>
      </c>
      <c r="BQ72" s="30">
        <f t="shared" si="298"/>
        <v>-3.669008587041378E-2</v>
      </c>
      <c r="BR72" s="30">
        <f t="shared" si="298"/>
        <v>-2.0333468889788264E-4</v>
      </c>
      <c r="BS72" s="30">
        <f t="shared" si="298"/>
        <v>5.7804768331084055E-2</v>
      </c>
      <c r="BT72" s="30">
        <f t="shared" si="298"/>
        <v>-6.7761806981520012E-3</v>
      </c>
      <c r="BU72" s="30">
        <f t="shared" si="298"/>
        <v>4.1329011345218714E-2</v>
      </c>
      <c r="BV72" s="30">
        <f t="shared" si="298"/>
        <v>4.7793369941020902E-2</v>
      </c>
      <c r="BW72" s="30">
        <f t="shared" si="298"/>
        <v>3.4871358707208255E-2</v>
      </c>
      <c r="BX72" s="30">
        <f t="shared" si="298"/>
        <v>4.7756874095513657E-2</v>
      </c>
      <c r="BY72" s="30">
        <f t="shared" si="298"/>
        <v>5.5447470817120648E-2</v>
      </c>
      <c r="BZ72" s="30">
        <f t="shared" si="298"/>
        <v>3.5326086956521729E-2</v>
      </c>
      <c r="CA72" s="30">
        <f t="shared" si="298"/>
        <v>-2.6915964659954827E-2</v>
      </c>
      <c r="CB72" s="30">
        <f t="shared" si="298"/>
        <v>5.8208366219415941E-2</v>
      </c>
      <c r="CC72" s="30">
        <f t="shared" si="298"/>
        <v>2.4700460829493176E-2</v>
      </c>
      <c r="CD72" s="30">
        <f t="shared" si="298"/>
        <v>4.5931758530183719E-2</v>
      </c>
      <c r="CE72" s="30">
        <f t="shared" si="298"/>
        <v>-0.25232263513513509</v>
      </c>
      <c r="CF72" s="30">
        <f t="shared" si="298"/>
        <v>-0.25191124370688045</v>
      </c>
      <c r="CG72" s="30">
        <f t="shared" si="298"/>
        <v>-0.36193559992804458</v>
      </c>
      <c r="CH72" s="30">
        <f t="shared" si="298"/>
        <v>-0.40777917189460477</v>
      </c>
      <c r="CI72" s="30">
        <f t="shared" si="298"/>
        <v>-0.35893815306410615</v>
      </c>
      <c r="CJ72" s="30">
        <f t="shared" si="298"/>
        <v>-0.29860418743768691</v>
      </c>
      <c r="CK72" s="30">
        <f t="shared" si="298"/>
        <v>-0.37214547504933748</v>
      </c>
      <c r="CL72" s="30">
        <f t="shared" si="298"/>
        <v>-0.4</v>
      </c>
      <c r="CM72" s="30">
        <f t="shared" ref="CM72:CP72" si="299">+CM5/CI5-1</f>
        <v>-0.4</v>
      </c>
      <c r="CN72" s="30">
        <f t="shared" si="299"/>
        <v>-0.4</v>
      </c>
      <c r="CO72" s="30">
        <f t="shared" si="299"/>
        <v>-0.4</v>
      </c>
      <c r="CP72" s="30">
        <f t="shared" si="299"/>
        <v>-0.4</v>
      </c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>
        <f t="shared" ref="DA72:DL72" si="300">+DA5/CZ5-1</f>
        <v>-3.8473113964687E-2</v>
      </c>
      <c r="DB72" s="30">
        <f t="shared" si="300"/>
        <v>3.4587093745109376E-2</v>
      </c>
      <c r="DC72" s="30">
        <f t="shared" si="300"/>
        <v>4.3465106897942807E-2</v>
      </c>
      <c r="DD72" s="30">
        <f t="shared" si="300"/>
        <v>2.623948970716139E-2</v>
      </c>
      <c r="DE72" s="30">
        <f t="shared" si="300"/>
        <v>-0.32174977633375712</v>
      </c>
      <c r="DF72" s="30">
        <f t="shared" si="300"/>
        <v>-0.35480422104970843</v>
      </c>
      <c r="DG72" s="30">
        <f t="shared" si="300"/>
        <v>-0.40000000000000013</v>
      </c>
      <c r="DH72" s="30">
        <f t="shared" si="300"/>
        <v>-0.19999999999999996</v>
      </c>
      <c r="DI72" s="30">
        <f t="shared" si="300"/>
        <v>-0.19999999999999996</v>
      </c>
      <c r="DJ72" s="30">
        <f t="shared" si="300"/>
        <v>-0.5</v>
      </c>
      <c r="DK72" s="30">
        <f t="shared" si="300"/>
        <v>-0.5</v>
      </c>
      <c r="DL72" s="30">
        <f t="shared" si="300"/>
        <v>-0.5</v>
      </c>
    </row>
    <row r="73" spans="2:243" s="29" customFormat="1" x14ac:dyDescent="0.25">
      <c r="B73" s="31" t="s">
        <v>157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>
        <f t="shared" ref="BK73:CL73" si="301">+BK7/BG7-1</f>
        <v>0.38294010889292207</v>
      </c>
      <c r="BL73" s="30">
        <f t="shared" si="301"/>
        <v>0.35782747603833864</v>
      </c>
      <c r="BM73" s="30">
        <f t="shared" si="301"/>
        <v>0.41279069767441867</v>
      </c>
      <c r="BN73" s="30">
        <f t="shared" si="301"/>
        <v>0.42090395480225995</v>
      </c>
      <c r="BO73" s="30">
        <f t="shared" si="301"/>
        <v>0.34120734908136474</v>
      </c>
      <c r="BP73" s="30">
        <f t="shared" si="301"/>
        <v>0.29294117647058826</v>
      </c>
      <c r="BQ73" s="30">
        <f t="shared" si="301"/>
        <v>0.29320987654320985</v>
      </c>
      <c r="BR73" s="30">
        <f t="shared" si="301"/>
        <v>0.28827037773359843</v>
      </c>
      <c r="BS73" s="30">
        <f t="shared" si="301"/>
        <v>0.20547945205479445</v>
      </c>
      <c r="BT73" s="30">
        <f t="shared" si="301"/>
        <v>0.17197452229299359</v>
      </c>
      <c r="BU73" s="30">
        <f t="shared" si="301"/>
        <v>8.9896579156722334E-2</v>
      </c>
      <c r="BV73" s="30">
        <f t="shared" si="301"/>
        <v>9.8765432098765427E-2</v>
      </c>
      <c r="BW73" s="30">
        <f t="shared" si="301"/>
        <v>2.9220779220779258E-2</v>
      </c>
      <c r="BX73" s="30">
        <f t="shared" si="301"/>
        <v>7.2204968944099335E-2</v>
      </c>
      <c r="BY73" s="30">
        <f t="shared" si="301"/>
        <v>2.9197080291971655E-3</v>
      </c>
      <c r="BZ73" s="30">
        <f t="shared" si="301"/>
        <v>-2.73876404494382E-2</v>
      </c>
      <c r="CA73" s="30">
        <f t="shared" si="301"/>
        <v>-7.4921135646687675E-2</v>
      </c>
      <c r="CB73" s="30">
        <f t="shared" si="301"/>
        <v>-0.17089065894279509</v>
      </c>
      <c r="CC73" s="30">
        <f t="shared" si="301"/>
        <v>-0.17394468704512378</v>
      </c>
      <c r="CD73" s="30">
        <f t="shared" si="301"/>
        <v>-0.19494584837545126</v>
      </c>
      <c r="CE73" s="30">
        <f t="shared" si="301"/>
        <v>-0.25149190110826936</v>
      </c>
      <c r="CF73" s="30">
        <f t="shared" si="301"/>
        <v>-0.20786026200873364</v>
      </c>
      <c r="CG73" s="30">
        <f t="shared" si="301"/>
        <v>-0.19999999999999996</v>
      </c>
      <c r="CH73" s="30">
        <f t="shared" si="301"/>
        <v>-0.19013452914798201</v>
      </c>
      <c r="CI73" s="30">
        <f t="shared" si="301"/>
        <v>-4.5558086560364419E-2</v>
      </c>
      <c r="CJ73" s="30">
        <f t="shared" si="301"/>
        <v>-8.158765159867698E-2</v>
      </c>
      <c r="CK73" s="30">
        <f t="shared" si="301"/>
        <v>-8.8105726872246715E-2</v>
      </c>
      <c r="CL73" s="30">
        <f t="shared" si="301"/>
        <v>-5.0000000000000155E-2</v>
      </c>
      <c r="CM73" s="30">
        <f t="shared" ref="CM73:CP73" si="302">+CM7/CI7-1</f>
        <v>-5.0000000000000155E-2</v>
      </c>
      <c r="CN73" s="30">
        <f t="shared" si="302"/>
        <v>-5.0000000000000155E-2</v>
      </c>
      <c r="CO73" s="30">
        <f t="shared" si="302"/>
        <v>-5.0000000000000155E-2</v>
      </c>
      <c r="CP73" s="30">
        <f t="shared" si="302"/>
        <v>-5.0000000000000044E-2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 t="shared" ref="DA73:DL73" si="303">+DA7/CZ7-1</f>
        <v>0.30194986072423391</v>
      </c>
      <c r="DB73" s="30">
        <f t="shared" si="303"/>
        <v>0.13692768506632436</v>
      </c>
      <c r="DC73" s="30">
        <f t="shared" si="303"/>
        <v>1.7689123071132906E-2</v>
      </c>
      <c r="DD73" s="30">
        <f t="shared" si="303"/>
        <v>-0.15532544378698221</v>
      </c>
      <c r="DE73" s="30">
        <f t="shared" si="303"/>
        <v>-0.21278458844133097</v>
      </c>
      <c r="DF73" s="30">
        <f t="shared" si="303"/>
        <v>-6.6504449388209097E-2</v>
      </c>
      <c r="DG73" s="30">
        <f t="shared" si="303"/>
        <v>-5.0000000000000044E-2</v>
      </c>
      <c r="DH73" s="30">
        <f t="shared" si="303"/>
        <v>-9.9999999999999978E-2</v>
      </c>
      <c r="DI73" s="30">
        <f t="shared" si="303"/>
        <v>-9.9999999999999978E-2</v>
      </c>
      <c r="DJ73" s="30">
        <f t="shared" si="303"/>
        <v>-9.9999999999999978E-2</v>
      </c>
      <c r="DK73" s="30">
        <f t="shared" si="303"/>
        <v>-9.9999999999999867E-2</v>
      </c>
      <c r="DL73" s="30">
        <f t="shared" si="303"/>
        <v>-9.9999999999999978E-2</v>
      </c>
      <c r="DS73" s="48" t="s">
        <v>242</v>
      </c>
      <c r="DT73" s="29">
        <v>0.06</v>
      </c>
    </row>
    <row r="74" spans="2:243" s="29" customFormat="1" x14ac:dyDescent="0.25">
      <c r="B74" s="31" t="s">
        <v>154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69" t="s">
        <v>202</v>
      </c>
      <c r="BG74" s="69" t="s">
        <v>202</v>
      </c>
      <c r="BH74" s="69" t="s">
        <v>202</v>
      </c>
      <c r="BI74" s="69" t="s">
        <v>202</v>
      </c>
      <c r="BJ74" s="69" t="s">
        <v>202</v>
      </c>
      <c r="BK74" s="69" t="s">
        <v>202</v>
      </c>
      <c r="BL74" s="69" t="s">
        <v>202</v>
      </c>
      <c r="BM74" s="69" t="s">
        <v>202</v>
      </c>
      <c r="BN74" s="69" t="s">
        <v>202</v>
      </c>
      <c r="BO74" s="69" t="s">
        <v>202</v>
      </c>
      <c r="BP74" s="69" t="s">
        <v>202</v>
      </c>
      <c r="BQ74" s="69" t="s">
        <v>202</v>
      </c>
      <c r="BR74" s="69" t="s">
        <v>202</v>
      </c>
      <c r="BS74" s="69" t="s">
        <v>202</v>
      </c>
      <c r="BT74" s="30">
        <f t="shared" ref="BT74:CL74" si="304">+BT8/BP8-1</f>
        <v>5.875</v>
      </c>
      <c r="BU74" s="30">
        <f t="shared" si="304"/>
        <v>3.7802197802197801</v>
      </c>
      <c r="BV74" s="30">
        <f t="shared" si="304"/>
        <v>1.4305555555555554</v>
      </c>
      <c r="BW74" s="30">
        <f t="shared" si="304"/>
        <v>0.91333333333333333</v>
      </c>
      <c r="BX74" s="30">
        <f t="shared" si="304"/>
        <v>1.0424242424242425</v>
      </c>
      <c r="BY74" s="30">
        <f t="shared" si="304"/>
        <v>0.8298850574712644</v>
      </c>
      <c r="BZ74" s="30">
        <f t="shared" si="304"/>
        <v>0.7047619047619047</v>
      </c>
      <c r="CA74" s="30">
        <f t="shared" si="304"/>
        <v>0.63763066202090601</v>
      </c>
      <c r="CB74" s="30">
        <f t="shared" si="304"/>
        <v>0.85756676557863498</v>
      </c>
      <c r="CC74" s="30">
        <f t="shared" si="304"/>
        <v>0.75502512562814061</v>
      </c>
      <c r="CD74" s="30">
        <f t="shared" si="304"/>
        <v>0.76089385474860327</v>
      </c>
      <c r="CE74" s="30">
        <f t="shared" si="304"/>
        <v>0.44680851063829796</v>
      </c>
      <c r="CF74" s="30">
        <f t="shared" si="304"/>
        <v>0.5039936102236422</v>
      </c>
      <c r="CG74" s="30">
        <f t="shared" si="304"/>
        <v>0.52183249821045097</v>
      </c>
      <c r="CH74" s="30">
        <f t="shared" si="304"/>
        <v>0.51903553299492389</v>
      </c>
      <c r="CI74" s="30">
        <f t="shared" si="304"/>
        <v>0.4764705882352942</v>
      </c>
      <c r="CJ74" s="30">
        <f t="shared" si="304"/>
        <v>0.44822092405735536</v>
      </c>
      <c r="CK74" s="30">
        <f t="shared" si="304"/>
        <v>0.50752587017873951</v>
      </c>
      <c r="CL74" s="30">
        <f t="shared" si="304"/>
        <v>0.35000000000000009</v>
      </c>
      <c r="CM74" s="30">
        <f t="shared" ref="CM74:CP74" si="305">+CM8/CI8-1</f>
        <v>0.35000000000000009</v>
      </c>
      <c r="CN74" s="30">
        <f t="shared" si="305"/>
        <v>0.35000000000000009</v>
      </c>
      <c r="CO74" s="30">
        <f t="shared" si="305"/>
        <v>0.35000000000000009</v>
      </c>
      <c r="CP74" s="30">
        <f t="shared" si="305"/>
        <v>0.35000000000000009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69" t="s">
        <v>202</v>
      </c>
      <c r="DB74" s="30">
        <f t="shared" ref="DB74:DL74" si="306">+DB8/DA8-1</f>
        <v>3.47887323943662</v>
      </c>
      <c r="DC74" s="30">
        <f t="shared" si="306"/>
        <v>0.84842767295597477</v>
      </c>
      <c r="DD74" s="30">
        <f t="shared" si="306"/>
        <v>0.75740047635250085</v>
      </c>
      <c r="DE74" s="30">
        <f t="shared" si="306"/>
        <v>0.50300096805421113</v>
      </c>
      <c r="DF74" s="30">
        <f t="shared" si="306"/>
        <v>0.4391214736570912</v>
      </c>
      <c r="DG74" s="30">
        <f t="shared" si="306"/>
        <v>0.35000000000000009</v>
      </c>
      <c r="DH74" s="30">
        <f t="shared" si="306"/>
        <v>3.0000000000000027E-2</v>
      </c>
      <c r="DI74" s="30">
        <f t="shared" si="306"/>
        <v>3.0000000000000027E-2</v>
      </c>
      <c r="DJ74" s="30">
        <f t="shared" si="306"/>
        <v>3.0000000000000027E-2</v>
      </c>
      <c r="DK74" s="30">
        <f t="shared" si="306"/>
        <v>3.0000000000000027E-2</v>
      </c>
      <c r="DL74" s="30">
        <f t="shared" si="306"/>
        <v>3.0000000000000027E-2</v>
      </c>
      <c r="DS74" s="45" t="s">
        <v>243</v>
      </c>
      <c r="DT74" s="29">
        <v>-0.01</v>
      </c>
    </row>
    <row r="75" spans="2:243" s="29" customFormat="1" ht="13" x14ac:dyDescent="0.3">
      <c r="B75" s="70" t="s">
        <v>316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>
        <f t="shared" ref="BO75:CL75" si="307">+BO3/BK3-1</f>
        <v>-5.5850499044383106E-2</v>
      </c>
      <c r="BP75" s="30">
        <f t="shared" si="307"/>
        <v>-5.1494696239151372E-2</v>
      </c>
      <c r="BQ75" s="30">
        <f t="shared" si="307"/>
        <v>-1.6198282591725177E-2</v>
      </c>
      <c r="BR75" s="30">
        <f t="shared" si="307"/>
        <v>5.0427002846685554E-2</v>
      </c>
      <c r="BS75" s="30">
        <f t="shared" si="307"/>
        <v>0.14462438146648671</v>
      </c>
      <c r="BT75" s="30">
        <f t="shared" si="307"/>
        <v>8.0927206181374611E-2</v>
      </c>
      <c r="BU75" s="30">
        <f t="shared" si="307"/>
        <v>0.14858163062884344</v>
      </c>
      <c r="BV75" s="30">
        <f t="shared" si="307"/>
        <v>0.1533101045296168</v>
      </c>
      <c r="BW75" s="30">
        <f t="shared" si="307"/>
        <v>0.1287089801532717</v>
      </c>
      <c r="BX75" s="30">
        <f t="shared" si="307"/>
        <v>0.15124153498871329</v>
      </c>
      <c r="BY75" s="30">
        <f t="shared" si="307"/>
        <v>0.15267702936096716</v>
      </c>
      <c r="BZ75" s="30">
        <f t="shared" si="307"/>
        <v>0.13225914736488753</v>
      </c>
      <c r="CA75" s="30">
        <f t="shared" si="307"/>
        <v>6.9115598885793883E-2</v>
      </c>
      <c r="CB75" s="30">
        <f t="shared" si="307"/>
        <v>0.17761437908496736</v>
      </c>
      <c r="CC75" s="30">
        <f t="shared" si="307"/>
        <v>0.14638897213065638</v>
      </c>
      <c r="CD75" s="30">
        <f t="shared" si="307"/>
        <v>0.17477023421286697</v>
      </c>
      <c r="CE75" s="30">
        <f t="shared" si="307"/>
        <v>-9.0213320306139044E-2</v>
      </c>
      <c r="CF75" s="30">
        <f t="shared" si="307"/>
        <v>-5.4669071735812369E-2</v>
      </c>
      <c r="CG75" s="30">
        <f t="shared" si="307"/>
        <v>-0.11344922232387922</v>
      </c>
      <c r="CH75" s="30">
        <f t="shared" si="307"/>
        <v>-0.12264984227129339</v>
      </c>
      <c r="CI75" s="30">
        <f t="shared" si="307"/>
        <v>-3.8661177734025443E-2</v>
      </c>
      <c r="CJ75" s="30">
        <f t="shared" si="307"/>
        <v>2.3190958461764222E-2</v>
      </c>
      <c r="CK75" s="30">
        <f t="shared" si="307"/>
        <v>3.8773404098481512E-2</v>
      </c>
      <c r="CL75" s="30">
        <f t="shared" si="307"/>
        <v>-1.5417805263914786E-2</v>
      </c>
      <c r="CM75" s="30">
        <f t="shared" ref="CM75:CP75" si="308">+CM3/CI3-1</f>
        <v>2.2844907838391437E-2</v>
      </c>
      <c r="CN75" s="30">
        <f t="shared" si="308"/>
        <v>3.6988954238990068E-2</v>
      </c>
      <c r="CO75" s="30">
        <f t="shared" si="308"/>
        <v>0.10149730343457275</v>
      </c>
      <c r="CP75" s="30">
        <f t="shared" si="308"/>
        <v>0.12089967571357607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>
        <f>+Model!DA3/Model!CZ3-1</f>
        <v>-1.8308587479935801E-2</v>
      </c>
      <c r="DB75" s="30">
        <f>+Model!DB3/Model!DA3-1</f>
        <v>0.13192989627510099</v>
      </c>
      <c r="DC75" s="30">
        <f>+Model!DC3/Model!DB3-1</f>
        <v>0.14133525933282165</v>
      </c>
      <c r="DD75" s="30">
        <f>+Model!DD3/Model!DC3-1</f>
        <v>0.14396456256921364</v>
      </c>
      <c r="DE75" s="30">
        <f>+Model!DE3/Model!DD3-1</f>
        <v>-9.639054072742359E-2</v>
      </c>
      <c r="DF75" s="30">
        <f>+Model!DF3/Model!DE3-1</f>
        <v>3.7419651056014303E-3</v>
      </c>
      <c r="DG75" s="30">
        <f>+Model!DG3/Model!DF3-1</f>
        <v>7.3315913058725757E-2</v>
      </c>
      <c r="DH75" s="30">
        <f>+Model!DH3/Model!DG3-1</f>
        <v>2.9728285758984008E-2</v>
      </c>
      <c r="DI75" s="30">
        <f>+Model!DI3/Model!DH3-1</f>
        <v>4.7376389440557665E-2</v>
      </c>
      <c r="DJ75" s="30">
        <f>+Model!DJ3/Model!DI3-1</f>
        <v>-3.2282714214029173E-2</v>
      </c>
      <c r="DK75" s="30">
        <f>+Model!DK3/Model!DJ3-1</f>
        <v>-2.1802220177580267E-3</v>
      </c>
      <c r="DL75" s="30">
        <f>+Model!DL3/Model!DK3-1</f>
        <v>1.3874732327499251E-2</v>
      </c>
      <c r="DS75" s="51" t="s">
        <v>245</v>
      </c>
      <c r="DT75" s="33">
        <v>0</v>
      </c>
    </row>
    <row r="76" spans="2:243" s="29" customFormat="1" ht="13" x14ac:dyDescent="0.3">
      <c r="B76" s="43" t="s">
        <v>118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50" t="s">
        <v>202</v>
      </c>
      <c r="BG76" s="50" t="s">
        <v>202</v>
      </c>
      <c r="BH76" s="50" t="s">
        <v>202</v>
      </c>
      <c r="BI76" s="50" t="s">
        <v>202</v>
      </c>
      <c r="BJ76" s="50" t="s">
        <v>202</v>
      </c>
      <c r="BK76" s="50" t="s">
        <v>202</v>
      </c>
      <c r="BL76" s="50" t="s">
        <v>202</v>
      </c>
      <c r="BM76" s="50" t="s">
        <v>202</v>
      </c>
      <c r="BN76" s="50" t="s">
        <v>202</v>
      </c>
      <c r="BO76" s="50" t="s">
        <v>202</v>
      </c>
      <c r="BP76" s="50" t="s">
        <v>202</v>
      </c>
      <c r="BQ76" s="50" t="s">
        <v>202</v>
      </c>
      <c r="BR76" s="50" t="s">
        <v>202</v>
      </c>
      <c r="BS76" s="50" t="s">
        <v>202</v>
      </c>
      <c r="BT76" s="50" t="s">
        <v>202</v>
      </c>
      <c r="BU76" s="50" t="s">
        <v>202</v>
      </c>
      <c r="BV76" s="50" t="s">
        <v>202</v>
      </c>
      <c r="BW76" s="50" t="s">
        <v>202</v>
      </c>
      <c r="BX76" s="30">
        <f>BX9/BT9-1</f>
        <v>1.584070796460177</v>
      </c>
      <c r="BY76" s="30">
        <f>BY9/BU9-1</f>
        <v>0.38676844783715003</v>
      </c>
      <c r="BZ76" s="30">
        <f>BZ9/BV9-1</f>
        <v>0.26977687626774838</v>
      </c>
      <c r="CA76" s="30">
        <f>CA9/BW9-1</f>
        <v>0.34381551362683438</v>
      </c>
      <c r="CB76" s="30">
        <f>CB9/BX9-1</f>
        <v>0.19006849315068486</v>
      </c>
      <c r="CC76" s="30">
        <f>CC9/BY9-1</f>
        <v>0.16880733944954129</v>
      </c>
      <c r="CD76" s="30">
        <f>CD9/BZ9-1</f>
        <v>2.5559105431310014E-2</v>
      </c>
      <c r="CE76" s="30">
        <f>CE9/CA9-1</f>
        <v>2.808112324492984E-2</v>
      </c>
      <c r="CF76" s="30">
        <f>CF9/CB9-1</f>
        <v>-1.4388489208633115E-2</v>
      </c>
      <c r="CG76" s="30">
        <f>CG9/CC9-1</f>
        <v>-2.6687598116169498E-2</v>
      </c>
      <c r="CH76" s="30">
        <f>CH9/CD9-1</f>
        <v>0.11838006230529596</v>
      </c>
      <c r="CI76" s="30">
        <f>CI9/CE9-1</f>
        <v>-3.9453717754172946E-2</v>
      </c>
      <c r="CJ76" s="30">
        <f>CJ9/CF9-1</f>
        <v>6.4233576642335866E-2</v>
      </c>
      <c r="CK76" s="30">
        <f>CK9/CG9-1</f>
        <v>8.2258064516129048E-2</v>
      </c>
      <c r="CL76" s="30">
        <f>CL9/CH9-1</f>
        <v>-2.9999999999999916E-2</v>
      </c>
      <c r="CM76" s="30">
        <f t="shared" ref="CM76:CP76" si="309">CM9/CI9-1</f>
        <v>-3.0000000000000027E-2</v>
      </c>
      <c r="CN76" s="30">
        <f t="shared" si="309"/>
        <v>-3.0000000000000027E-2</v>
      </c>
      <c r="CO76" s="30">
        <f t="shared" si="309"/>
        <v>-3.0000000000000027E-2</v>
      </c>
      <c r="CP76" s="30">
        <f t="shared" si="309"/>
        <v>-3.0000000000000027E-2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>
        <f t="shared" ref="DC76:DL76" si="310">+DC9/DB9-1</f>
        <v>1.0071942446043165</v>
      </c>
      <c r="DD76" s="30">
        <f t="shared" si="310"/>
        <v>0.17159498207885315</v>
      </c>
      <c r="DE76" s="30">
        <f t="shared" si="310"/>
        <v>2.5621414913957974E-2</v>
      </c>
      <c r="DF76" s="30">
        <f t="shared" si="310"/>
        <v>1.7695749440715947E-2</v>
      </c>
      <c r="DG76" s="30">
        <f t="shared" si="310"/>
        <v>-3.0000000000000138E-2</v>
      </c>
      <c r="DH76" s="30">
        <f t="shared" si="310"/>
        <v>5.0000000000000044E-2</v>
      </c>
      <c r="DI76" s="30">
        <f t="shared" si="310"/>
        <v>5.0000000000000044E-2</v>
      </c>
      <c r="DJ76" s="30">
        <f t="shared" si="310"/>
        <v>5.0000000000000044E-2</v>
      </c>
      <c r="DK76" s="30">
        <f t="shared" si="310"/>
        <v>5.0000000000000044E-2</v>
      </c>
      <c r="DL76" s="30">
        <f t="shared" si="310"/>
        <v>5.0000000000000044E-2</v>
      </c>
      <c r="DS76" s="32" t="s">
        <v>244</v>
      </c>
      <c r="DT76" s="17">
        <f>NPV(DT73,DE66:II66)+Main!K5-Main!K6</f>
        <v>375410.34970166016</v>
      </c>
    </row>
    <row r="77" spans="2:243" s="29" customFormat="1" x14ac:dyDescent="0.25">
      <c r="B77" s="43" t="s">
        <v>121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0" t="s">
        <v>202</v>
      </c>
      <c r="BG77" s="50" t="s">
        <v>202</v>
      </c>
      <c r="BH77" s="50" t="s">
        <v>202</v>
      </c>
      <c r="BI77" s="50" t="s">
        <v>202</v>
      </c>
      <c r="BJ77" s="50" t="s">
        <v>202</v>
      </c>
      <c r="BK77" s="50" t="s">
        <v>202</v>
      </c>
      <c r="BL77" s="50" t="s">
        <v>202</v>
      </c>
      <c r="BM77" s="50" t="s">
        <v>202</v>
      </c>
      <c r="BN77" s="50" t="s">
        <v>202</v>
      </c>
      <c r="BO77" s="50" t="s">
        <v>202</v>
      </c>
      <c r="BP77" s="50" t="s">
        <v>202</v>
      </c>
      <c r="BQ77" s="50" t="s">
        <v>202</v>
      </c>
      <c r="BR77" s="50" t="s">
        <v>202</v>
      </c>
      <c r="BS77" s="50" t="s">
        <v>202</v>
      </c>
      <c r="BT77" s="50" t="s">
        <v>202</v>
      </c>
      <c r="BU77" s="50" t="s">
        <v>202</v>
      </c>
      <c r="BV77" s="50" t="s">
        <v>202</v>
      </c>
      <c r="BW77" s="50" t="s">
        <v>202</v>
      </c>
      <c r="BX77" s="30">
        <f>BX10/BT10-1</f>
        <v>1.0303030303030303</v>
      </c>
      <c r="BY77" s="30">
        <f>BY10/BU10-1</f>
        <v>0.23326959847036322</v>
      </c>
      <c r="BZ77" s="30">
        <f>BZ10/BV10-1</f>
        <v>0.18342151675485008</v>
      </c>
      <c r="CA77" s="30">
        <f>CA10/BW10-1</f>
        <v>0.15413533834586457</v>
      </c>
      <c r="CB77" s="30">
        <f>CB10/BX10-1</f>
        <v>0.12437810945273631</v>
      </c>
      <c r="CC77" s="30">
        <f>CC10/BY10-1</f>
        <v>8.3720930232558111E-2</v>
      </c>
      <c r="CD77" s="30">
        <f>CD10/BZ10-1</f>
        <v>8.4947839046199736E-2</v>
      </c>
      <c r="CE77" s="30">
        <f>CE10/CA10-1</f>
        <v>0.17100977198697076</v>
      </c>
      <c r="CF77" s="30">
        <f>CF10/CB10-1</f>
        <v>0.10324483775811211</v>
      </c>
      <c r="CG77" s="30">
        <f>CG10/CC10-1</f>
        <v>7.0100143061516462E-2</v>
      </c>
      <c r="CH77" s="30">
        <f>CH10/CD10-1</f>
        <v>6.5934065934065922E-2</v>
      </c>
      <c r="CI77" s="30">
        <f>CI10/CE10-1</f>
        <v>4.0333796940194677E-2</v>
      </c>
      <c r="CJ77" s="30">
        <f>CJ10/CF10-1</f>
        <v>8.8235294117646967E-2</v>
      </c>
      <c r="CK77" s="30">
        <f>CK10/CG10-1</f>
        <v>0.1336898395721926</v>
      </c>
      <c r="CL77" s="30">
        <f>CL10/CH10-1</f>
        <v>3.0000000000000027E-2</v>
      </c>
      <c r="CM77" s="30">
        <f t="shared" ref="CM77:CP77" si="311">CM10/CI10-1</f>
        <v>3.0000000000000027E-2</v>
      </c>
      <c r="CN77" s="30">
        <f t="shared" si="311"/>
        <v>3.0000000000000027E-2</v>
      </c>
      <c r="CO77" s="30">
        <f t="shared" si="311"/>
        <v>3.0000000000000027E-2</v>
      </c>
      <c r="CP77" s="30">
        <f t="shared" si="311"/>
        <v>3.0000000000000027E-2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>
        <f t="shared" ref="DC77:DL77" si="312">+DC10/DB10-1</f>
        <v>0.76712328767123283</v>
      </c>
      <c r="DD77" s="30">
        <f t="shared" si="312"/>
        <v>0.1093431252549979</v>
      </c>
      <c r="DE77" s="30">
        <f t="shared" si="312"/>
        <v>0.10003677822728951</v>
      </c>
      <c r="DF77" s="30">
        <f t="shared" si="312"/>
        <v>7.2978936810431216E-2</v>
      </c>
      <c r="DG77" s="30">
        <f t="shared" si="312"/>
        <v>3.0000000000000027E-2</v>
      </c>
      <c r="DH77" s="30">
        <f t="shared" si="312"/>
        <v>5.0000000000000044E-2</v>
      </c>
      <c r="DI77" s="30">
        <f t="shared" si="312"/>
        <v>5.0000000000000044E-2</v>
      </c>
      <c r="DJ77" s="30">
        <f t="shared" si="312"/>
        <v>5.0000000000000044E-2</v>
      </c>
      <c r="DK77" s="30">
        <f t="shared" si="312"/>
        <v>5.0000000000000044E-2</v>
      </c>
      <c r="DL77" s="30">
        <f t="shared" si="312"/>
        <v>5.0000000000000044E-2</v>
      </c>
      <c r="DS77" s="51" t="s">
        <v>246</v>
      </c>
      <c r="DT77" s="14">
        <f>DT76/Main!K3</f>
        <v>211.85685649077888</v>
      </c>
    </row>
    <row r="78" spans="2:243" s="29" customFormat="1" x14ac:dyDescent="0.25">
      <c r="B78" s="53" t="s">
        <v>248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4" t="s">
        <v>202</v>
      </c>
      <c r="BG78" s="54" t="s">
        <v>202</v>
      </c>
      <c r="BH78" s="54" t="s">
        <v>202</v>
      </c>
      <c r="BI78" s="54" t="s">
        <v>202</v>
      </c>
      <c r="BJ78" s="54" t="s">
        <v>202</v>
      </c>
      <c r="BK78" s="54" t="s">
        <v>202</v>
      </c>
      <c r="BL78" s="54" t="s">
        <v>202</v>
      </c>
      <c r="BM78" s="54" t="s">
        <v>202</v>
      </c>
      <c r="BN78" s="54" t="s">
        <v>202</v>
      </c>
      <c r="BO78" s="54" t="s">
        <v>202</v>
      </c>
      <c r="BP78" s="54" t="s">
        <v>202</v>
      </c>
      <c r="BQ78" s="54" t="s">
        <v>202</v>
      </c>
      <c r="BR78" s="54" t="s">
        <v>202</v>
      </c>
      <c r="BS78" s="54" t="s">
        <v>202</v>
      </c>
      <c r="BT78" s="54" t="s">
        <v>202</v>
      </c>
      <c r="BU78" s="30">
        <f t="shared" ref="BU78:CL78" si="313">BU12/BQ12-1</f>
        <v>14.357142857142858</v>
      </c>
      <c r="BV78" s="30">
        <f t="shared" si="313"/>
        <v>7.5151515151515156</v>
      </c>
      <c r="BW78" s="30">
        <f t="shared" si="313"/>
        <v>2.5232558139534884</v>
      </c>
      <c r="BX78" s="30">
        <f t="shared" si="313"/>
        <v>1.5369127516778525</v>
      </c>
      <c r="BY78" s="30">
        <f t="shared" si="313"/>
        <v>1.1069767441860465</v>
      </c>
      <c r="BZ78" s="30">
        <f t="shared" si="313"/>
        <v>0.83985765124555156</v>
      </c>
      <c r="CA78" s="30">
        <f t="shared" si="313"/>
        <v>0.53465346534653468</v>
      </c>
      <c r="CB78" s="30">
        <f t="shared" si="313"/>
        <v>0.56613756613756605</v>
      </c>
      <c r="CC78" s="30">
        <f t="shared" si="313"/>
        <v>0.53421633554083892</v>
      </c>
      <c r="CD78" s="30">
        <f t="shared" si="313"/>
        <v>0.4893617021276595</v>
      </c>
      <c r="CE78" s="30">
        <f t="shared" si="313"/>
        <v>0.47526881720430114</v>
      </c>
      <c r="CF78" s="30">
        <f t="shared" si="313"/>
        <v>0.55067567567567566</v>
      </c>
      <c r="CG78" s="30">
        <f t="shared" si="313"/>
        <v>0.59712230215827344</v>
      </c>
      <c r="CH78" s="30">
        <f t="shared" si="313"/>
        <v>0.62987012987012991</v>
      </c>
      <c r="CI78" s="30">
        <f t="shared" si="313"/>
        <v>0.59329446064139946</v>
      </c>
      <c r="CJ78" s="30">
        <f t="shared" si="313"/>
        <v>0.55773420479302827</v>
      </c>
      <c r="CK78" s="30">
        <f t="shared" si="313"/>
        <v>0.45405405405405408</v>
      </c>
      <c r="CL78" s="30">
        <f t="shared" si="313"/>
        <v>0.30000000000000004</v>
      </c>
      <c r="CM78" s="30">
        <f t="shared" ref="CM78:CP78" si="314">CM12/CI12-1</f>
        <v>0.30000000000000004</v>
      </c>
      <c r="CN78" s="30">
        <f t="shared" si="314"/>
        <v>0.30000000000000004</v>
      </c>
      <c r="CO78" s="30">
        <f t="shared" si="314"/>
        <v>0.30000000000000027</v>
      </c>
      <c r="CP78" s="30">
        <f t="shared" si="314"/>
        <v>0.30000000000000027</v>
      </c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>
        <f t="shared" ref="DC78:DL78" si="315">+DC12/DB12-1</f>
        <v>1.2585499316005473</v>
      </c>
      <c r="DD78" s="30">
        <f t="shared" si="315"/>
        <v>0.52755905511811019</v>
      </c>
      <c r="DE78" s="30">
        <f t="shared" si="315"/>
        <v>0.57375099127676443</v>
      </c>
      <c r="DF78" s="30">
        <f t="shared" si="315"/>
        <v>0.45338876291257235</v>
      </c>
      <c r="DG78" s="30">
        <f t="shared" si="315"/>
        <v>0.30000000000000027</v>
      </c>
      <c r="DH78" s="30">
        <f t="shared" si="315"/>
        <v>0.19999999999999996</v>
      </c>
      <c r="DI78" s="30">
        <f t="shared" si="315"/>
        <v>0.19999999999999996</v>
      </c>
      <c r="DJ78" s="30">
        <f t="shared" si="315"/>
        <v>3.0000000000000027E-2</v>
      </c>
      <c r="DK78" s="30">
        <f t="shared" si="315"/>
        <v>3.0000000000000027E-2</v>
      </c>
      <c r="DL78" s="30">
        <f t="shared" si="315"/>
        <v>3.0000000000000027E-2</v>
      </c>
    </row>
    <row r="79" spans="2:243" s="29" customFormat="1" x14ac:dyDescent="0.25">
      <c r="B79" s="110" t="s">
        <v>508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30"/>
      <c r="BT79" s="30"/>
      <c r="BU79" s="30"/>
      <c r="BV79" s="30"/>
      <c r="BW79" s="30"/>
      <c r="BX79" s="30">
        <f t="shared" ref="BX79" si="316">BX13/BT13-1</f>
        <v>1.25</v>
      </c>
      <c r="BY79" s="30">
        <f t="shared" ref="BY79" si="317">BY13/BU13-1</f>
        <v>0.2877094972067038</v>
      </c>
      <c r="BZ79" s="30">
        <f t="shared" ref="BZ79" si="318">BZ13/BV13-1</f>
        <v>0.21945137157107242</v>
      </c>
      <c r="CA79" s="30">
        <f t="shared" ref="CA79" si="319">CA13/BW13-1</f>
        <v>0.23410404624277459</v>
      </c>
      <c r="CB79" s="30">
        <f t="shared" ref="CB79" si="320">CB13/BX13-1</f>
        <v>0.13888888888888884</v>
      </c>
      <c r="CC79" s="30">
        <f t="shared" ref="CC79" si="321">CC13/BY13-1</f>
        <v>0.20173535791757047</v>
      </c>
      <c r="CD79" s="30">
        <f t="shared" ref="CD79" si="322">CD13/BZ13-1</f>
        <v>0.15541922290388555</v>
      </c>
      <c r="CE79" s="30">
        <f t="shared" ref="CE79:CJ79" si="323">CE13/CA13-1</f>
        <v>0.31381733021077274</v>
      </c>
      <c r="CF79" s="30">
        <f t="shared" si="323"/>
        <v>0.33739837398373984</v>
      </c>
      <c r="CG79" s="30">
        <f t="shared" si="323"/>
        <v>0.35559566787003605</v>
      </c>
      <c r="CH79" s="30">
        <f t="shared" si="323"/>
        <v>0.39646017699115044</v>
      </c>
      <c r="CI79" s="30">
        <f t="shared" si="323"/>
        <v>0.23707664884135471</v>
      </c>
      <c r="CJ79" s="30">
        <f t="shared" si="323"/>
        <v>0.17629179331306988</v>
      </c>
      <c r="CK79" s="30">
        <f>CK13/CG13-1</f>
        <v>0.16511318242343531</v>
      </c>
      <c r="CL79" s="30">
        <f t="shared" ref="CL79:CP79" si="324">CL13/CH13-1</f>
        <v>0.10000000000000009</v>
      </c>
      <c r="CM79" s="30">
        <f t="shared" si="324"/>
        <v>0.10000000000000009</v>
      </c>
      <c r="CN79" s="30">
        <f t="shared" si="324"/>
        <v>0.10000000000000009</v>
      </c>
      <c r="CO79" s="30">
        <f t="shared" si="324"/>
        <v>0.10000000000000009</v>
      </c>
      <c r="CP79" s="30">
        <f t="shared" si="324"/>
        <v>0.10000000000000009</v>
      </c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</row>
    <row r="80" spans="2:243" s="29" customFormat="1" x14ac:dyDescent="0.25">
      <c r="B80" s="53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</row>
    <row r="81" spans="2:116" s="29" customFormat="1" x14ac:dyDescent="0.25">
      <c r="B81" s="4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</row>
    <row r="82" spans="2:116" s="29" customFormat="1" x14ac:dyDescent="0.25">
      <c r="B82" s="43" t="s">
        <v>203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>
        <f t="shared" ref="BI82" si="325">+BI58/BI56</f>
        <v>0.80814867762687637</v>
      </c>
      <c r="BJ82" s="30">
        <f t="shared" ref="BJ82" si="326">+BJ58/BJ56</f>
        <v>0.79002455097557822</v>
      </c>
      <c r="BK82" s="30">
        <f t="shared" ref="BK82" si="327">+BK58/BK56</f>
        <v>0.80186538946307029</v>
      </c>
      <c r="BL82" s="30">
        <f t="shared" ref="BL82:BQ82" si="328">+BL58/BL56</f>
        <v>0.80540082344393316</v>
      </c>
      <c r="BM82" s="30">
        <f t="shared" si="328"/>
        <v>0.81677999028654691</v>
      </c>
      <c r="BN82" s="30">
        <f t="shared" si="328"/>
        <v>0.79843467790487654</v>
      </c>
      <c r="BO82" s="30">
        <f t="shared" si="328"/>
        <v>0.83354624425140522</v>
      </c>
      <c r="BP82" s="30">
        <f t="shared" si="328"/>
        <v>0.8271350696547547</v>
      </c>
      <c r="BQ82" s="30">
        <f t="shared" si="328"/>
        <v>0.82014388489208634</v>
      </c>
      <c r="BR82" s="30">
        <f>+BR58/BR56</f>
        <v>0.81560202205882348</v>
      </c>
      <c r="BS82" s="30">
        <f>+BS58/BS56</f>
        <v>0.82666202575704839</v>
      </c>
      <c r="BT82" s="30">
        <f>+BT58/BT56</f>
        <v>0.82772182254196647</v>
      </c>
      <c r="BU82" s="30">
        <f>+BU58/BU56</f>
        <v>0.81664337835739786</v>
      </c>
      <c r="BV82" s="30">
        <f t="shared" ref="BV82:CD82" si="329">+BV58/BV56</f>
        <v>0.81793909655072883</v>
      </c>
      <c r="BW82" s="30">
        <f t="shared" si="329"/>
        <v>0.83880943177425593</v>
      </c>
      <c r="BX82" s="30">
        <f t="shared" si="329"/>
        <v>0.82240848198295002</v>
      </c>
      <c r="BY82" s="30">
        <f t="shared" si="329"/>
        <v>0.83175289359921911</v>
      </c>
      <c r="BZ82" s="30">
        <f t="shared" si="329"/>
        <v>0.83555018137847648</v>
      </c>
      <c r="CA82" s="30">
        <f t="shared" si="329"/>
        <v>0.84465947702762589</v>
      </c>
      <c r="CB82" s="30">
        <f t="shared" si="329"/>
        <v>0.85140231776726327</v>
      </c>
      <c r="CC82" s="30">
        <f>+CC58/CC56</f>
        <v>0.85369970294355924</v>
      </c>
      <c r="CD82" s="30">
        <f t="shared" si="329"/>
        <v>0.85</v>
      </c>
      <c r="CE82" s="30">
        <f t="shared" ref="CE82:CH82" si="330">+CE58/CE56</f>
        <v>0.84204498977505116</v>
      </c>
      <c r="CF82" s="30">
        <f t="shared" si="330"/>
        <v>0.84731337901190051</v>
      </c>
      <c r="CG82" s="30">
        <f t="shared" si="330"/>
        <v>0.83478135994830183</v>
      </c>
      <c r="CH82" s="30">
        <f t="shared" si="330"/>
        <v>0.83938186140829307</v>
      </c>
      <c r="CI82" s="30">
        <f t="shared" ref="CI82:CL82" si="331">+CI58/CI56</f>
        <v>0.82875710804224212</v>
      </c>
      <c r="CJ82" s="30">
        <f t="shared" si="331"/>
        <v>0.85237173281703771</v>
      </c>
      <c r="CK82" s="30">
        <f t="shared" si="331"/>
        <v>0.84432918395573997</v>
      </c>
      <c r="CL82" s="30">
        <f t="shared" si="331"/>
        <v>0.83</v>
      </c>
      <c r="CM82" s="30">
        <f t="shared" ref="CM82:CP82" si="332">+CM58/CM56</f>
        <v>0.84999999999999987</v>
      </c>
      <c r="CN82" s="30">
        <f t="shared" si="332"/>
        <v>0.85</v>
      </c>
      <c r="CO82" s="30">
        <f t="shared" si="332"/>
        <v>0.85</v>
      </c>
      <c r="CP82" s="30">
        <f t="shared" si="332"/>
        <v>0.85</v>
      </c>
      <c r="CQ82" s="30"/>
      <c r="CR82" s="30"/>
      <c r="CS82" s="30"/>
      <c r="CT82" s="30"/>
      <c r="CU82" s="30"/>
      <c r="CV82" s="30"/>
      <c r="CW82" s="30"/>
      <c r="CX82" s="30"/>
      <c r="CY82" s="30"/>
      <c r="CZ82" s="30">
        <f>+CZ58/CZ56</f>
        <v>0.80563956863104513</v>
      </c>
      <c r="DA82" s="30">
        <f>+DA58/DA56</f>
        <v>0.82384416521373172</v>
      </c>
      <c r="DB82" s="30">
        <f>+DB58/DB56</f>
        <v>0.82144417263672898</v>
      </c>
      <c r="DC82" s="30">
        <f>+DC58/DC56</f>
        <v>0.8320622928619793</v>
      </c>
      <c r="DD82" s="30">
        <f>+DD58/DD56</f>
        <v>0.84949081918461911</v>
      </c>
      <c r="DE82" s="30">
        <f t="shared" ref="DE82:DI82" si="333">+DE58/DE56</f>
        <v>0.84082624544349938</v>
      </c>
      <c r="DF82" s="30">
        <f t="shared" si="333"/>
        <v>0.83926908822735513</v>
      </c>
      <c r="DG82" s="30">
        <f t="shared" si="333"/>
        <v>0.85</v>
      </c>
      <c r="DH82" s="30">
        <f t="shared" si="333"/>
        <v>0.85</v>
      </c>
      <c r="DI82" s="30">
        <f t="shared" si="333"/>
        <v>0.85</v>
      </c>
      <c r="DJ82" s="30">
        <f t="shared" ref="DJ82:DL82" si="334">+DJ58/DJ56</f>
        <v>0.85</v>
      </c>
      <c r="DK82" s="30">
        <f t="shared" si="334"/>
        <v>0.85000000000000009</v>
      </c>
      <c r="DL82" s="30">
        <f t="shared" si="334"/>
        <v>0.85</v>
      </c>
    </row>
    <row r="83" spans="2:116" s="29" customFormat="1" x14ac:dyDescent="0.25">
      <c r="B83" s="43" t="s">
        <v>204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>
        <f t="shared" ref="BI83" si="335">+BI65/BI64</f>
        <v>0.18934280639431617</v>
      </c>
      <c r="BJ83" s="30">
        <f t="shared" ref="BJ83" si="336">+BJ65/BJ64</f>
        <v>0.18853848762292302</v>
      </c>
      <c r="BK83" s="30">
        <f t="shared" ref="BK83" si="337">+BK65/BK64</f>
        <v>7.6450721522873813E-2</v>
      </c>
      <c r="BL83" s="30">
        <f t="shared" ref="BL83:BQ83" si="338">+BL65/BL64</f>
        <v>9.0040532715691957E-2</v>
      </c>
      <c r="BM83" s="30">
        <f t="shared" si="338"/>
        <v>9.1036023457134879E-2</v>
      </c>
      <c r="BN83" s="30">
        <f t="shared" si="338"/>
        <v>9.1716915264995244E-2</v>
      </c>
      <c r="BO83" s="30">
        <f t="shared" si="338"/>
        <v>7.8917050691244245E-2</v>
      </c>
      <c r="BP83" s="30">
        <f t="shared" si="338"/>
        <v>8.7567567567567561E-2</v>
      </c>
      <c r="BQ83" s="30">
        <f t="shared" si="338"/>
        <v>8.7848500789058384E-2</v>
      </c>
      <c r="BR83" s="30">
        <f>+BR65/BR64</f>
        <v>8.8544548976203646E-2</v>
      </c>
      <c r="BS83" s="30">
        <f>+BS65/BS64</f>
        <v>9.7426929802648013E-2</v>
      </c>
      <c r="BT83" s="30">
        <f>+BT65/BT64</f>
        <v>0.11399317406143344</v>
      </c>
      <c r="BU83" s="30">
        <f>+BU65/BU64</f>
        <v>9.6755504055619931E-2</v>
      </c>
      <c r="BV83" s="30">
        <f t="shared" ref="BV83:CD83" si="339">+BV65/BV64</f>
        <v>9.6443132292984679E-2</v>
      </c>
      <c r="BW83" s="30">
        <f t="shared" si="339"/>
        <v>0.1234113712374582</v>
      </c>
      <c r="BX83" s="30">
        <f t="shared" si="339"/>
        <v>0.12653834017040075</v>
      </c>
      <c r="BY83" s="30">
        <f t="shared" si="339"/>
        <v>0.12783291364242336</v>
      </c>
      <c r="BZ83" s="30">
        <f t="shared" si="339"/>
        <v>0.12496302868973676</v>
      </c>
      <c r="CA83" s="30">
        <f t="shared" si="339"/>
        <v>0.11802184466019418</v>
      </c>
      <c r="CB83" s="30">
        <f t="shared" si="339"/>
        <v>0.12982644961657475</v>
      </c>
      <c r="CC83" s="30">
        <f>+CC65/CC64</f>
        <v>0.1274432118330692</v>
      </c>
      <c r="CD83" s="30">
        <f t="shared" si="339"/>
        <v>0.15</v>
      </c>
      <c r="CE83" s="30">
        <f t="shared" ref="CE83:CH83" si="340">+CE65/CE64</f>
        <v>0.1364907375043691</v>
      </c>
      <c r="CF83" s="30">
        <f t="shared" si="340"/>
        <v>9.4106311225309144E-2</v>
      </c>
      <c r="CG83" s="30">
        <f t="shared" si="340"/>
        <v>0.1549652118912081</v>
      </c>
      <c r="CH83" s="30">
        <f t="shared" si="340"/>
        <v>6.2390017597184454E-2</v>
      </c>
      <c r="CI83" s="30">
        <f t="shared" ref="CI83:CL83" si="341">+CI65/CI64</f>
        <v>0.14282860567319217</v>
      </c>
      <c r="CJ83" s="30">
        <f t="shared" si="341"/>
        <v>0.16184542352766651</v>
      </c>
      <c r="CK83" s="30">
        <f t="shared" si="341"/>
        <v>0.15957116221255438</v>
      </c>
      <c r="CL83" s="30">
        <f t="shared" si="341"/>
        <v>0.1</v>
      </c>
      <c r="CM83" s="30">
        <f t="shared" ref="CM83:CP83" si="342">+CM65/CM64</f>
        <v>0.1</v>
      </c>
      <c r="CN83" s="30">
        <f t="shared" si="342"/>
        <v>0.1</v>
      </c>
      <c r="CO83" s="30">
        <f t="shared" si="342"/>
        <v>0.1</v>
      </c>
      <c r="CP83" s="30">
        <f t="shared" si="342"/>
        <v>0.1</v>
      </c>
      <c r="CQ83" s="30"/>
      <c r="CR83" s="30"/>
      <c r="CS83" s="30"/>
      <c r="CT83" s="30"/>
      <c r="CU83" s="30"/>
      <c r="CV83" s="30"/>
      <c r="CW83" s="30"/>
      <c r="CX83" s="30"/>
      <c r="CY83" s="30"/>
      <c r="CZ83" s="30">
        <f t="shared" ref="CZ83" si="343">+CZ65/CZ64</f>
        <v>8.7406084951275761E-2</v>
      </c>
      <c r="DA83" s="30">
        <f t="shared" ref="DA83:DI83" si="344">+DA65/DA64</f>
        <v>8.5823964902659713E-2</v>
      </c>
      <c r="DB83" s="30">
        <f t="shared" si="344"/>
        <v>0.10015614543832255</v>
      </c>
      <c r="DC83" s="30">
        <f t="shared" si="344"/>
        <v>0.12574038945453136</v>
      </c>
      <c r="DD83" s="30">
        <f t="shared" si="344"/>
        <v>0.13260849871780578</v>
      </c>
      <c r="DE83" s="30">
        <f t="shared" si="344"/>
        <v>0.11160495840809004</v>
      </c>
      <c r="DF83" s="30">
        <f t="shared" si="344"/>
        <v>0.14182210904300299</v>
      </c>
      <c r="DG83" s="30">
        <f t="shared" si="344"/>
        <v>0.15</v>
      </c>
      <c r="DH83" s="30">
        <f t="shared" si="344"/>
        <v>0.15</v>
      </c>
      <c r="DI83" s="30">
        <f t="shared" si="344"/>
        <v>0.15</v>
      </c>
      <c r="DJ83" s="30">
        <f t="shared" ref="DJ83:DL83" si="345">+DJ65/DJ64</f>
        <v>0.15</v>
      </c>
      <c r="DK83" s="30">
        <f t="shared" si="345"/>
        <v>0.15</v>
      </c>
      <c r="DL83" s="30">
        <f t="shared" si="345"/>
        <v>0.15</v>
      </c>
    </row>
    <row r="85" spans="2:116" x14ac:dyDescent="0.25">
      <c r="B85" s="25" t="s">
        <v>145</v>
      </c>
      <c r="CA85" s="16">
        <f t="shared" ref="CA85:CG85" si="346">CA86-CA95</f>
        <v>-65642</v>
      </c>
      <c r="CB85" s="16">
        <f t="shared" si="346"/>
        <v>-62727</v>
      </c>
      <c r="CC85" s="16">
        <f t="shared" si="346"/>
        <v>-57492</v>
      </c>
      <c r="CD85" s="16">
        <f t="shared" si="346"/>
        <v>0</v>
      </c>
      <c r="CE85" s="16">
        <f t="shared" si="346"/>
        <v>-55114</v>
      </c>
      <c r="CF85" s="16">
        <f t="shared" si="346"/>
        <v>-51961</v>
      </c>
      <c r="CG85" s="16">
        <f t="shared" si="346"/>
        <v>-47181</v>
      </c>
      <c r="CH85" s="16">
        <f>CH86-CH95</f>
        <v>-46265</v>
      </c>
      <c r="CI85" s="16">
        <f>CI86-CI95</f>
        <v>-55627</v>
      </c>
      <c r="CJ85" s="16">
        <f>CJ86-CJ95</f>
        <v>-57205</v>
      </c>
      <c r="CK85" s="16">
        <f>CK86-CK95</f>
        <v>-63527</v>
      </c>
      <c r="CL85" s="16">
        <f>+CK85+CL66</f>
        <v>-58055.641969999997</v>
      </c>
      <c r="CM85" s="16"/>
      <c r="CN85" s="16"/>
      <c r="CO85" s="16"/>
    </row>
    <row r="86" spans="2:116" s="15" customFormat="1" x14ac:dyDescent="0.25">
      <c r="B86" s="23" t="s">
        <v>50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>
        <f>6098+1474+260</f>
        <v>7832</v>
      </c>
      <c r="CB86" s="16">
        <f>8521+1440+244</f>
        <v>10205</v>
      </c>
      <c r="CC86" s="16">
        <f>11832+47+235</f>
        <v>12114</v>
      </c>
      <c r="CD86" s="16"/>
      <c r="CE86" s="16">
        <f>6711+11+257</f>
        <v>6979</v>
      </c>
      <c r="CF86" s="16">
        <f>8759+7+288</f>
        <v>9054</v>
      </c>
      <c r="CG86" s="16">
        <f>13287+3+275</f>
        <v>13565</v>
      </c>
      <c r="CH86" s="16">
        <f>12814+2+304</f>
        <v>13120</v>
      </c>
      <c r="CI86" s="16">
        <f>18069+305</f>
        <v>18374</v>
      </c>
      <c r="CJ86" s="16">
        <f>13130+27+272</f>
        <v>13429</v>
      </c>
      <c r="CK86" s="16">
        <f>7257+28+267</f>
        <v>7552</v>
      </c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</row>
    <row r="87" spans="2:116" s="15" customFormat="1" x14ac:dyDescent="0.25">
      <c r="B87" s="23" t="s">
        <v>135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v>10733</v>
      </c>
      <c r="CB87" s="16">
        <v>11237</v>
      </c>
      <c r="CC87" s="16">
        <v>10743</v>
      </c>
      <c r="CD87" s="16"/>
      <c r="CE87" s="16">
        <v>11473</v>
      </c>
      <c r="CF87" s="16">
        <v>11491</v>
      </c>
      <c r="CG87" s="16">
        <v>11412</v>
      </c>
      <c r="CH87" s="16">
        <v>11155</v>
      </c>
      <c r="CI87" s="16">
        <v>11949</v>
      </c>
      <c r="CJ87" s="16">
        <v>11724</v>
      </c>
      <c r="CK87" s="16">
        <v>11472</v>
      </c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5">
      <c r="B88" s="23" t="s">
        <v>136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3483</v>
      </c>
      <c r="CB88" s="16">
        <v>3396</v>
      </c>
      <c r="CC88" s="16">
        <v>3172</v>
      </c>
      <c r="CD88" s="16"/>
      <c r="CE88" s="16">
        <v>3833</v>
      </c>
      <c r="CF88" s="16">
        <v>4055</v>
      </c>
      <c r="CG88" s="16">
        <v>3981</v>
      </c>
      <c r="CH88" s="16">
        <v>4099</v>
      </c>
      <c r="CI88" s="16">
        <v>4245</v>
      </c>
      <c r="CJ88" s="16">
        <v>4218</v>
      </c>
      <c r="CK88" s="16">
        <v>4450</v>
      </c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5">
      <c r="B89" s="23" t="s">
        <v>137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v>4721</v>
      </c>
      <c r="CB89" s="16">
        <v>4506</v>
      </c>
      <c r="CC89" s="16">
        <v>4570</v>
      </c>
      <c r="CD89" s="16"/>
      <c r="CE89" s="16">
        <v>4460</v>
      </c>
      <c r="CF89" s="16">
        <v>4540</v>
      </c>
      <c r="CG89" s="16">
        <v>4541</v>
      </c>
      <c r="CH89" s="16">
        <v>4932</v>
      </c>
      <c r="CI89" s="16">
        <v>4608</v>
      </c>
      <c r="CJ89" s="16">
        <v>4717</v>
      </c>
      <c r="CK89" s="16">
        <v>4578</v>
      </c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5">
      <c r="B90" s="23" t="s">
        <v>138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5075</v>
      </c>
      <c r="CB90" s="16">
        <v>4958</v>
      </c>
      <c r="CC90" s="16">
        <v>4893</v>
      </c>
      <c r="CD90" s="16"/>
      <c r="CE90" s="16">
        <v>4931</v>
      </c>
      <c r="CF90" s="16">
        <v>4943</v>
      </c>
      <c r="CG90" s="16">
        <v>4934</v>
      </c>
      <c r="CH90" s="16">
        <v>4989</v>
      </c>
      <c r="CI90" s="16">
        <v>4980</v>
      </c>
      <c r="CJ90" s="16">
        <v>5023</v>
      </c>
      <c r="CK90" s="16">
        <v>5141</v>
      </c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5">
      <c r="B91" s="23" t="s">
        <v>139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f>73986+32298</f>
        <v>106284</v>
      </c>
      <c r="CB91" s="16">
        <f>71823+32028</f>
        <v>103851</v>
      </c>
      <c r="CC91" s="16">
        <f>68725+31726</f>
        <v>100451</v>
      </c>
      <c r="CD91" s="16"/>
      <c r="CE91" s="16">
        <f>64848+32220</f>
        <v>97068</v>
      </c>
      <c r="CF91" s="16">
        <f>62862+32224</f>
        <v>95086</v>
      </c>
      <c r="CG91" s="16">
        <f>58603+32091</f>
        <v>90694</v>
      </c>
      <c r="CH91" s="16">
        <f>55610+32293</f>
        <v>87903</v>
      </c>
      <c r="CI91" s="16">
        <f>62225+33426</f>
        <v>95651</v>
      </c>
      <c r="CJ91" s="16">
        <f>60243+33386</f>
        <v>93629</v>
      </c>
      <c r="CK91" s="16">
        <f>66646+35295</f>
        <v>101941</v>
      </c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6" s="15" customFormat="1" x14ac:dyDescent="0.25">
      <c r="B92" s="23" t="s">
        <v>12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v>5083</v>
      </c>
      <c r="CB92" s="16">
        <v>5033</v>
      </c>
      <c r="CC92" s="16">
        <v>5382</v>
      </c>
      <c r="CD92" s="16"/>
      <c r="CE92" s="16">
        <v>5800</v>
      </c>
      <c r="CF92" s="16">
        <v>6198</v>
      </c>
      <c r="CG92" s="16">
        <v>7094</v>
      </c>
      <c r="CH92" s="16">
        <v>8513</v>
      </c>
      <c r="CI92" s="16">
        <v>9067</v>
      </c>
      <c r="CJ92" s="16">
        <v>9197</v>
      </c>
      <c r="CK92" s="16">
        <v>8288</v>
      </c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6" s="15" customFormat="1" x14ac:dyDescent="0.25">
      <c r="B93" s="23" t="s">
        <v>134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f>SUM(CA86:CA92)</f>
        <v>143211</v>
      </c>
      <c r="CB93" s="16">
        <f>SUM(CB86:CB92)</f>
        <v>143186</v>
      </c>
      <c r="CC93" s="16">
        <f>SUM(CC86:CC92)</f>
        <v>141325</v>
      </c>
      <c r="CD93" s="16"/>
      <c r="CE93" s="16">
        <f t="shared" ref="CE93:CK93" si="347">SUM(CE86:CE92)</f>
        <v>134544</v>
      </c>
      <c r="CF93" s="16">
        <f t="shared" si="347"/>
        <v>135367</v>
      </c>
      <c r="CG93" s="16">
        <f t="shared" si="347"/>
        <v>136221</v>
      </c>
      <c r="CH93" s="16">
        <f t="shared" si="347"/>
        <v>134711</v>
      </c>
      <c r="CI93" s="16">
        <f t="shared" si="347"/>
        <v>148874</v>
      </c>
      <c r="CJ93" s="16">
        <f t="shared" si="347"/>
        <v>141937</v>
      </c>
      <c r="CK93" s="16">
        <f t="shared" si="347"/>
        <v>143422</v>
      </c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5" spans="2:116" s="15" customFormat="1" x14ac:dyDescent="0.25">
      <c r="B95" s="23" t="s">
        <v>51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>
        <f>12+9940+63522</f>
        <v>73474</v>
      </c>
      <c r="CB95" s="16">
        <f>17+61002+11913</f>
        <v>72932</v>
      </c>
      <c r="CC95" s="16">
        <f>10+9197+60399</f>
        <v>69606</v>
      </c>
      <c r="CD95" s="16"/>
      <c r="CE95" s="16">
        <f>1+59292+2800</f>
        <v>62093</v>
      </c>
      <c r="CF95" s="16">
        <f>5203+55812</f>
        <v>61015</v>
      </c>
      <c r="CG95" s="16">
        <f>2+55631+5113</f>
        <v>60746</v>
      </c>
      <c r="CH95" s="16">
        <f>7191+52194</f>
        <v>59385</v>
      </c>
      <c r="CI95" s="16">
        <f>3+63805+10193</f>
        <v>74001</v>
      </c>
      <c r="CJ95" s="16">
        <f>12586+58048</f>
        <v>70634</v>
      </c>
      <c r="CK95" s="16">
        <f>12570+58509</f>
        <v>71079</v>
      </c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</row>
    <row r="96" spans="2:116" s="15" customFormat="1" x14ac:dyDescent="0.25">
      <c r="B96" s="23" t="s">
        <v>140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v>22569</v>
      </c>
      <c r="CB96" s="16">
        <v>22543</v>
      </c>
      <c r="CC96" s="16">
        <v>23505</v>
      </c>
      <c r="CD96" s="16"/>
      <c r="CE96" s="16">
        <v>24789</v>
      </c>
      <c r="CF96" s="16">
        <v>27036</v>
      </c>
      <c r="CG96" s="16">
        <v>29658</v>
      </c>
      <c r="CH96" s="16">
        <v>30650</v>
      </c>
      <c r="CI96" s="16">
        <v>31326</v>
      </c>
      <c r="CJ96" s="16">
        <v>29329</v>
      </c>
      <c r="CK96" s="16">
        <v>30492</v>
      </c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5">
      <c r="B97" s="23" t="s">
        <v>141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2831</v>
      </c>
      <c r="CB97" s="16">
        <v>2255</v>
      </c>
      <c r="CC97" s="16">
        <v>1972</v>
      </c>
      <c r="CD97" s="16"/>
      <c r="CE97" s="16">
        <v>2110</v>
      </c>
      <c r="CF97" s="16">
        <v>2124</v>
      </c>
      <c r="CG97" s="16">
        <v>2044</v>
      </c>
      <c r="CH97" s="16">
        <v>1952</v>
      </c>
      <c r="CI97" s="16">
        <v>2722</v>
      </c>
      <c r="CJ97" s="16">
        <v>2726</v>
      </c>
      <c r="CK97" s="16">
        <v>2749</v>
      </c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5">
      <c r="B98" s="23" t="s">
        <v>142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28023</v>
      </c>
      <c r="CB98" s="16">
        <v>30768</v>
      </c>
      <c r="CC98" s="16">
        <v>30215</v>
      </c>
      <c r="CD98" s="16"/>
      <c r="CE98" s="16">
        <v>32249</v>
      </c>
      <c r="CF98" s="16">
        <v>32294</v>
      </c>
      <c r="CG98" s="16">
        <v>31644</v>
      </c>
      <c r="CH98" s="16">
        <v>32327</v>
      </c>
      <c r="CI98" s="16">
        <v>32778</v>
      </c>
      <c r="CJ98" s="16">
        <v>32427</v>
      </c>
      <c r="CK98" s="16">
        <v>33031</v>
      </c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5">
      <c r="B99" s="23" t="s">
        <v>143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16314</v>
      </c>
      <c r="CB99" s="16">
        <v>14688</v>
      </c>
      <c r="CC99" s="16">
        <v>16027</v>
      </c>
      <c r="CD99" s="16"/>
      <c r="CE99" s="16">
        <v>13303</v>
      </c>
      <c r="CF99" s="16">
        <v>12898</v>
      </c>
      <c r="CG99" s="16">
        <v>12129</v>
      </c>
      <c r="CH99" s="16">
        <v>10397</v>
      </c>
      <c r="CI99" s="16">
        <v>8047</v>
      </c>
      <c r="CJ99" s="16">
        <v>6821</v>
      </c>
      <c r="CK99" s="16">
        <v>6071</v>
      </c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5">
      <c r="B100" s="23" t="s">
        <v>144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f>SUM(CA95:CA99)</f>
        <v>143211</v>
      </c>
      <c r="CB100" s="16">
        <f>SUM(CB95:CB99)</f>
        <v>143186</v>
      </c>
      <c r="CC100" s="16">
        <f>SUM(CC95:CC99)</f>
        <v>141325</v>
      </c>
      <c r="CD100" s="16"/>
      <c r="CE100" s="16">
        <f t="shared" ref="CE100:CK100" si="348">SUM(CE95:CE99)</f>
        <v>134544</v>
      </c>
      <c r="CF100" s="16">
        <f t="shared" si="348"/>
        <v>135367</v>
      </c>
      <c r="CG100" s="16">
        <f t="shared" si="348"/>
        <v>136221</v>
      </c>
      <c r="CH100" s="16">
        <f t="shared" si="348"/>
        <v>134711</v>
      </c>
      <c r="CI100" s="16">
        <f t="shared" si="348"/>
        <v>148874</v>
      </c>
      <c r="CJ100" s="16">
        <f t="shared" si="348"/>
        <v>141937</v>
      </c>
      <c r="CK100" s="16">
        <f t="shared" si="348"/>
        <v>143422</v>
      </c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2" spans="2:115" s="15" customFormat="1" x14ac:dyDescent="0.25">
      <c r="B102" s="65" t="s">
        <v>291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>
        <f>+CA66</f>
        <v>5814</v>
      </c>
      <c r="CB102" s="16"/>
      <c r="CC102" s="16"/>
      <c r="CD102" s="16"/>
      <c r="CE102" s="16">
        <f t="shared" ref="CE102:CK102" si="349">+CE66</f>
        <v>4941</v>
      </c>
      <c r="CF102" s="16">
        <f t="shared" si="349"/>
        <v>5641</v>
      </c>
      <c r="CG102" s="16">
        <f t="shared" si="349"/>
        <v>5344</v>
      </c>
      <c r="CH102" s="16">
        <f t="shared" si="349"/>
        <v>5861</v>
      </c>
      <c r="CI102" s="16">
        <f t="shared" si="349"/>
        <v>4291</v>
      </c>
      <c r="CJ102" s="16">
        <f t="shared" si="349"/>
        <v>5650</v>
      </c>
      <c r="CK102" s="16">
        <f t="shared" si="349"/>
        <v>5409</v>
      </c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</row>
    <row r="103" spans="2:115" s="15" customFormat="1" x14ac:dyDescent="0.25">
      <c r="B103" s="65" t="s">
        <v>292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v>4493</v>
      </c>
      <c r="CB103" s="16"/>
      <c r="CC103" s="16"/>
      <c r="CD103" s="16"/>
      <c r="CE103" s="16">
        <v>241</v>
      </c>
      <c r="CF103" s="16">
        <f>2268-CE103</f>
        <v>2027</v>
      </c>
      <c r="CG103" s="16">
        <f>4049-CF103-CE103</f>
        <v>1781</v>
      </c>
      <c r="CH103" s="16">
        <f>4873-CG103-CF103-CE103</f>
        <v>824</v>
      </c>
      <c r="CI103" s="16">
        <v>1372</v>
      </c>
      <c r="CJ103" s="16">
        <f>2745-CI103</f>
        <v>1373</v>
      </c>
      <c r="CK103" s="16">
        <f>4309-CJ103-CI103</f>
        <v>1564</v>
      </c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5">
      <c r="B104" s="65" t="s">
        <v>293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198</v>
      </c>
      <c r="CB104" s="16"/>
      <c r="CC104" s="16"/>
      <c r="CD104" s="16"/>
      <c r="CE104" s="16">
        <v>179</v>
      </c>
      <c r="CF104" s="16">
        <f>369-CE104</f>
        <v>190</v>
      </c>
      <c r="CG104" s="16">
        <f>565-CF104-CE104</f>
        <v>196</v>
      </c>
      <c r="CH104" s="16">
        <f>752-CG104-CF104-CE104</f>
        <v>187</v>
      </c>
      <c r="CI104" s="16">
        <v>183</v>
      </c>
      <c r="CJ104" s="16">
        <f>367-CI104</f>
        <v>184</v>
      </c>
      <c r="CK104" s="16">
        <f>558-CJ104-CI104</f>
        <v>191</v>
      </c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5">
      <c r="B105" s="65" t="s">
        <v>294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1855</v>
      </c>
      <c r="CB105" s="16"/>
      <c r="CC105" s="16"/>
      <c r="CD105" s="16"/>
      <c r="CE105" s="16">
        <v>1948</v>
      </c>
      <c r="CF105" s="16">
        <f>4018-CE105</f>
        <v>2070</v>
      </c>
      <c r="CG105" s="16">
        <f>6057-CF105-CE105</f>
        <v>2039</v>
      </c>
      <c r="CH105" s="16">
        <f>7946-CG105-CF105-CE105</f>
        <v>1889</v>
      </c>
      <c r="CI105" s="16">
        <v>1891</v>
      </c>
      <c r="CJ105" s="16">
        <f>3838-CI105</f>
        <v>1947</v>
      </c>
      <c r="CK105" s="16">
        <f>5726-CJ105-CI105</f>
        <v>1888</v>
      </c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5">
      <c r="B106" s="65" t="s">
        <v>141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-194</v>
      </c>
      <c r="CB106" s="16"/>
      <c r="CC106" s="16"/>
      <c r="CD106" s="16"/>
      <c r="CE106" s="16">
        <v>-267</v>
      </c>
      <c r="CF106" s="16">
        <f>-635-CE106</f>
        <v>-368</v>
      </c>
      <c r="CG106" s="16">
        <f>-1498-CF106-CE106</f>
        <v>-863</v>
      </c>
      <c r="CH106" s="16">
        <f>-2889-CG106-CF106-CE106</f>
        <v>-1391</v>
      </c>
      <c r="CI106" s="16">
        <v>-389</v>
      </c>
      <c r="CJ106" s="16">
        <f>-405-CI106</f>
        <v>-16</v>
      </c>
      <c r="CK106" s="16">
        <f>-682-CJ106-CI106</f>
        <v>-277</v>
      </c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s="15" customFormat="1" x14ac:dyDescent="0.25">
      <c r="B107" s="65" t="s">
        <v>295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>
        <v>-748</v>
      </c>
      <c r="CB107" s="16"/>
      <c r="CC107" s="16"/>
      <c r="CD107" s="16"/>
      <c r="CE107" s="16">
        <v>1872</v>
      </c>
      <c r="CF107" s="16">
        <f>3424-CE107</f>
        <v>1552</v>
      </c>
      <c r="CG107" s="16">
        <f>3432-CF107-CE107-407</f>
        <v>-399</v>
      </c>
      <c r="CH107" s="16">
        <f>5128-870-CG107-CF107-CE107</f>
        <v>1233</v>
      </c>
      <c r="CI107" s="16">
        <f>660-391</f>
        <v>269</v>
      </c>
      <c r="CJ107" s="16">
        <f>2136-876-CI107</f>
        <v>991</v>
      </c>
      <c r="CK107" s="16">
        <f>3492-CJ107-CI107-1456</f>
        <v>776</v>
      </c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</row>
    <row r="108" spans="2:115" s="15" customFormat="1" x14ac:dyDescent="0.25">
      <c r="B108" s="65" t="s">
        <v>296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>
        <v>306</v>
      </c>
      <c r="CB108" s="16"/>
      <c r="CC108" s="16"/>
      <c r="CD108" s="16"/>
      <c r="CE108" s="16">
        <v>313</v>
      </c>
      <c r="CF108" s="16">
        <f>492-CE108</f>
        <v>179</v>
      </c>
      <c r="CG108" s="16">
        <f>622-CF108-CE108</f>
        <v>130</v>
      </c>
      <c r="CH108" s="16">
        <f>747-CG108-CF108-CE108</f>
        <v>125</v>
      </c>
      <c r="CI108" s="16">
        <v>348</v>
      </c>
      <c r="CJ108" s="16">
        <f>566-CI108</f>
        <v>218</v>
      </c>
      <c r="CK108" s="16">
        <f>747-CJ108-CI108</f>
        <v>181</v>
      </c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</row>
    <row r="109" spans="2:115" x14ac:dyDescent="0.25">
      <c r="B109" s="62" t="s">
        <v>299</v>
      </c>
      <c r="CA109" s="16">
        <v>145</v>
      </c>
      <c r="CE109" s="2">
        <f>150+710</f>
        <v>860</v>
      </c>
      <c r="CF109" s="2">
        <f>430-CE109</f>
        <v>-430</v>
      </c>
      <c r="CG109" s="16">
        <f>496-CF109-CE109</f>
        <v>66</v>
      </c>
      <c r="CH109" s="16">
        <f>778-CG109-CF109-CE109</f>
        <v>282</v>
      </c>
      <c r="CI109" s="2">
        <v>164</v>
      </c>
      <c r="CJ109" s="16">
        <f>1101-CI109</f>
        <v>937</v>
      </c>
      <c r="CK109" s="16">
        <f>1183-CJ109-CI109</f>
        <v>82</v>
      </c>
    </row>
    <row r="110" spans="2:115" x14ac:dyDescent="0.25">
      <c r="B110" s="62" t="s">
        <v>12</v>
      </c>
      <c r="CA110" s="16">
        <v>128</v>
      </c>
      <c r="CE110" s="2">
        <v>-128</v>
      </c>
      <c r="CF110" s="2">
        <f>-118+710-173-CE110</f>
        <v>547</v>
      </c>
      <c r="CG110" s="16">
        <f>-205-CF110-CE110</f>
        <v>-624</v>
      </c>
      <c r="CH110" s="16">
        <f>-443+4229-225-CG110-CF110-CE110</f>
        <v>3766</v>
      </c>
      <c r="CI110" s="2">
        <v>-45</v>
      </c>
      <c r="CJ110" s="16">
        <f>27-53-CI110</f>
        <v>19</v>
      </c>
      <c r="CK110" s="16">
        <f>341-CJ110-CI110-75</f>
        <v>292</v>
      </c>
    </row>
    <row r="111" spans="2:115" x14ac:dyDescent="0.25">
      <c r="B111" s="62" t="s">
        <v>298</v>
      </c>
      <c r="CA111" s="16">
        <f>-785-385-285-258+438</f>
        <v>-1275</v>
      </c>
      <c r="CE111" s="2">
        <f>-195-185-167-465+187</f>
        <v>-825</v>
      </c>
      <c r="CF111" s="2">
        <f>-275-458+285+1107-932-CE111</f>
        <v>552</v>
      </c>
      <c r="CG111" s="16">
        <f>2824-219-273-513+394+3661-899-CF111-CE111</f>
        <v>5248</v>
      </c>
      <c r="CH111" s="16">
        <f>66-417-188+3840-488-CG111-CF111-CE111</f>
        <v>-2162</v>
      </c>
      <c r="CI111" s="2">
        <f>-702-75+284+362+378</f>
        <v>247</v>
      </c>
      <c r="CJ111" s="16">
        <f>-524-127+309-1337-1456-CI111</f>
        <v>-3382</v>
      </c>
      <c r="CK111" s="16">
        <f>-180-191+461-1070-1405-CJ111-CI111</f>
        <v>750</v>
      </c>
    </row>
    <row r="112" spans="2:115" x14ac:dyDescent="0.25">
      <c r="B112" s="62" t="s">
        <v>297</v>
      </c>
      <c r="CA112" s="16">
        <f>SUM(CA103:CA111)</f>
        <v>4908</v>
      </c>
      <c r="CE112" s="16">
        <f t="shared" ref="CE112:CK112" si="350">SUM(CE103:CE111)</f>
        <v>4193</v>
      </c>
      <c r="CF112" s="16">
        <f t="shared" si="350"/>
        <v>6319</v>
      </c>
      <c r="CG112" s="16">
        <f t="shared" si="350"/>
        <v>7574</v>
      </c>
      <c r="CH112" s="16">
        <f t="shared" si="350"/>
        <v>4753</v>
      </c>
      <c r="CI112" s="16">
        <f t="shared" si="350"/>
        <v>4040</v>
      </c>
      <c r="CJ112" s="16">
        <f t="shared" si="350"/>
        <v>2271</v>
      </c>
      <c r="CK112" s="16">
        <f t="shared" si="350"/>
        <v>5447</v>
      </c>
    </row>
    <row r="114" spans="2:115" s="15" customFormat="1" x14ac:dyDescent="0.25">
      <c r="B114" s="65" t="s">
        <v>301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>
        <f>-185-1406+8+154</f>
        <v>-1429</v>
      </c>
      <c r="CB114" s="16"/>
      <c r="CC114" s="16"/>
      <c r="CD114" s="16"/>
      <c r="CE114" s="16">
        <f>-353-19+22+26</f>
        <v>-324</v>
      </c>
      <c r="CF114" s="16">
        <f>-513-35+36-CE114+25</f>
        <v>-163</v>
      </c>
      <c r="CG114" s="16">
        <f>-670-43+41-CF114-CE114+35</f>
        <v>-150</v>
      </c>
      <c r="CH114" s="16">
        <f>-1223-77+55+13-CG114-CF114-CE114</f>
        <v>-595</v>
      </c>
      <c r="CI114" s="16">
        <f>-190-6+6-6</f>
        <v>-196</v>
      </c>
      <c r="CJ114" s="16">
        <f>-1033-22+9-11-CI114</f>
        <v>-861</v>
      </c>
      <c r="CK114" s="16">
        <f>-1232-CJ114-CI114-46+516-8</f>
        <v>287</v>
      </c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</row>
    <row r="115" spans="2:115" s="15" customFormat="1" x14ac:dyDescent="0.25">
      <c r="B115" s="109" t="s">
        <v>507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>
        <v>0</v>
      </c>
      <c r="CF115" s="16">
        <v>0</v>
      </c>
      <c r="CG115" s="16">
        <v>0</v>
      </c>
      <c r="CH115" s="16">
        <v>0</v>
      </c>
      <c r="CI115" s="16">
        <v>-9199</v>
      </c>
      <c r="CJ115" s="16">
        <f>-9199-CI115</f>
        <v>0</v>
      </c>
      <c r="CK115" s="16">
        <f>-17493-CJ115-CI115</f>
        <v>-8294</v>
      </c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s="15" customFormat="1" x14ac:dyDescent="0.25">
      <c r="B116" s="65" t="s">
        <v>302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>
        <v>-162</v>
      </c>
      <c r="CB116" s="16"/>
      <c r="CC116" s="16"/>
      <c r="CD116" s="16"/>
      <c r="CE116" s="16">
        <v>-175</v>
      </c>
      <c r="CF116" s="16">
        <f>-353-CE116</f>
        <v>-178</v>
      </c>
      <c r="CG116" s="16">
        <f>-572-CF116-CE116</f>
        <v>-219</v>
      </c>
      <c r="CH116" s="16">
        <f>-777-CG116-CF116-CE116</f>
        <v>-205</v>
      </c>
      <c r="CI116" s="16">
        <v>-193</v>
      </c>
      <c r="CJ116" s="16">
        <f>-434-CI116</f>
        <v>-241</v>
      </c>
      <c r="CK116" s="16">
        <f>-683-CJ116-CI116</f>
        <v>-249</v>
      </c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</row>
    <row r="117" spans="2:115" s="15" customFormat="1" x14ac:dyDescent="0.25">
      <c r="B117" s="65" t="s">
        <v>300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>
        <f>CA114+CA116</f>
        <v>-1591</v>
      </c>
      <c r="CB117" s="16"/>
      <c r="CC117" s="16"/>
      <c r="CD117" s="16"/>
      <c r="CE117" s="16">
        <f t="shared" ref="CE117:CK117" si="351">SUM(CE114:CE116)</f>
        <v>-499</v>
      </c>
      <c r="CF117" s="16">
        <f t="shared" si="351"/>
        <v>-341</v>
      </c>
      <c r="CG117" s="16">
        <f t="shared" si="351"/>
        <v>-369</v>
      </c>
      <c r="CH117" s="16">
        <f t="shared" si="351"/>
        <v>-800</v>
      </c>
      <c r="CI117" s="16">
        <f t="shared" si="351"/>
        <v>-9588</v>
      </c>
      <c r="CJ117" s="16">
        <f t="shared" si="351"/>
        <v>-1102</v>
      </c>
      <c r="CK117" s="16">
        <f t="shared" si="351"/>
        <v>-8256</v>
      </c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</row>
    <row r="118" spans="2:115" x14ac:dyDescent="0.25">
      <c r="CI118" s="16"/>
    </row>
    <row r="119" spans="2:115" x14ac:dyDescent="0.25">
      <c r="B119" s="62" t="s">
        <v>51</v>
      </c>
      <c r="CA119" s="16">
        <f>2000-4879</f>
        <v>-2879</v>
      </c>
      <c r="CE119" s="16">
        <v>-1351</v>
      </c>
      <c r="CF119" s="16">
        <f>-2353-CE119</f>
        <v>-1002</v>
      </c>
      <c r="CG119" s="16">
        <f>-2355-CF119-CE119</f>
        <v>-2</v>
      </c>
      <c r="CH119" s="16">
        <f>-4149-38-CG119-CF119-CE119</f>
        <v>-1832</v>
      </c>
      <c r="CI119" s="16">
        <f>5008-5005+14963-103-99</f>
        <v>14764</v>
      </c>
      <c r="CJ119" s="16">
        <f>14963-3448-99-CI119</f>
        <v>-3348</v>
      </c>
      <c r="CK119" s="16">
        <f>14963-3851-99-CJ119-CI119</f>
        <v>-403</v>
      </c>
    </row>
    <row r="120" spans="2:115" x14ac:dyDescent="0.25">
      <c r="B120" s="62" t="s">
        <v>303</v>
      </c>
      <c r="CA120" s="16">
        <v>-2526</v>
      </c>
      <c r="CE120" s="16">
        <v>-2661</v>
      </c>
      <c r="CF120" s="16">
        <f>-5286-CE120</f>
        <v>-2625</v>
      </c>
      <c r="CG120" s="16">
        <f>-7913-CF120-CE120</f>
        <v>-2627</v>
      </c>
      <c r="CH120" s="16">
        <f>-10539-CG120-CF120-CE120</f>
        <v>-2626</v>
      </c>
      <c r="CI120" s="16">
        <v>-2772</v>
      </c>
      <c r="CJ120" s="16">
        <f>-5522-CI120</f>
        <v>-2750</v>
      </c>
      <c r="CK120" s="16">
        <f>-8273-CJ120-CI120</f>
        <v>-2751</v>
      </c>
    </row>
    <row r="121" spans="2:115" x14ac:dyDescent="0.25">
      <c r="B121" s="62" t="s">
        <v>307</v>
      </c>
      <c r="CA121" s="16">
        <v>-1470</v>
      </c>
      <c r="CE121" s="16">
        <v>-1955</v>
      </c>
      <c r="CF121" s="16">
        <f>-1965-CE121</f>
        <v>-10</v>
      </c>
      <c r="CG121" s="16">
        <f>-1969-CF121-CE121</f>
        <v>-4</v>
      </c>
      <c r="CH121" s="16">
        <f>-1972-CG121-CF121-CE121</f>
        <v>-3</v>
      </c>
      <c r="CI121" s="16">
        <v>-1324</v>
      </c>
      <c r="CJ121" s="16">
        <f>-1333-CI121</f>
        <v>-9</v>
      </c>
      <c r="CK121" s="16">
        <f>-1350-CJ121-CI121</f>
        <v>-17</v>
      </c>
    </row>
    <row r="122" spans="2:115" x14ac:dyDescent="0.25">
      <c r="B122" s="62" t="s">
        <v>308</v>
      </c>
      <c r="CA122" s="16">
        <v>128</v>
      </c>
      <c r="CE122" s="16">
        <v>65</v>
      </c>
      <c r="CF122" s="16">
        <f>113-CE122</f>
        <v>48</v>
      </c>
      <c r="CG122" s="16">
        <f>149-CF122-CE122</f>
        <v>36</v>
      </c>
      <c r="CH122" s="16">
        <f>180-CG122-CF122-CE122</f>
        <v>31</v>
      </c>
      <c r="CI122" s="16">
        <v>127</v>
      </c>
      <c r="CJ122" s="16">
        <f>137-CI122</f>
        <v>10</v>
      </c>
      <c r="CK122" s="16">
        <f>204-CJ122-CI122</f>
        <v>67</v>
      </c>
    </row>
    <row r="123" spans="2:115" x14ac:dyDescent="0.25">
      <c r="B123" s="62" t="s">
        <v>295</v>
      </c>
      <c r="CA123" s="16">
        <v>-246</v>
      </c>
      <c r="CE123" s="16">
        <v>-311</v>
      </c>
      <c r="CF123" s="16">
        <f>-641-CE123</f>
        <v>-330</v>
      </c>
      <c r="CG123" s="16">
        <f>-735-CF123-CE123</f>
        <v>-94</v>
      </c>
      <c r="CH123" s="16">
        <f>-752-CG123-CF123-CE123</f>
        <v>-17</v>
      </c>
      <c r="CI123" s="16">
        <v>0</v>
      </c>
      <c r="CJ123" s="2">
        <v>0</v>
      </c>
      <c r="CK123" s="2">
        <v>0</v>
      </c>
    </row>
    <row r="124" spans="2:115" x14ac:dyDescent="0.25">
      <c r="B124" s="62" t="s">
        <v>12</v>
      </c>
      <c r="CA124" s="16">
        <v>21</v>
      </c>
      <c r="CE124" s="16">
        <v>21</v>
      </c>
      <c r="CF124" s="16">
        <f>20-CE124</f>
        <v>-1</v>
      </c>
      <c r="CG124" s="16">
        <f>50-CF124-CE124</f>
        <v>30</v>
      </c>
      <c r="CH124" s="16">
        <f>48-CG124-CF124-CE124</f>
        <v>-2</v>
      </c>
      <c r="CI124" s="16">
        <v>24</v>
      </c>
      <c r="CJ124" s="16">
        <f>24-CI124</f>
        <v>0</v>
      </c>
      <c r="CK124" s="16">
        <f>56-CJ124-CI124</f>
        <v>32</v>
      </c>
    </row>
    <row r="125" spans="2:115" x14ac:dyDescent="0.25">
      <c r="B125" s="62" t="s">
        <v>306</v>
      </c>
      <c r="CA125" s="16">
        <f>SUM(CA119:CA124)</f>
        <v>-6972</v>
      </c>
      <c r="CE125" s="16">
        <f t="shared" ref="CE125:CK125" si="352">SUM(CE119:CE124)</f>
        <v>-6192</v>
      </c>
      <c r="CF125" s="16">
        <f t="shared" si="352"/>
        <v>-3920</v>
      </c>
      <c r="CG125" s="16">
        <f t="shared" si="352"/>
        <v>-2661</v>
      </c>
      <c r="CH125" s="16">
        <f t="shared" si="352"/>
        <v>-4449</v>
      </c>
      <c r="CI125" s="16">
        <f t="shared" si="352"/>
        <v>10819</v>
      </c>
      <c r="CJ125" s="16">
        <f t="shared" si="352"/>
        <v>-6097</v>
      </c>
      <c r="CK125" s="16">
        <f t="shared" si="352"/>
        <v>-3072</v>
      </c>
    </row>
    <row r="126" spans="2:115" x14ac:dyDescent="0.25">
      <c r="B126" s="62" t="s">
        <v>305</v>
      </c>
      <c r="CA126" s="16">
        <v>7</v>
      </c>
      <c r="CE126" s="16">
        <v>8</v>
      </c>
      <c r="CF126" s="16">
        <f>-2-CE126</f>
        <v>-10</v>
      </c>
      <c r="CG126" s="16">
        <f>-18-CF126-CE126</f>
        <v>-16</v>
      </c>
      <c r="CH126" s="16">
        <f>5-CG126-CF126-CE126</f>
        <v>23</v>
      </c>
      <c r="CI126" s="2">
        <v>-18</v>
      </c>
      <c r="CJ126" s="2">
        <f>-27-CI126</f>
        <v>-9</v>
      </c>
      <c r="CK126" s="2">
        <f>-19-CJ126-CI126</f>
        <v>8</v>
      </c>
    </row>
    <row r="127" spans="2:115" x14ac:dyDescent="0.25">
      <c r="B127" s="62" t="s">
        <v>304</v>
      </c>
      <c r="CA127" s="16">
        <f>+CA126+CA125+CA117+CA112</f>
        <v>-3648</v>
      </c>
      <c r="CE127" s="16">
        <f t="shared" ref="CE127:CK127" si="353">+CE126+CE125+CE117+CE112</f>
        <v>-2490</v>
      </c>
      <c r="CF127" s="16">
        <f t="shared" si="353"/>
        <v>2048</v>
      </c>
      <c r="CG127" s="16">
        <f t="shared" si="353"/>
        <v>4528</v>
      </c>
      <c r="CH127" s="16">
        <f t="shared" si="353"/>
        <v>-473</v>
      </c>
      <c r="CI127" s="16">
        <f t="shared" si="353"/>
        <v>5253</v>
      </c>
      <c r="CJ127" s="16">
        <f t="shared" si="353"/>
        <v>-4937</v>
      </c>
      <c r="CK127" s="16">
        <f t="shared" si="353"/>
        <v>-5873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796875" defaultRowHeight="12.5" x14ac:dyDescent="0.25"/>
  <cols>
    <col min="1" max="1" width="5" style="102" bestFit="1" customWidth="1"/>
    <col min="2" max="2" width="10.26953125" style="102" bestFit="1" customWidth="1"/>
    <col min="3" max="16384" width="9.1796875" style="102"/>
  </cols>
  <sheetData>
    <row r="1" spans="1:3" x14ac:dyDescent="0.25">
      <c r="A1" s="20" t="s">
        <v>74</v>
      </c>
    </row>
    <row r="2" spans="1:3" x14ac:dyDescent="0.25">
      <c r="B2" s="102" t="s">
        <v>146</v>
      </c>
      <c r="C2" s="102" t="s">
        <v>116</v>
      </c>
    </row>
    <row r="3" spans="1:3" x14ac:dyDescent="0.25">
      <c r="B3" s="102" t="s">
        <v>189</v>
      </c>
      <c r="C3" s="102" t="s">
        <v>261</v>
      </c>
    </row>
    <row r="4" spans="1:3" x14ac:dyDescent="0.25">
      <c r="B4" s="102" t="s">
        <v>27</v>
      </c>
      <c r="C4" s="104" t="s">
        <v>492</v>
      </c>
    </row>
    <row r="5" spans="1:3" x14ac:dyDescent="0.25">
      <c r="B5" s="102" t="s">
        <v>33</v>
      </c>
      <c r="C5" s="102" t="s">
        <v>160</v>
      </c>
    </row>
    <row r="6" spans="1:3" x14ac:dyDescent="0.25">
      <c r="B6" s="102" t="s">
        <v>53</v>
      </c>
      <c r="C6" s="102" t="s">
        <v>262</v>
      </c>
    </row>
    <row r="7" spans="1:3" x14ac:dyDescent="0.25">
      <c r="B7" s="104" t="s">
        <v>287</v>
      </c>
      <c r="C7" s="104" t="s">
        <v>496</v>
      </c>
    </row>
    <row r="8" spans="1:3" x14ac:dyDescent="0.25">
      <c r="B8" s="102" t="s">
        <v>36</v>
      </c>
      <c r="C8" s="102" t="s">
        <v>460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11" style="1" bestFit="1" customWidth="1"/>
    <col min="4" max="16384" width="9.1796875" style="1"/>
  </cols>
  <sheetData>
    <row r="1" spans="1:3" x14ac:dyDescent="0.25">
      <c r="A1" s="20" t="s">
        <v>74</v>
      </c>
    </row>
    <row r="2" spans="1:3" x14ac:dyDescent="0.25">
      <c r="B2" s="1" t="s">
        <v>75</v>
      </c>
      <c r="C2" s="104" t="s">
        <v>486</v>
      </c>
    </row>
    <row r="3" spans="1:3" x14ac:dyDescent="0.25">
      <c r="B3" s="1" t="s">
        <v>76</v>
      </c>
      <c r="C3" s="1" t="s">
        <v>77</v>
      </c>
    </row>
    <row r="4" spans="1:3" x14ac:dyDescent="0.25">
      <c r="B4" s="45" t="s">
        <v>225</v>
      </c>
      <c r="C4" s="45" t="s">
        <v>226</v>
      </c>
    </row>
    <row r="5" spans="1:3" x14ac:dyDescent="0.25">
      <c r="B5" s="26" t="s">
        <v>33</v>
      </c>
      <c r="C5" s="104" t="s">
        <v>487</v>
      </c>
    </row>
    <row r="6" spans="1:3" x14ac:dyDescent="0.25">
      <c r="B6" s="45" t="s">
        <v>53</v>
      </c>
      <c r="C6" s="104" t="s">
        <v>485</v>
      </c>
    </row>
    <row r="7" spans="1:3" x14ac:dyDescent="0.25">
      <c r="B7" s="104" t="s">
        <v>287</v>
      </c>
      <c r="C7" s="107" t="s">
        <v>489</v>
      </c>
    </row>
    <row r="8" spans="1:3" x14ac:dyDescent="0.25">
      <c r="B8" s="45" t="s">
        <v>36</v>
      </c>
      <c r="C8" s="104" t="s">
        <v>488</v>
      </c>
    </row>
    <row r="9" spans="1:3" x14ac:dyDescent="0.25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27"/>
  <sheetViews>
    <sheetView zoomScale="115" zoomScaleNormal="115" workbookViewId="0">
      <selection activeCell="C6" sqref="C6"/>
    </sheetView>
  </sheetViews>
  <sheetFormatPr defaultColWidth="9.1796875" defaultRowHeight="12.5" x14ac:dyDescent="0.25"/>
  <cols>
    <col min="1" max="1" width="5.453125" style="41" bestFit="1" customWidth="1"/>
    <col min="2" max="2" width="11.7265625" style="41" bestFit="1" customWidth="1"/>
    <col min="3" max="16384" width="9.1796875" style="41"/>
  </cols>
  <sheetData>
    <row r="1" spans="1:3" x14ac:dyDescent="0.25">
      <c r="A1" s="20" t="s">
        <v>74</v>
      </c>
    </row>
    <row r="2" spans="1:3" x14ac:dyDescent="0.25">
      <c r="B2" s="41" t="s">
        <v>146</v>
      </c>
      <c r="C2" s="41" t="s">
        <v>198</v>
      </c>
    </row>
    <row r="3" spans="1:3" x14ac:dyDescent="0.25">
      <c r="B3" s="41" t="s">
        <v>189</v>
      </c>
      <c r="C3" s="41" t="s">
        <v>199</v>
      </c>
    </row>
    <row r="4" spans="1:3" x14ac:dyDescent="0.25">
      <c r="B4" s="41" t="s">
        <v>33</v>
      </c>
      <c r="C4" s="56" t="s">
        <v>253</v>
      </c>
    </row>
    <row r="5" spans="1:3" x14ac:dyDescent="0.25">
      <c r="B5" s="111" t="s">
        <v>53</v>
      </c>
      <c r="C5" s="121" t="s">
        <v>651</v>
      </c>
    </row>
    <row r="6" spans="1:3" ht="14.5" x14ac:dyDescent="0.35">
      <c r="B6" s="41" t="s">
        <v>27</v>
      </c>
      <c r="C6"/>
    </row>
    <row r="7" spans="1:3" x14ac:dyDescent="0.25">
      <c r="C7" s="89" t="s">
        <v>389</v>
      </c>
    </row>
    <row r="8" spans="1:3" x14ac:dyDescent="0.25">
      <c r="C8" s="41" t="s">
        <v>215</v>
      </c>
    </row>
    <row r="9" spans="1:3" x14ac:dyDescent="0.25">
      <c r="C9" s="41" t="s">
        <v>216</v>
      </c>
    </row>
    <row r="10" spans="1:3" x14ac:dyDescent="0.25">
      <c r="C10" s="41" t="s">
        <v>217</v>
      </c>
    </row>
    <row r="11" spans="1:3" x14ac:dyDescent="0.25">
      <c r="B11" s="111" t="s">
        <v>227</v>
      </c>
    </row>
    <row r="12" spans="1:3" ht="13" x14ac:dyDescent="0.3">
      <c r="B12" s="111"/>
      <c r="C12" s="86" t="s">
        <v>644</v>
      </c>
    </row>
    <row r="13" spans="1:3" x14ac:dyDescent="0.25">
      <c r="B13" s="111"/>
      <c r="C13" s="111" t="s">
        <v>646</v>
      </c>
    </row>
    <row r="14" spans="1:3" x14ac:dyDescent="0.25">
      <c r="B14" s="111"/>
    </row>
    <row r="15" spans="1:3" ht="13" x14ac:dyDescent="0.3">
      <c r="B15" s="111"/>
      <c r="C15" s="86" t="s">
        <v>645</v>
      </c>
    </row>
    <row r="16" spans="1:3" ht="13" x14ac:dyDescent="0.3">
      <c r="B16" s="111"/>
      <c r="C16" s="86"/>
    </row>
    <row r="17" spans="2:3" ht="13" x14ac:dyDescent="0.3">
      <c r="B17" s="111"/>
      <c r="C17" s="86" t="s">
        <v>648</v>
      </c>
    </row>
    <row r="18" spans="2:3" ht="13" x14ac:dyDescent="0.3">
      <c r="B18" s="111"/>
      <c r="C18" s="86"/>
    </row>
    <row r="19" spans="2:3" ht="13" x14ac:dyDescent="0.3">
      <c r="B19" s="111"/>
      <c r="C19" s="86" t="s">
        <v>649</v>
      </c>
    </row>
    <row r="20" spans="2:3" ht="13" x14ac:dyDescent="0.3">
      <c r="B20" s="111"/>
      <c r="C20" s="86" t="s">
        <v>650</v>
      </c>
    </row>
    <row r="21" spans="2:3" ht="13" x14ac:dyDescent="0.3">
      <c r="B21" s="111"/>
      <c r="C21" s="86"/>
    </row>
    <row r="22" spans="2:3" x14ac:dyDescent="0.25">
      <c r="B22" s="111"/>
      <c r="C22" s="41" t="s">
        <v>214</v>
      </c>
    </row>
    <row r="23" spans="2:3" x14ac:dyDescent="0.25">
      <c r="C23" s="56" t="s">
        <v>254</v>
      </c>
    </row>
    <row r="24" spans="2:3" x14ac:dyDescent="0.25">
      <c r="C24" s="56" t="s">
        <v>255</v>
      </c>
    </row>
    <row r="25" spans="2:3" x14ac:dyDescent="0.25">
      <c r="C25" s="56" t="s">
        <v>256</v>
      </c>
    </row>
    <row r="26" spans="2:3" x14ac:dyDescent="0.25">
      <c r="C26" s="56" t="s">
        <v>260</v>
      </c>
    </row>
    <row r="27" spans="2:3" x14ac:dyDescent="0.25">
      <c r="C27" s="56" t="s">
        <v>259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9"/>
  <sheetViews>
    <sheetView zoomScale="205" zoomScaleNormal="205" workbookViewId="0"/>
  </sheetViews>
  <sheetFormatPr defaultColWidth="9.1796875" defaultRowHeight="12.5" x14ac:dyDescent="0.25"/>
  <cols>
    <col min="1" max="1" width="5" style="62" bestFit="1" customWidth="1"/>
    <col min="2" max="2" width="11" style="62" bestFit="1" customWidth="1"/>
    <col min="3" max="16384" width="9.1796875" style="62"/>
  </cols>
  <sheetData>
    <row r="1" spans="1:3" x14ac:dyDescent="0.25">
      <c r="A1" s="20" t="s">
        <v>74</v>
      </c>
    </row>
    <row r="2" spans="1:3" x14ac:dyDescent="0.25">
      <c r="B2" s="62" t="s">
        <v>146</v>
      </c>
      <c r="C2" s="104" t="s">
        <v>491</v>
      </c>
    </row>
    <row r="3" spans="1:3" x14ac:dyDescent="0.25">
      <c r="B3" s="62" t="s">
        <v>189</v>
      </c>
      <c r="C3" s="104" t="s">
        <v>286</v>
      </c>
    </row>
    <row r="4" spans="1:3" x14ac:dyDescent="0.25">
      <c r="B4" s="62" t="s">
        <v>27</v>
      </c>
      <c r="C4" s="111" t="s">
        <v>621</v>
      </c>
    </row>
    <row r="5" spans="1:3" x14ac:dyDescent="0.25">
      <c r="C5" s="104" t="s">
        <v>490</v>
      </c>
    </row>
    <row r="6" spans="1:3" x14ac:dyDescent="0.25">
      <c r="C6" s="111" t="s">
        <v>622</v>
      </c>
    </row>
    <row r="7" spans="1:3" x14ac:dyDescent="0.25">
      <c r="B7" s="62" t="s">
        <v>287</v>
      </c>
      <c r="C7" s="63">
        <v>33581</v>
      </c>
    </row>
    <row r="8" spans="1:3" x14ac:dyDescent="0.25">
      <c r="B8" s="62" t="s">
        <v>33</v>
      </c>
      <c r="C8" s="62" t="s">
        <v>288</v>
      </c>
    </row>
    <row r="9" spans="1:3" x14ac:dyDescent="0.25">
      <c r="B9" s="62" t="s">
        <v>289</v>
      </c>
      <c r="C9" s="62" t="s">
        <v>290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796875" defaultRowHeight="12.5" x14ac:dyDescent="0.25"/>
  <cols>
    <col min="1" max="1" width="5" style="41" bestFit="1" customWidth="1"/>
    <col min="2" max="2" width="12.1796875" style="41" bestFit="1" customWidth="1"/>
    <col min="3" max="16384" width="9.1796875" style="41"/>
  </cols>
  <sheetData>
    <row r="1" spans="1:3" x14ac:dyDescent="0.25">
      <c r="A1" s="20" t="s">
        <v>74</v>
      </c>
    </row>
    <row r="2" spans="1:3" x14ac:dyDescent="0.25">
      <c r="B2" s="41" t="s">
        <v>146</v>
      </c>
      <c r="C2" s="41" t="s">
        <v>221</v>
      </c>
    </row>
    <row r="3" spans="1:3" x14ac:dyDescent="0.25">
      <c r="B3" s="41" t="s">
        <v>189</v>
      </c>
      <c r="C3" s="104" t="s">
        <v>218</v>
      </c>
    </row>
    <row r="4" spans="1:3" x14ac:dyDescent="0.25">
      <c r="B4" s="41" t="s">
        <v>33</v>
      </c>
      <c r="C4" s="41" t="s">
        <v>222</v>
      </c>
    </row>
    <row r="5" spans="1:3" x14ac:dyDescent="0.25">
      <c r="B5" s="41" t="s">
        <v>27</v>
      </c>
      <c r="C5" s="104" t="s">
        <v>471</v>
      </c>
    </row>
    <row r="6" spans="1:3" x14ac:dyDescent="0.25">
      <c r="B6" s="89" t="s">
        <v>36</v>
      </c>
      <c r="C6" s="89" t="s">
        <v>388</v>
      </c>
    </row>
    <row r="7" spans="1:3" x14ac:dyDescent="0.25">
      <c r="B7" s="104" t="s">
        <v>287</v>
      </c>
      <c r="C7" s="104" t="s">
        <v>497</v>
      </c>
    </row>
    <row r="8" spans="1:3" x14ac:dyDescent="0.25">
      <c r="B8" s="89" t="s">
        <v>227</v>
      </c>
    </row>
    <row r="9" spans="1:3" ht="13" x14ac:dyDescent="0.3">
      <c r="C9" s="86" t="s">
        <v>391</v>
      </c>
    </row>
    <row r="12" spans="1:3" ht="13" x14ac:dyDescent="0.3">
      <c r="C12" s="86" t="s">
        <v>392</v>
      </c>
    </row>
    <row r="15" spans="1:3" ht="13" x14ac:dyDescent="0.3">
      <c r="C15" s="86" t="s">
        <v>390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796875" defaultRowHeight="12.5" x14ac:dyDescent="0.25"/>
  <cols>
    <col min="1" max="1" width="5" style="85" bestFit="1" customWidth="1"/>
    <col min="2" max="2" width="13.1796875" style="85" bestFit="1" customWidth="1"/>
    <col min="3" max="16384" width="9.1796875" style="85"/>
  </cols>
  <sheetData>
    <row r="1" spans="1:3" x14ac:dyDescent="0.25">
      <c r="A1" s="20" t="s">
        <v>74</v>
      </c>
    </row>
    <row r="2" spans="1:3" x14ac:dyDescent="0.25">
      <c r="B2" s="85" t="s">
        <v>75</v>
      </c>
      <c r="C2" s="85" t="s">
        <v>325</v>
      </c>
    </row>
    <row r="3" spans="1:3" x14ac:dyDescent="0.25">
      <c r="B3" s="85" t="s">
        <v>76</v>
      </c>
      <c r="C3" s="85" t="s">
        <v>338</v>
      </c>
    </row>
    <row r="4" spans="1:3" x14ac:dyDescent="0.25">
      <c r="B4" s="89" t="s">
        <v>27</v>
      </c>
      <c r="C4" s="102" t="s">
        <v>468</v>
      </c>
    </row>
    <row r="5" spans="1:3" x14ac:dyDescent="0.25">
      <c r="B5" s="102" t="s">
        <v>467</v>
      </c>
      <c r="C5" s="111" t="s">
        <v>557</v>
      </c>
    </row>
    <row r="6" spans="1:3" x14ac:dyDescent="0.25">
      <c r="B6" s="111" t="s">
        <v>36</v>
      </c>
      <c r="C6" s="111" t="s">
        <v>558</v>
      </c>
    </row>
    <row r="7" spans="1:3" x14ac:dyDescent="0.25">
      <c r="B7" s="111" t="s">
        <v>185</v>
      </c>
      <c r="C7" s="111" t="s">
        <v>462</v>
      </c>
    </row>
    <row r="8" spans="1:3" x14ac:dyDescent="0.25">
      <c r="B8" s="111" t="s">
        <v>33</v>
      </c>
      <c r="C8" s="111" t="s">
        <v>559</v>
      </c>
    </row>
    <row r="9" spans="1:3" x14ac:dyDescent="0.25">
      <c r="B9" s="85" t="s">
        <v>227</v>
      </c>
    </row>
    <row r="10" spans="1:3" ht="13" x14ac:dyDescent="0.3">
      <c r="C10" s="86" t="s">
        <v>561</v>
      </c>
    </row>
    <row r="15" spans="1:3" ht="13" x14ac:dyDescent="0.3">
      <c r="C15" s="86" t="s">
        <v>500</v>
      </c>
    </row>
    <row r="16" spans="1:3" x14ac:dyDescent="0.25">
      <c r="C16" s="89" t="s">
        <v>406</v>
      </c>
    </row>
    <row r="19" spans="3:3" ht="13" x14ac:dyDescent="0.3">
      <c r="C19" s="86"/>
    </row>
    <row r="20" spans="3:3" ht="13" x14ac:dyDescent="0.3">
      <c r="C20" s="86" t="s">
        <v>562</v>
      </c>
    </row>
    <row r="21" spans="3:3" x14ac:dyDescent="0.25">
      <c r="C21" s="111" t="s">
        <v>560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2025-01-14T16:27:51Z</dcterms:modified>
</cp:coreProperties>
</file>