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38.xml" ContentType="application/vnd.openxmlformats-officedocument.spreadsheetml.externalLink+xml"/>
  <Override PartName="/xl/externalLinks/externalLink39.xml" ContentType="application/vnd.openxmlformats-officedocument.spreadsheetml.externalLink+xml"/>
  <Override PartName="/xl/externalLinks/externalLink40.xml" ContentType="application/vnd.openxmlformats-officedocument.spreadsheetml.externalLink+xml"/>
  <Override PartName="/xl/externalLinks/externalLink41.xml" ContentType="application/vnd.openxmlformats-officedocument.spreadsheetml.externalLink+xml"/>
  <Override PartName="/xl/externalLinks/externalLink42.xml" ContentType="application/vnd.openxmlformats-officedocument.spreadsheetml.externalLink+xml"/>
  <Override PartName="/xl/externalLinks/externalLink43.xml" ContentType="application/vnd.openxmlformats-officedocument.spreadsheetml.externalLink+xml"/>
  <Override PartName="/xl/externalLinks/externalLink44.xml" ContentType="application/vnd.openxmlformats-officedocument.spreadsheetml.externalLink+xml"/>
  <Override PartName="/xl/externalLinks/externalLink45.xml" ContentType="application/vnd.openxmlformats-officedocument.spreadsheetml.externalLink+xml"/>
  <Override PartName="/xl/externalLinks/externalLink46.xml" ContentType="application/vnd.openxmlformats-officedocument.spreadsheetml.externalLink+xml"/>
  <Override PartName="/xl/externalLinks/externalLink47.xml" ContentType="application/vnd.openxmlformats-officedocument.spreadsheetml.externalLink+xml"/>
  <Override PartName="/xl/externalLinks/externalLink48.xml" ContentType="application/vnd.openxmlformats-officedocument.spreadsheetml.externalLink+xml"/>
  <Override PartName="/xl/externalLinks/externalLink49.xml" ContentType="application/vnd.openxmlformats-officedocument.spreadsheetml.externalLink+xml"/>
  <Override PartName="/xl/externalLinks/externalLink50.xml" ContentType="application/vnd.openxmlformats-officedocument.spreadsheetml.externalLink+xml"/>
  <Override PartName="/xl/externalLinks/externalLink5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filterPrivacy="1" showInkAnnotation="0" defaultThemeVersion="166925"/>
  <xr:revisionPtr revIDLastSave="0" documentId="13_ncr:1_{76F45F32-B243-B14B-8627-5838C8B36EFC}" xr6:coauthVersionLast="47" xr6:coauthVersionMax="47" xr10:uidLastSave="{00000000-0000-0000-0000-000000000000}"/>
  <bookViews>
    <workbookView xWindow="-39300" yWindow="-18680" windowWidth="34560" windowHeight="15180" firstSheet="2" activeTab="8" xr2:uid="{00000000-000D-0000-FFFF-FFFF00000000}"/>
  </bookViews>
  <sheets>
    <sheet name="Acquisitions" sheetId="18" r:id="rId1"/>
    <sheet name="People" sheetId="14" r:id="rId2"/>
    <sheet name="Glossary" sheetId="13" r:id="rId3"/>
    <sheet name="Revenue" sheetId="16" r:id="rId4"/>
    <sheet name="Historical" sheetId="12" r:id="rId5"/>
    <sheet name="Main" sheetId="1" r:id="rId6"/>
    <sheet name="Enterprise-Cloud" sheetId="10" r:id="rId7"/>
    <sheet name="Social-Dating" sheetId="9" r:id="rId8"/>
    <sheet name="Simulation-Technical Design" sheetId="11" r:id="rId9"/>
    <sheet name="Media-Games-Design" sheetId="8" r:id="rId10"/>
    <sheet name="Fintech" sheetId="7" r:id="rId11"/>
    <sheet name="Healthcare" sheetId="19" r:id="rId12"/>
    <sheet name="Ecommerce" sheetId="5" r:id="rId13"/>
    <sheet name="Security" sheetId="4" r:id="rId14"/>
    <sheet name="FX" sheetId="3" r:id="rId15"/>
    <sheet name="Private" sheetId="2" r:id="rId16"/>
  </sheets>
  <externalReferences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  <externalReference r:id="rId50"/>
    <externalReference r:id="rId51"/>
    <externalReference r:id="rId52"/>
    <externalReference r:id="rId53"/>
    <externalReference r:id="rId54"/>
    <externalReference r:id="rId55"/>
    <externalReference r:id="rId56"/>
    <externalReference r:id="rId57"/>
    <externalReference r:id="rId58"/>
    <externalReference r:id="rId59"/>
    <externalReference r:id="rId60"/>
    <externalReference r:id="rId61"/>
    <externalReference r:id="rId62"/>
    <externalReference r:id="rId63"/>
    <externalReference r:id="rId64"/>
    <externalReference r:id="rId65"/>
    <externalReference r:id="rId66"/>
    <externalReference r:id="rId67"/>
  </externalReferences>
  <definedNames>
    <definedName name="CAD">FX!$C$7</definedName>
    <definedName name="EUR">FX!$C$4</definedName>
    <definedName name="HKD">FX!$C$2</definedName>
    <definedName name="JPY">FX!$C$6</definedName>
    <definedName name="RMB">FX!$C$3</definedName>
    <definedName name="SEK">FX!$C$5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13" i="11" l="1"/>
  <c r="G13" i="11" s="1"/>
  <c r="E13" i="11"/>
  <c r="H13" i="11"/>
  <c r="F18" i="7" l="1"/>
  <c r="G18" i="7"/>
  <c r="E18" i="7"/>
  <c r="H18" i="7"/>
  <c r="F11" i="18" l="1"/>
  <c r="H11" i="18"/>
  <c r="E11" i="18" s="1"/>
  <c r="G11" i="18" s="1"/>
  <c r="F43" i="10" l="1"/>
  <c r="H43" i="10"/>
  <c r="E43" i="10" s="1"/>
  <c r="G43" i="10" l="1"/>
  <c r="E8" i="1" l="1"/>
  <c r="H8" i="10" l="1"/>
  <c r="F9" i="4" l="1"/>
  <c r="H9" i="4"/>
  <c r="E9" i="4" s="1"/>
  <c r="F41" i="10"/>
  <c r="H41" i="10"/>
  <c r="E41" i="10" s="1"/>
  <c r="G9" i="4" l="1"/>
  <c r="G41" i="10"/>
  <c r="F42" i="10" l="1"/>
  <c r="H42" i="10"/>
  <c r="E42" i="10" s="1"/>
  <c r="G42" i="10" l="1"/>
  <c r="J5" i="5" l="1"/>
  <c r="H5" i="5"/>
  <c r="E5" i="5" s="1"/>
  <c r="H4" i="5"/>
  <c r="E4" i="5" s="1"/>
  <c r="F13" i="7" l="1"/>
  <c r="H13" i="7"/>
  <c r="E13" i="7" s="1"/>
  <c r="G13" i="7" l="1"/>
  <c r="F25" i="5"/>
  <c r="H25" i="5"/>
  <c r="E25" i="5" s="1"/>
  <c r="G25" i="5" l="1"/>
  <c r="F15" i="10" l="1"/>
  <c r="H15" i="10"/>
  <c r="E15" i="10" s="1"/>
  <c r="G15" i="10" l="1"/>
  <c r="F17" i="10"/>
  <c r="H17" i="10"/>
  <c r="E17" i="10" s="1"/>
  <c r="G17" i="10" l="1"/>
  <c r="F14" i="9" l="1"/>
  <c r="H14" i="9"/>
  <c r="E14" i="9" s="1"/>
  <c r="O5" i="8"/>
  <c r="N5" i="8"/>
  <c r="G14" i="9" l="1"/>
  <c r="M3" i="8"/>
  <c r="M5" i="8" l="1"/>
  <c r="F29" i="1" l="1"/>
  <c r="H29" i="1"/>
  <c r="E29" i="1" s="1"/>
  <c r="F44" i="10"/>
  <c r="H44" i="10"/>
  <c r="E44" i="10" s="1"/>
  <c r="K5" i="1"/>
  <c r="L5" i="1" s="1"/>
  <c r="H5" i="1"/>
  <c r="F5" i="1"/>
  <c r="G44" i="10" l="1"/>
  <c r="G29" i="1"/>
  <c r="H9" i="10"/>
  <c r="F9" i="10" l="1"/>
  <c r="E12" i="1" l="1"/>
  <c r="F8" i="11"/>
  <c r="H8" i="11"/>
  <c r="E8" i="11" s="1"/>
  <c r="F7" i="10"/>
  <c r="H7" i="10"/>
  <c r="E7" i="10" s="1"/>
  <c r="E9" i="10"/>
  <c r="G8" i="11" l="1"/>
  <c r="G7" i="10"/>
  <c r="G9" i="10"/>
  <c r="G8" i="8"/>
  <c r="G26" i="8"/>
  <c r="Z26" i="8" s="1"/>
  <c r="F8" i="7" l="1"/>
  <c r="H8" i="7"/>
  <c r="E8" i="7" s="1"/>
  <c r="G8" i="7" l="1"/>
  <c r="O3" i="16"/>
  <c r="N3" i="16"/>
  <c r="M3" i="16"/>
  <c r="L3" i="16"/>
  <c r="K3" i="16"/>
  <c r="J3" i="16"/>
  <c r="I3" i="16"/>
  <c r="H3" i="16"/>
  <c r="G3" i="16"/>
  <c r="F3" i="16"/>
  <c r="E3" i="16"/>
  <c r="D3" i="16"/>
  <c r="C3" i="16"/>
  <c r="F6" i="1" l="1"/>
  <c r="W5" i="1" l="1"/>
  <c r="V5" i="1"/>
  <c r="U5" i="1"/>
  <c r="T5" i="1"/>
  <c r="O5" i="1"/>
  <c r="N5" i="1"/>
  <c r="M5" i="1"/>
  <c r="O12" i="16" l="1"/>
  <c r="O10" i="16" l="1"/>
  <c r="D2" i="16" l="1"/>
  <c r="E2" i="16" s="1"/>
  <c r="F2" i="16" s="1"/>
  <c r="G2" i="16" s="1"/>
  <c r="H2" i="16" s="1"/>
  <c r="I2" i="16" s="1"/>
  <c r="J2" i="16" s="1"/>
  <c r="K2" i="16" s="1"/>
  <c r="L2" i="16" s="1"/>
  <c r="M2" i="16" s="1"/>
  <c r="N2" i="16" s="1"/>
  <c r="O2" i="16" s="1"/>
  <c r="K4" i="1" l="1"/>
  <c r="F4" i="1" l="1"/>
  <c r="F10" i="10" l="1"/>
  <c r="F7" i="8" l="1"/>
  <c r="F6" i="8"/>
  <c r="H7" i="8"/>
  <c r="E7" i="8" s="1"/>
  <c r="H6" i="8"/>
  <c r="E6" i="8" s="1"/>
  <c r="G6" i="8" l="1"/>
  <c r="G7" i="8"/>
  <c r="H13" i="8"/>
  <c r="E13" i="8" s="1"/>
  <c r="F13" i="8"/>
  <c r="F9" i="5"/>
  <c r="H9" i="5"/>
  <c r="E9" i="5" s="1"/>
  <c r="G9" i="5" l="1"/>
  <c r="H3" i="5"/>
  <c r="E3" i="5" s="1"/>
  <c r="F24" i="5" l="1"/>
  <c r="H24" i="5"/>
  <c r="E24" i="5" s="1"/>
  <c r="G24" i="5" l="1"/>
  <c r="F8" i="9"/>
  <c r="H8" i="9"/>
  <c r="E8" i="9" s="1"/>
  <c r="G8" i="9" l="1"/>
  <c r="Z8" i="9" s="1"/>
  <c r="H6" i="10"/>
  <c r="N6" i="10"/>
  <c r="M6" i="10"/>
  <c r="K6" i="10"/>
  <c r="L6" i="10" s="1"/>
  <c r="W4" i="1"/>
  <c r="V4" i="1"/>
  <c r="U4" i="1"/>
  <c r="T4" i="1"/>
  <c r="G7" i="9" l="1"/>
  <c r="H4" i="10"/>
  <c r="E3" i="9" l="1"/>
  <c r="F3" i="9"/>
  <c r="F7" i="7" l="1"/>
  <c r="H7" i="7"/>
  <c r="E7" i="7" s="1"/>
  <c r="W3" i="10"/>
  <c r="V3" i="10"/>
  <c r="U3" i="10"/>
  <c r="T3" i="10"/>
  <c r="O3" i="10"/>
  <c r="N3" i="10"/>
  <c r="M3" i="10"/>
  <c r="K3" i="10"/>
  <c r="L3" i="10" s="1"/>
  <c r="H3" i="10"/>
  <c r="F3" i="10"/>
  <c r="E3" i="10"/>
  <c r="H4" i="9"/>
  <c r="F21" i="8"/>
  <c r="E21" i="8"/>
  <c r="G3" i="10" l="1"/>
  <c r="S3" i="10" s="1"/>
  <c r="G7" i="7"/>
  <c r="G21" i="8"/>
  <c r="Q3" i="10" l="1"/>
  <c r="P3" i="10"/>
  <c r="R3" i="10"/>
  <c r="H7" i="11"/>
  <c r="E7" i="11" s="1"/>
  <c r="F7" i="11"/>
  <c r="H6" i="11"/>
  <c r="E6" i="11" s="1"/>
  <c r="F6" i="11"/>
  <c r="H5" i="11"/>
  <c r="E5" i="11" s="1"/>
  <c r="F5" i="11"/>
  <c r="F4" i="11"/>
  <c r="E4" i="11"/>
  <c r="H3" i="11"/>
  <c r="E3" i="11" s="1"/>
  <c r="F3" i="11"/>
  <c r="H5" i="8"/>
  <c r="G7" i="11" l="1"/>
  <c r="G3" i="11"/>
  <c r="G5" i="11"/>
  <c r="G6" i="11"/>
  <c r="G4" i="11"/>
  <c r="F13" i="10"/>
  <c r="H13" i="10"/>
  <c r="E13" i="10" s="1"/>
  <c r="G13" i="10" l="1"/>
  <c r="F14" i="10"/>
  <c r="H14" i="10"/>
  <c r="E14" i="10" s="1"/>
  <c r="F16" i="10"/>
  <c r="H16" i="10"/>
  <c r="E16" i="10" s="1"/>
  <c r="G16" i="10" l="1"/>
  <c r="G14" i="10"/>
  <c r="H12" i="10"/>
  <c r="F12" i="10"/>
  <c r="E12" i="10"/>
  <c r="H10" i="10"/>
  <c r="E10" i="10" s="1"/>
  <c r="H11" i="10"/>
  <c r="F11" i="10"/>
  <c r="E11" i="10"/>
  <c r="G12" i="10" l="1"/>
  <c r="G11" i="10"/>
  <c r="G10" i="10"/>
  <c r="F5" i="8" l="1"/>
  <c r="E5" i="8"/>
  <c r="F8" i="10"/>
  <c r="E8" i="10"/>
  <c r="F5" i="10"/>
  <c r="E5" i="10"/>
  <c r="F6" i="10"/>
  <c r="E6" i="10"/>
  <c r="F4" i="10"/>
  <c r="E4" i="10"/>
  <c r="G6" i="10" l="1"/>
  <c r="G5" i="10"/>
  <c r="G8" i="10"/>
  <c r="G5" i="8"/>
  <c r="G4" i="10"/>
  <c r="F12" i="8" l="1"/>
  <c r="H12" i="8"/>
  <c r="E12" i="8" s="1"/>
  <c r="G12" i="8" l="1"/>
  <c r="F4" i="9"/>
  <c r="E4" i="9"/>
  <c r="O3" i="9"/>
  <c r="N3" i="9"/>
  <c r="M3" i="9"/>
  <c r="L3" i="9"/>
  <c r="H3" i="9"/>
  <c r="G3" i="9" l="1"/>
  <c r="Z3" i="9" s="1"/>
  <c r="G4" i="9"/>
  <c r="F4" i="5" l="1" a="1"/>
  <c r="F4" i="5" s="1"/>
  <c r="F13" i="5"/>
  <c r="E13" i="5"/>
  <c r="H6" i="1"/>
  <c r="E6" i="1" s="1"/>
  <c r="G6" i="1" s="1"/>
  <c r="E9" i="8" a="1"/>
  <c r="E9" i="8" s="1"/>
  <c r="F4" i="8"/>
  <c r="E4" i="8"/>
  <c r="H3" i="8"/>
  <c r="F3" i="8"/>
  <c r="E3" i="8"/>
  <c r="G4" i="5" l="1"/>
  <c r="G13" i="5"/>
  <c r="G4" i="8"/>
  <c r="G3" i="8"/>
  <c r="H8" i="1" l="1"/>
  <c r="F8" i="1"/>
  <c r="O4" i="1"/>
  <c r="N4" i="1"/>
  <c r="M4" i="1"/>
  <c r="L4" i="1"/>
  <c r="H4" i="1"/>
  <c r="G8" i="1" l="1"/>
  <c r="L2" i="1"/>
  <c r="F3" i="5" l="1"/>
  <c r="G3" i="5" s="1"/>
  <c r="F5" i="5" a="1"/>
  <c r="F5" i="5" s="1"/>
  <c r="G5" i="5" l="1"/>
  <c r="G13" i="8"/>
  <c r="Z13" i="8" s="1"/>
  <c r="E5" i="1"/>
  <c r="G5" i="1" s="1"/>
  <c r="E4" i="1" l="1"/>
  <c r="S5" i="1" l="1"/>
  <c r="P5" i="1"/>
  <c r="Q5" i="1"/>
  <c r="R5" i="1"/>
  <c r="G4" i="1"/>
  <c r="Q4" i="1" l="1"/>
  <c r="Q2" i="1" s="1"/>
  <c r="R4" i="1"/>
  <c r="R2" i="1" s="1"/>
  <c r="S4" i="1"/>
  <c r="S2" i="1" s="1"/>
  <c r="P4" i="1"/>
  <c r="P2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tc={9A7BDD87-4728-4B2C-A2F9-F452DF1FAEF5}</author>
  </authors>
  <commentList>
    <comment ref="E41" authorId="0" shapeId="0" xr:uid="{9A7BDD87-4728-4B2C-A2F9-F452DF1FAEF5}">
      <text>
        <t>[Threaded comment]
Your version of Excel allows you to read this threaded comment; however, any edits to it will get removed if the file is opened in a newer version of Excel. Learn more: https://go.microsoft.com/fwlink/?linkid=870924
Comment:
    Series A with ARod, Thrive, Tiger, Marc Lore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<sst xmlns="http://schemas.openxmlformats.org/spreadsheetml/2006/main" count="1052" uniqueCount="645">
  <si>
    <t>Name</t>
  </si>
  <si>
    <t>Ticker</t>
  </si>
  <si>
    <t>Price</t>
  </si>
  <si>
    <t>MC</t>
  </si>
  <si>
    <t>Net Cash</t>
  </si>
  <si>
    <t>EV</t>
  </si>
  <si>
    <t>Update</t>
  </si>
  <si>
    <t>Microsoft</t>
  </si>
  <si>
    <t>MSFT</t>
  </si>
  <si>
    <t>Google</t>
  </si>
  <si>
    <t>GOOG</t>
  </si>
  <si>
    <t>Amazon</t>
  </si>
  <si>
    <t>AMZN</t>
  </si>
  <si>
    <t>Meta</t>
  </si>
  <si>
    <t>Q122</t>
  </si>
  <si>
    <t>TenCent</t>
  </si>
  <si>
    <t>700 HK</t>
  </si>
  <si>
    <t>Alibaba</t>
  </si>
  <si>
    <t>BABA</t>
  </si>
  <si>
    <t>Adobe</t>
  </si>
  <si>
    <t>ADBE</t>
  </si>
  <si>
    <t>Salesforce</t>
  </si>
  <si>
    <t>CRM</t>
  </si>
  <si>
    <t>Oracle</t>
  </si>
  <si>
    <t>ORCL</t>
  </si>
  <si>
    <t>SAP</t>
  </si>
  <si>
    <t>Intuit</t>
  </si>
  <si>
    <t>INTU</t>
  </si>
  <si>
    <t>JD</t>
  </si>
  <si>
    <t>ServiceNow</t>
  </si>
  <si>
    <t>NOW</t>
  </si>
  <si>
    <t>Paypal</t>
  </si>
  <si>
    <t>PYPL</t>
  </si>
  <si>
    <t>Stripe</t>
  </si>
  <si>
    <t>AirBnB</t>
  </si>
  <si>
    <t>ABNB</t>
  </si>
  <si>
    <t>Shopify</t>
  </si>
  <si>
    <t>SHOP</t>
  </si>
  <si>
    <t>Baidu</t>
  </si>
  <si>
    <t>BIDU</t>
  </si>
  <si>
    <t>Atlassian</t>
  </si>
  <si>
    <t>TEAM</t>
  </si>
  <si>
    <t>Uber</t>
  </si>
  <si>
    <t>UBER</t>
  </si>
  <si>
    <t>Snowflake</t>
  </si>
  <si>
    <t>SNOW</t>
  </si>
  <si>
    <t>Autodesk</t>
  </si>
  <si>
    <t>ADSK</t>
  </si>
  <si>
    <t>Cadence Design</t>
  </si>
  <si>
    <t>CDNS</t>
  </si>
  <si>
    <t>Workday</t>
  </si>
  <si>
    <t>WDAY</t>
  </si>
  <si>
    <t>Datadog</t>
  </si>
  <si>
    <t>DDOG</t>
  </si>
  <si>
    <t>Epic Games</t>
  </si>
  <si>
    <t>Klarna</t>
  </si>
  <si>
    <t>The Trade Desk</t>
  </si>
  <si>
    <t>Canva</t>
  </si>
  <si>
    <t>FTX</t>
  </si>
  <si>
    <t>DoorDash</t>
  </si>
  <si>
    <t>DASH</t>
  </si>
  <si>
    <t>ANSYS</t>
  </si>
  <si>
    <t>ANSS</t>
  </si>
  <si>
    <t>Instacart</t>
  </si>
  <si>
    <t>Paycom</t>
  </si>
  <si>
    <t>PAYC</t>
  </si>
  <si>
    <t>DocuSign</t>
  </si>
  <si>
    <t>DOCU</t>
  </si>
  <si>
    <t>HubSpot</t>
  </si>
  <si>
    <t>HUBS</t>
  </si>
  <si>
    <t>Coinbase</t>
  </si>
  <si>
    <t>COIN</t>
  </si>
  <si>
    <t>AppLovin</t>
  </si>
  <si>
    <t>APP</t>
  </si>
  <si>
    <t>Spotify</t>
  </si>
  <si>
    <t>SPOT</t>
  </si>
  <si>
    <t>Roblox</t>
  </si>
  <si>
    <t>RBLX</t>
  </si>
  <si>
    <t>ZoomInfo</t>
  </si>
  <si>
    <t>ZI</t>
  </si>
  <si>
    <t>Check Point</t>
  </si>
  <si>
    <t>CHKP</t>
  </si>
  <si>
    <t>SS&amp;C</t>
  </si>
  <si>
    <t>SSNC</t>
  </si>
  <si>
    <t>Tyler Technologies</t>
  </si>
  <si>
    <t>TYL</t>
  </si>
  <si>
    <t>Chime</t>
  </si>
  <si>
    <t>Unity Software</t>
  </si>
  <si>
    <t>U</t>
  </si>
  <si>
    <t>BILL</t>
  </si>
  <si>
    <t>Aspen Technology</t>
  </si>
  <si>
    <t>AZPN</t>
  </si>
  <si>
    <t>PTC</t>
  </si>
  <si>
    <t>NICE</t>
  </si>
  <si>
    <t>Dynatrace</t>
  </si>
  <si>
    <t>DT</t>
  </si>
  <si>
    <t>DiDi</t>
  </si>
  <si>
    <t>DIDI</t>
  </si>
  <si>
    <t>Citrix</t>
  </si>
  <si>
    <t>Open Text</t>
  </si>
  <si>
    <t>OTEX</t>
  </si>
  <si>
    <t>Fair Isaac</t>
  </si>
  <si>
    <t>FICO</t>
  </si>
  <si>
    <t>Paylocity</t>
  </si>
  <si>
    <t>PCTY</t>
  </si>
  <si>
    <t>Zendesk</t>
  </si>
  <si>
    <t>ZEN</t>
  </si>
  <si>
    <t>BSY</t>
  </si>
  <si>
    <t>Figma</t>
  </si>
  <si>
    <t>Full Truck Alliance</t>
  </si>
  <si>
    <t>YMM</t>
  </si>
  <si>
    <t>Qualtrics</t>
  </si>
  <si>
    <t>XM</t>
  </si>
  <si>
    <t>Globant</t>
  </si>
  <si>
    <t>GLOB</t>
  </si>
  <si>
    <t>GoPuff</t>
  </si>
  <si>
    <t>Manhattan Associates</t>
  </si>
  <si>
    <t>MANH</t>
  </si>
  <si>
    <t>Gitlab</t>
  </si>
  <si>
    <t>GTLB</t>
  </si>
  <si>
    <t>Flexport</t>
  </si>
  <si>
    <t>Avalara</t>
  </si>
  <si>
    <t>AVLR</t>
  </si>
  <si>
    <t>Elastic</t>
  </si>
  <si>
    <t>ESTC</t>
  </si>
  <si>
    <t>ProCore</t>
  </si>
  <si>
    <t>PCOR</t>
  </si>
  <si>
    <t>GuideWire</t>
  </si>
  <si>
    <t>GWRE</t>
  </si>
  <si>
    <t>Bumble</t>
  </si>
  <si>
    <t>BMBL</t>
  </si>
  <si>
    <t>Lyft</t>
  </si>
  <si>
    <t>LYFT</t>
  </si>
  <si>
    <t>CDK Global</t>
  </si>
  <si>
    <t>CDK</t>
  </si>
  <si>
    <t>RingCentral</t>
  </si>
  <si>
    <t>RNG</t>
  </si>
  <si>
    <t>WIX</t>
  </si>
  <si>
    <t>SquareSpace</t>
  </si>
  <si>
    <t>SQSP</t>
  </si>
  <si>
    <t>Anthropic</t>
  </si>
  <si>
    <t>Conjecture</t>
  </si>
  <si>
    <t>Main</t>
  </si>
  <si>
    <t>Phreesia</t>
  </si>
  <si>
    <t>PHR</t>
  </si>
  <si>
    <t>Valuation</t>
  </si>
  <si>
    <t>USDHKD</t>
  </si>
  <si>
    <t>USDRMB</t>
  </si>
  <si>
    <t>Palantir</t>
  </si>
  <si>
    <t>PLTR</t>
  </si>
  <si>
    <t>None</t>
  </si>
  <si>
    <t>Palo Alto Networks</t>
  </si>
  <si>
    <t>PANW</t>
  </si>
  <si>
    <t>CrowdStrike</t>
  </si>
  <si>
    <t>CRWD</t>
  </si>
  <si>
    <t>FTNT</t>
  </si>
  <si>
    <t>Fortinet</t>
  </si>
  <si>
    <t>Ebay</t>
  </si>
  <si>
    <t>EBAY</t>
  </si>
  <si>
    <t>Etsy</t>
  </si>
  <si>
    <t>ETSY</t>
  </si>
  <si>
    <t>SQ</t>
  </si>
  <si>
    <t>Visa</t>
  </si>
  <si>
    <t>V</t>
  </si>
  <si>
    <t>Mastercard</t>
  </si>
  <si>
    <t>Electronic Arts</t>
  </si>
  <si>
    <t>EA</t>
  </si>
  <si>
    <t>Take-Two</t>
  </si>
  <si>
    <t>TTWO</t>
  </si>
  <si>
    <t>Activision</t>
  </si>
  <si>
    <t>ATVI</t>
  </si>
  <si>
    <t>Nintendo</t>
  </si>
  <si>
    <t>Veeva</t>
  </si>
  <si>
    <t>VEEV</t>
  </si>
  <si>
    <t>Constellation</t>
  </si>
  <si>
    <t>CSU CN</t>
  </si>
  <si>
    <t>ZM</t>
  </si>
  <si>
    <t>Dassault</t>
  </si>
  <si>
    <t>DSY FP</t>
  </si>
  <si>
    <t>Synopsys</t>
  </si>
  <si>
    <t>SNPS</t>
  </si>
  <si>
    <t>Zscaler</t>
  </si>
  <si>
    <t>ZS</t>
  </si>
  <si>
    <t>MongoDB</t>
  </si>
  <si>
    <t>MDB</t>
  </si>
  <si>
    <t>Splunk</t>
  </si>
  <si>
    <t>SPLK</t>
  </si>
  <si>
    <t>Twilio</t>
  </si>
  <si>
    <t>TWLO</t>
  </si>
  <si>
    <t>Cloudflare</t>
  </si>
  <si>
    <t>NET</t>
  </si>
  <si>
    <t>Okta</t>
  </si>
  <si>
    <t>OKTA</t>
  </si>
  <si>
    <t>Akamai</t>
  </si>
  <si>
    <t>AKAM</t>
  </si>
  <si>
    <t>META</t>
  </si>
  <si>
    <t>Booking</t>
  </si>
  <si>
    <t>BKNG</t>
  </si>
  <si>
    <t>Pinduoduo</t>
  </si>
  <si>
    <t>PDD</t>
  </si>
  <si>
    <t>Q222</t>
  </si>
  <si>
    <t>Global Shop Solutions</t>
  </si>
  <si>
    <t>ERP</t>
  </si>
  <si>
    <t>Description</t>
  </si>
  <si>
    <t>Fintech</t>
  </si>
  <si>
    <t>Supply Chain</t>
  </si>
  <si>
    <t>AI</t>
  </si>
  <si>
    <t>EURUSD</t>
  </si>
  <si>
    <t>NPV</t>
  </si>
  <si>
    <t>Discount</t>
  </si>
  <si>
    <t>Terminal</t>
  </si>
  <si>
    <t>ROIC</t>
  </si>
  <si>
    <t>Upside</t>
  </si>
  <si>
    <t>S/O</t>
  </si>
  <si>
    <t>Founded</t>
  </si>
  <si>
    <t>Coursera</t>
  </si>
  <si>
    <t>COUR</t>
  </si>
  <si>
    <t>Upwork</t>
  </si>
  <si>
    <t>UPWK</t>
  </si>
  <si>
    <t>Hexagon</t>
  </si>
  <si>
    <t>HEXA.B SS</t>
  </si>
  <si>
    <t>Q421</t>
  </si>
  <si>
    <t>Schrodinger</t>
  </si>
  <si>
    <t>SDGR</t>
  </si>
  <si>
    <t>Last</t>
  </si>
  <si>
    <t>USDSEK</t>
  </si>
  <si>
    <t>Matterport</t>
  </si>
  <si>
    <t>MTTR</t>
  </si>
  <si>
    <t>EPS 22</t>
  </si>
  <si>
    <t>EV/E 22</t>
  </si>
  <si>
    <t>EV/E 23</t>
  </si>
  <si>
    <t>EV/E 24</t>
  </si>
  <si>
    <t>7974 JP</t>
  </si>
  <si>
    <t>USDJPY</t>
  </si>
  <si>
    <t>USDCAD</t>
  </si>
  <si>
    <t>Jar</t>
  </si>
  <si>
    <t>Funding</t>
  </si>
  <si>
    <t>112m</t>
  </si>
  <si>
    <t>Lysto</t>
  </si>
  <si>
    <t>Gaming</t>
  </si>
  <si>
    <t>Investors</t>
  </si>
  <si>
    <t>Tiger</t>
  </si>
  <si>
    <t>Mojo</t>
  </si>
  <si>
    <t>Block</t>
  </si>
  <si>
    <t>Stake</t>
  </si>
  <si>
    <t>peach.cool</t>
  </si>
  <si>
    <t>BeReal</t>
  </si>
  <si>
    <t>Onlyfans</t>
  </si>
  <si>
    <t>Private</t>
  </si>
  <si>
    <t>Games24x7</t>
  </si>
  <si>
    <t>CD Projekt</t>
  </si>
  <si>
    <t>Ubisoft</t>
  </si>
  <si>
    <t>UBI FP</t>
  </si>
  <si>
    <t>x</t>
  </si>
  <si>
    <t>Meituan</t>
  </si>
  <si>
    <t>3690 HK</t>
  </si>
  <si>
    <t>IBM</t>
  </si>
  <si>
    <t>S&amp;P Global</t>
  </si>
  <si>
    <t>SPGI</t>
  </si>
  <si>
    <t>Sony</t>
  </si>
  <si>
    <t>6758 JP</t>
  </si>
  <si>
    <t>Automatic Data Processing</t>
  </si>
  <si>
    <t>ADP</t>
  </si>
  <si>
    <t>Netflix</t>
  </si>
  <si>
    <t>NFLX</t>
  </si>
  <si>
    <t>Fiserv</t>
  </si>
  <si>
    <t>FISV</t>
  </si>
  <si>
    <t>Netease</t>
  </si>
  <si>
    <t>NTES</t>
  </si>
  <si>
    <t>Intercontinental</t>
  </si>
  <si>
    <t>ICE</t>
  </si>
  <si>
    <t>Paychex</t>
  </si>
  <si>
    <t>PAYX</t>
  </si>
  <si>
    <t>Adyen</t>
  </si>
  <si>
    <t>ADYEN NA</t>
  </si>
  <si>
    <t>Gemini</t>
  </si>
  <si>
    <t>Drift</t>
  </si>
  <si>
    <t>Magic Eden</t>
  </si>
  <si>
    <t>ByteDance</t>
  </si>
  <si>
    <t>Pinterest</t>
  </si>
  <si>
    <t>PINS</t>
  </si>
  <si>
    <t>Kuaishou</t>
  </si>
  <si>
    <t>1024 HK</t>
  </si>
  <si>
    <t>Weibo</t>
  </si>
  <si>
    <t>WB</t>
  </si>
  <si>
    <t>Sea</t>
  </si>
  <si>
    <t>SE</t>
  </si>
  <si>
    <t>Mercadolibre</t>
  </si>
  <si>
    <t>MELI</t>
  </si>
  <si>
    <t>MSCI</t>
  </si>
  <si>
    <t>Global Payments</t>
  </si>
  <si>
    <t>GPN</t>
  </si>
  <si>
    <t>Arista</t>
  </si>
  <si>
    <t>ANET</t>
  </si>
  <si>
    <t>Experian</t>
  </si>
  <si>
    <t>EXPN LN</t>
  </si>
  <si>
    <t>Zoom</t>
  </si>
  <si>
    <t>Discover</t>
  </si>
  <si>
    <t>DFS</t>
  </si>
  <si>
    <t>Naver</t>
  </si>
  <si>
    <t>035420 KS</t>
  </si>
  <si>
    <t>Verisk</t>
  </si>
  <si>
    <t>VRSK</t>
  </si>
  <si>
    <t>Coupang</t>
  </si>
  <si>
    <t>CPNG</t>
  </si>
  <si>
    <t>Copart</t>
  </si>
  <si>
    <t>CPRT</t>
  </si>
  <si>
    <t>Nasdaq</t>
  </si>
  <si>
    <t>NDAQ</t>
  </si>
  <si>
    <t>Goto Gojek Tokopedia</t>
  </si>
  <si>
    <t>GOTO IJ</t>
  </si>
  <si>
    <t>JD Health</t>
  </si>
  <si>
    <t>6618 HK</t>
  </si>
  <si>
    <t>Amadeus</t>
  </si>
  <si>
    <t>AMS SM</t>
  </si>
  <si>
    <t>MA</t>
  </si>
  <si>
    <t>Simulations Plus</t>
  </si>
  <si>
    <t>Certera</t>
  </si>
  <si>
    <t>Discord</t>
  </si>
  <si>
    <t>Match</t>
  </si>
  <si>
    <t>MTCH</t>
  </si>
  <si>
    <t>Hinge</t>
  </si>
  <si>
    <t>Reddit</t>
  </si>
  <si>
    <t>Signal</t>
  </si>
  <si>
    <t>Truth Social</t>
  </si>
  <si>
    <t>DWAC</t>
  </si>
  <si>
    <t>Quora</t>
  </si>
  <si>
    <t>Telegram</t>
  </si>
  <si>
    <t>SecondLife</t>
  </si>
  <si>
    <t>Hashicorp</t>
  </si>
  <si>
    <t>Kakao</t>
  </si>
  <si>
    <t>035720 KS</t>
  </si>
  <si>
    <t>Z Holdings</t>
  </si>
  <si>
    <t>4689 JP</t>
  </si>
  <si>
    <t>Mozilla</t>
  </si>
  <si>
    <t>Opera</t>
  </si>
  <si>
    <t>Javascript</t>
  </si>
  <si>
    <t>WebGL</t>
  </si>
  <si>
    <t>OpenGL</t>
  </si>
  <si>
    <t>API</t>
  </si>
  <si>
    <t>application programming interface</t>
  </si>
  <si>
    <t>canvas</t>
  </si>
  <si>
    <t>HTML object</t>
  </si>
  <si>
    <t>DirectX</t>
  </si>
  <si>
    <t>Three.js</t>
  </si>
  <si>
    <t>Unity</t>
  </si>
  <si>
    <t>DOS</t>
  </si>
  <si>
    <t>FAT</t>
  </si>
  <si>
    <t>File Allocation Table</t>
  </si>
  <si>
    <t>MySpace</t>
  </si>
  <si>
    <t>BASIC</t>
  </si>
  <si>
    <t>Q322</t>
  </si>
  <si>
    <t>Hive Social</t>
  </si>
  <si>
    <t>Wizz</t>
  </si>
  <si>
    <t>Life360</t>
  </si>
  <si>
    <t>Google Meet</t>
  </si>
  <si>
    <t>Mastodon</t>
  </si>
  <si>
    <t>Plenty of Fish</t>
  </si>
  <si>
    <t>Tumblr?</t>
  </si>
  <si>
    <t>Wink</t>
  </si>
  <si>
    <t>Grindr</t>
  </si>
  <si>
    <t>Hily</t>
  </si>
  <si>
    <t>Kik</t>
  </si>
  <si>
    <t>Yubo</t>
  </si>
  <si>
    <t>Monkey Run</t>
  </si>
  <si>
    <t>WooPlus</t>
  </si>
  <si>
    <t>CougarD</t>
  </si>
  <si>
    <t>Fizz</t>
  </si>
  <si>
    <t>Glow</t>
  </si>
  <si>
    <t>Ashley Madison</t>
  </si>
  <si>
    <t>Stir</t>
  </si>
  <si>
    <t>Zoosk</t>
  </si>
  <si>
    <t>3Fun</t>
  </si>
  <si>
    <t>Upward</t>
  </si>
  <si>
    <t>SLP</t>
  </si>
  <si>
    <t>SideFX</t>
  </si>
  <si>
    <t>HCP</t>
  </si>
  <si>
    <t>Snap</t>
  </si>
  <si>
    <t>SNAP</t>
  </si>
  <si>
    <t>Redfin</t>
  </si>
  <si>
    <t>RDFN</t>
  </si>
  <si>
    <t>Opendoor</t>
  </si>
  <si>
    <t>Q422</t>
  </si>
  <si>
    <t>SONY</t>
  </si>
  <si>
    <t>Replit</t>
  </si>
  <si>
    <t>NowCoder</t>
  </si>
  <si>
    <t>Turing</t>
  </si>
  <si>
    <t>NC</t>
  </si>
  <si>
    <t>Q</t>
  </si>
  <si>
    <t>Sprinklr</t>
  </si>
  <si>
    <t>CXM</t>
  </si>
  <si>
    <t>MathWorks</t>
  </si>
  <si>
    <t>Matlab</t>
  </si>
  <si>
    <t>OpenAI</t>
  </si>
  <si>
    <t>Doximity</t>
  </si>
  <si>
    <t>Nextracker</t>
  </si>
  <si>
    <t>Confluent</t>
  </si>
  <si>
    <t>Databricks</t>
  </si>
  <si>
    <t>Notion</t>
  </si>
  <si>
    <t>Sequoia, Coatue, Shine</t>
  </si>
  <si>
    <t>275 Series C 10/8/2021</t>
  </si>
  <si>
    <t>50m Series B 4/2/2020 at 2B</t>
  </si>
  <si>
    <t>Niantic</t>
  </si>
  <si>
    <t>Paddle</t>
  </si>
  <si>
    <t>Benchling</t>
  </si>
  <si>
    <t>Vercel</t>
  </si>
  <si>
    <t>BlueSky</t>
  </si>
  <si>
    <t>AWS</t>
  </si>
  <si>
    <t>TikTok</t>
  </si>
  <si>
    <t>Cadence</t>
  </si>
  <si>
    <t>MicroPro</t>
  </si>
  <si>
    <t>Fielded WordStar, first word processor</t>
  </si>
  <si>
    <t>VisiCalc</t>
  </si>
  <si>
    <t>Cerner</t>
  </si>
  <si>
    <t>PeopleSoft</t>
  </si>
  <si>
    <t>Siebel</t>
  </si>
  <si>
    <t>Instagram</t>
  </si>
  <si>
    <t>Aquantive</t>
  </si>
  <si>
    <t>Red Hat</t>
  </si>
  <si>
    <t>Total</t>
  </si>
  <si>
    <t>MAUs</t>
  </si>
  <si>
    <t>MC/MAU</t>
  </si>
  <si>
    <t>MAU</t>
  </si>
  <si>
    <t>Roper</t>
  </si>
  <si>
    <t>ROP</t>
  </si>
  <si>
    <t>Beijing Kingsoft</t>
  </si>
  <si>
    <t>688111 CH</t>
  </si>
  <si>
    <t>Kaspi</t>
  </si>
  <si>
    <t>KSPI KZ</t>
  </si>
  <si>
    <t>Obic</t>
  </si>
  <si>
    <t>4684 JP</t>
  </si>
  <si>
    <t>Wisetech</t>
  </si>
  <si>
    <t>WTC AU</t>
  </si>
  <si>
    <t>Hundsun</t>
  </si>
  <si>
    <t>600570 CH</t>
  </si>
  <si>
    <t>Gen Digital</t>
  </si>
  <si>
    <t>GEN</t>
  </si>
  <si>
    <t>Sage</t>
  </si>
  <si>
    <t>SGE LN</t>
  </si>
  <si>
    <t>YonYou</t>
  </si>
  <si>
    <t>600588 CH</t>
  </si>
  <si>
    <t>Bill Holdings</t>
  </si>
  <si>
    <t>002410 CH Equity</t>
  </si>
  <si>
    <t>Glodon</t>
  </si>
  <si>
    <t>Samsara</t>
  </si>
  <si>
    <t>IOT</t>
  </si>
  <si>
    <t>Immutable</t>
  </si>
  <si>
    <t>$15m Series A</t>
  </si>
  <si>
    <t>Character.ai</t>
  </si>
  <si>
    <t>Glance</t>
  </si>
  <si>
    <t>Trading around 8000 in secondary markets</t>
  </si>
  <si>
    <t>200m Series D</t>
  </si>
  <si>
    <t>Date</t>
  </si>
  <si>
    <t>Zuoyebang</t>
  </si>
  <si>
    <t>Edtech</t>
  </si>
  <si>
    <t>2013?</t>
  </si>
  <si>
    <t>Lotus</t>
  </si>
  <si>
    <t>Netscape</t>
  </si>
  <si>
    <t>AOL</t>
  </si>
  <si>
    <t>Oculus</t>
  </si>
  <si>
    <t>WhatsApp</t>
  </si>
  <si>
    <t>Aspect Development</t>
  </si>
  <si>
    <t>i2 Technologies</t>
  </si>
  <si>
    <t>Nuance</t>
  </si>
  <si>
    <t>Interactive Entertainment</t>
  </si>
  <si>
    <t>Animoca</t>
  </si>
  <si>
    <t>Shanda Games</t>
  </si>
  <si>
    <t>Legend of Mirr II</t>
  </si>
  <si>
    <t>ZeniMax</t>
  </si>
  <si>
    <t>Krafton</t>
  </si>
  <si>
    <t>259960 KS</t>
  </si>
  <si>
    <t>Sky Mavis</t>
  </si>
  <si>
    <t>Rec Room</t>
  </si>
  <si>
    <t>Wildlife Studios</t>
  </si>
  <si>
    <t>Tripledot Studios</t>
  </si>
  <si>
    <t>NCSoft</t>
  </si>
  <si>
    <t>Lionheart</t>
  </si>
  <si>
    <t>Embracer</t>
  </si>
  <si>
    <t>EMRBAC SS</t>
  </si>
  <si>
    <t>Savvy Games Group</t>
  </si>
  <si>
    <t>Stumble Guys</t>
  </si>
  <si>
    <t>Devolver Digital</t>
  </si>
  <si>
    <t>DEVO LN</t>
  </si>
  <si>
    <t>TTD</t>
  </si>
  <si>
    <t>Rational</t>
  </si>
  <si>
    <t>Benioff</t>
  </si>
  <si>
    <t>Marc</t>
  </si>
  <si>
    <t>First</t>
  </si>
  <si>
    <t>Company</t>
  </si>
  <si>
    <t>Microstrategy</t>
  </si>
  <si>
    <t>MSTR</t>
  </si>
  <si>
    <t>Bentley Systems</t>
  </si>
  <si>
    <t>Nutanix</t>
  </si>
  <si>
    <t>NTNX</t>
  </si>
  <si>
    <t>iFlyTek</t>
  </si>
  <si>
    <t>002230 CH</t>
  </si>
  <si>
    <t>Aspen</t>
  </si>
  <si>
    <t>Xero</t>
  </si>
  <si>
    <t>XRO AU</t>
  </si>
  <si>
    <t>PATH</t>
  </si>
  <si>
    <t>UIpath</t>
  </si>
  <si>
    <t>Informatica</t>
  </si>
  <si>
    <t>INFA</t>
  </si>
  <si>
    <t>CFLT</t>
  </si>
  <si>
    <t>Nemetschek</t>
  </si>
  <si>
    <t>NEM GR</t>
  </si>
  <si>
    <t>CyberArk</t>
  </si>
  <si>
    <t>CYBR</t>
  </si>
  <si>
    <t>Monday.com</t>
  </si>
  <si>
    <t>MNDY</t>
  </si>
  <si>
    <t>Dayforce</t>
  </si>
  <si>
    <t>DAY</t>
  </si>
  <si>
    <t>Duolingo</t>
  </si>
  <si>
    <t>DUOL</t>
  </si>
  <si>
    <t>Oracle Japan</t>
  </si>
  <si>
    <t>4716 JP</t>
  </si>
  <si>
    <t>DOCS</t>
  </si>
  <si>
    <t>Asana</t>
  </si>
  <si>
    <t>ASAN</t>
  </si>
  <si>
    <t>Cambricon</t>
  </si>
  <si>
    <t>688256 CH</t>
  </si>
  <si>
    <t>Oracle Financial</t>
  </si>
  <si>
    <t>OFSS IN</t>
  </si>
  <si>
    <t>AppFolio</t>
  </si>
  <si>
    <t>APPF</t>
  </si>
  <si>
    <t>Dropbox</t>
  </si>
  <si>
    <t>DBX</t>
  </si>
  <si>
    <t>Lumine Group</t>
  </si>
  <si>
    <t>LMN CN</t>
  </si>
  <si>
    <t>Descartes Systems</t>
  </si>
  <si>
    <t>DSG CN</t>
  </si>
  <si>
    <t>Topicus.com</t>
  </si>
  <si>
    <t>TOI CN</t>
  </si>
  <si>
    <t>Pro Medicus</t>
  </si>
  <si>
    <t>PME AU</t>
  </si>
  <si>
    <t>Trend Micro</t>
  </si>
  <si>
    <t>4704 JP</t>
  </si>
  <si>
    <t>Altair Engineering</t>
  </si>
  <si>
    <t>ALTR</t>
  </si>
  <si>
    <t>CCC Intelligent</t>
  </si>
  <si>
    <t>CCCS</t>
  </si>
  <si>
    <t>SentinelOne</t>
  </si>
  <si>
    <t>S</t>
  </si>
  <si>
    <t>TeamViewer</t>
  </si>
  <si>
    <t>TMV GR</t>
  </si>
  <si>
    <t>PB Fintech</t>
  </si>
  <si>
    <t>POLICYBZ IN</t>
  </si>
  <si>
    <t>SPS Commerce</t>
  </si>
  <si>
    <t>SPSC</t>
  </si>
  <si>
    <t>Klaviyo</t>
  </si>
  <si>
    <t>KVYO</t>
  </si>
  <si>
    <t>Qualys</t>
  </si>
  <si>
    <t>QLYS</t>
  </si>
  <si>
    <t>Empyrean Technology</t>
  </si>
  <si>
    <t>301269 CH</t>
  </si>
  <si>
    <t>Global-E</t>
  </si>
  <si>
    <t>GLBE</t>
  </si>
  <si>
    <t>Tata Elxsi</t>
  </si>
  <si>
    <t>TELX IN</t>
  </si>
  <si>
    <t>Tenable</t>
  </si>
  <si>
    <t>TENB</t>
  </si>
  <si>
    <t>Altium</t>
  </si>
  <si>
    <t>ALT AU</t>
  </si>
  <si>
    <t>DoubleVerify</t>
  </si>
  <si>
    <t>DV</t>
  </si>
  <si>
    <t>FreshWorks</t>
  </si>
  <si>
    <t>FRSH</t>
  </si>
  <si>
    <t>SmartSheet</t>
  </si>
  <si>
    <t>SMAR</t>
  </si>
  <si>
    <t>Temenos</t>
  </si>
  <si>
    <t>TEMN SW</t>
  </si>
  <si>
    <t>PegaSystems</t>
  </si>
  <si>
    <t>PEGA</t>
  </si>
  <si>
    <t>Varonis</t>
  </si>
  <si>
    <t>VRNS</t>
  </si>
  <si>
    <t>Vertex</t>
  </si>
  <si>
    <t>VERX</t>
  </si>
  <si>
    <t>Jfrog</t>
  </si>
  <si>
    <t>FROG</t>
  </si>
  <si>
    <t>Workiva</t>
  </si>
  <si>
    <t>WK</t>
  </si>
  <si>
    <t>Braze</t>
  </si>
  <si>
    <t>BRZE</t>
  </si>
  <si>
    <t>Five9</t>
  </si>
  <si>
    <t>FIVN</t>
  </si>
  <si>
    <t>Commvault</t>
  </si>
  <si>
    <t>CVLT</t>
  </si>
  <si>
    <t>PowerSchool</t>
  </si>
  <si>
    <t>PWSC</t>
  </si>
  <si>
    <t>Clearwater Analytics</t>
  </si>
  <si>
    <t>CWAN</t>
  </si>
  <si>
    <t>Verra Mobility</t>
  </si>
  <si>
    <t>VRRM</t>
  </si>
  <si>
    <t>BlackLine</t>
  </si>
  <si>
    <t>BL</t>
  </si>
  <si>
    <t>Box</t>
  </si>
  <si>
    <t>BOX</t>
  </si>
  <si>
    <t>Ncino</t>
  </si>
  <si>
    <t>NCNO</t>
  </si>
  <si>
    <t>Kingdee</t>
  </si>
  <si>
    <t>268 HK</t>
  </si>
  <si>
    <t>Concentrix</t>
  </si>
  <si>
    <t>CNXC</t>
  </si>
  <si>
    <t>Darktrace</t>
  </si>
  <si>
    <t>DARK LN</t>
  </si>
  <si>
    <t>Blackbaud</t>
  </si>
  <si>
    <t>BLKB</t>
  </si>
  <si>
    <t>Fortnox</t>
  </si>
  <si>
    <t>FNOX SS</t>
  </si>
  <si>
    <t>Teradata</t>
  </si>
  <si>
    <t>TDC</t>
  </si>
  <si>
    <t>Ionos</t>
  </si>
  <si>
    <t>IOS GR</t>
  </si>
  <si>
    <t>Obic Business</t>
  </si>
  <si>
    <t>4733 JP</t>
  </si>
  <si>
    <t>Q124</t>
  </si>
  <si>
    <t>PRTS</t>
  </si>
  <si>
    <t>CarParts.com</t>
  </si>
  <si>
    <t>Q224</t>
  </si>
  <si>
    <t>QXO</t>
  </si>
  <si>
    <t>OPRA</t>
  </si>
  <si>
    <t>Renren</t>
  </si>
  <si>
    <t>Kunlun</t>
  </si>
  <si>
    <t>GRND</t>
  </si>
  <si>
    <t>SoundHound</t>
  </si>
  <si>
    <t>SOUN</t>
  </si>
  <si>
    <t>Skool</t>
  </si>
  <si>
    <t>fka TWTR</t>
  </si>
  <si>
    <t>X, fka Twitter</t>
  </si>
  <si>
    <t>Acquired by Google</t>
  </si>
  <si>
    <t>Gather</t>
  </si>
  <si>
    <t>Circle.so</t>
  </si>
  <si>
    <t>Chegg</t>
  </si>
  <si>
    <t>CHGG</t>
  </si>
  <si>
    <t>Q244</t>
  </si>
  <si>
    <t>Robinhood</t>
  </si>
  <si>
    <t>HOOD</t>
  </si>
  <si>
    <t>9988</t>
  </si>
  <si>
    <t>9888 HK</t>
  </si>
  <si>
    <t>TRAK</t>
  </si>
  <si>
    <t>Repositrak</t>
  </si>
  <si>
    <t>Toast</t>
  </si>
  <si>
    <t>TOST</t>
  </si>
  <si>
    <t>Mobileye</t>
  </si>
  <si>
    <t>MBLY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</si>
</sst>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164" formatCode="0\x"/>
    <numFmt numFmtId="165" formatCode="[$¥-411]#,##0"/>
    <numFmt numFmtId="166" formatCode="0.0%"/>
    <numFmt numFmtId="167" formatCode="[$HK$-C04]#,##0.00"/>
  </numFmts>
  <fonts count="90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18"/>
    </font>
    <font>
      <u/>
      <sz val="11"/>
      <color theme="10"/>
      <name val="Calibri"/>
      <family val="2"/>
      <scheme val="minor"/>
    </font>
    <font>
      <u/>
      <sz val="10"/>
      <color theme="10"/>
      <name val="Arial"/>
      <family val="2"/>
    </font>
    <font>
      <i/>
      <sz val="10"/>
      <color theme="1"/>
      <name val="Arial"/>
      <family val="2"/>
    </font>
    <font>
      <b/>
      <sz val="10"/>
      <color theme="1"/>
      <name val="Arial"/>
      <family val="2"/>
    </font>
    <font>
      <b/>
      <u/>
      <sz val="10"/>
      <color theme="1"/>
      <name val="Arial"/>
      <family val="2"/>
    </font>
    <font>
      <sz val="10"/>
      <name val="Arial"/>
      <family val="2"/>
    </font>
    <font>
      <strike/>
      <sz val="10"/>
      <color theme="1"/>
      <name val="Arial"/>
      <family val="2"/>
    </font>
    <font>
      <i/>
      <strike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82" fillId="0" borderId="0" applyNumberFormat="0" applyFill="0" applyBorder="0" applyAlignment="0" applyProtection="0"/>
  </cellStyleXfs>
  <cellXfs count="238">
    <xf numFmtId="0" fontId="0" fillId="0" borderId="0" xfId="0"/>
    <xf numFmtId="0" fontId="81" fillId="0" borderId="0" xfId="0" applyFont="1"/>
    <xf numFmtId="2" fontId="81" fillId="0" borderId="0" xfId="0" applyNumberFormat="1" applyFont="1" applyAlignment="1">
      <alignment horizontal="right"/>
    </xf>
    <xf numFmtId="3" fontId="81" fillId="0" borderId="0" xfId="0" applyNumberFormat="1" applyFont="1" applyAlignment="1">
      <alignment horizontal="right"/>
    </xf>
    <xf numFmtId="0" fontId="81" fillId="0" borderId="0" xfId="0" applyFont="1" applyAlignment="1">
      <alignment horizontal="right"/>
    </xf>
    <xf numFmtId="0" fontId="83" fillId="0" borderId="0" xfId="1" applyFont="1"/>
    <xf numFmtId="0" fontId="80" fillId="0" borderId="0" xfId="0" applyFont="1"/>
    <xf numFmtId="3" fontId="80" fillId="0" borderId="0" xfId="0" applyNumberFormat="1" applyFont="1" applyAlignment="1">
      <alignment horizontal="right"/>
    </xf>
    <xf numFmtId="0" fontId="79" fillId="0" borderId="0" xfId="0" applyFont="1"/>
    <xf numFmtId="3" fontId="84" fillId="0" borderId="0" xfId="0" applyNumberFormat="1" applyFont="1" applyAlignment="1">
      <alignment horizontal="right"/>
    </xf>
    <xf numFmtId="0" fontId="78" fillId="0" borderId="0" xfId="0" applyFont="1"/>
    <xf numFmtId="0" fontId="77" fillId="0" borderId="0" xfId="0" applyFont="1"/>
    <xf numFmtId="0" fontId="76" fillId="0" borderId="0" xfId="0" applyFont="1"/>
    <xf numFmtId="0" fontId="75" fillId="0" borderId="3" xfId="0" applyFont="1" applyBorder="1"/>
    <xf numFmtId="0" fontId="75" fillId="0" borderId="4" xfId="0" applyFont="1" applyBorder="1"/>
    <xf numFmtId="2" fontId="75" fillId="0" borderId="4" xfId="0" applyNumberFormat="1" applyFont="1" applyBorder="1" applyAlignment="1">
      <alignment horizontal="right"/>
    </xf>
    <xf numFmtId="3" fontId="75" fillId="0" borderId="4" xfId="0" applyNumberFormat="1" applyFont="1" applyBorder="1" applyAlignment="1">
      <alignment horizontal="right"/>
    </xf>
    <xf numFmtId="0" fontId="75" fillId="0" borderId="4" xfId="0" applyFont="1" applyBorder="1" applyAlignment="1">
      <alignment horizontal="right"/>
    </xf>
    <xf numFmtId="0" fontId="75" fillId="0" borderId="4" xfId="0" applyFont="1" applyBorder="1" applyAlignment="1">
      <alignment horizontal="center"/>
    </xf>
    <xf numFmtId="0" fontId="75" fillId="0" borderId="5" xfId="0" applyFont="1" applyBorder="1" applyAlignment="1">
      <alignment horizontal="center"/>
    </xf>
    <xf numFmtId="0" fontId="75" fillId="0" borderId="0" xfId="0" applyFont="1"/>
    <xf numFmtId="2" fontId="75" fillId="0" borderId="0" xfId="0" applyNumberFormat="1" applyFont="1" applyAlignment="1">
      <alignment horizontal="right"/>
    </xf>
    <xf numFmtId="3" fontId="75" fillId="0" borderId="0" xfId="0" applyNumberFormat="1" applyFont="1" applyAlignment="1">
      <alignment horizontal="right"/>
    </xf>
    <xf numFmtId="0" fontId="75" fillId="0" borderId="0" xfId="0" applyFont="1" applyAlignment="1">
      <alignment horizontal="right"/>
    </xf>
    <xf numFmtId="0" fontId="75" fillId="0" borderId="0" xfId="0" applyFont="1" applyAlignment="1">
      <alignment horizontal="center"/>
    </xf>
    <xf numFmtId="0" fontId="75" fillId="0" borderId="1" xfId="0" applyFont="1" applyBorder="1" applyAlignment="1">
      <alignment horizontal="center"/>
    </xf>
    <xf numFmtId="0" fontId="75" fillId="0" borderId="2" xfId="0" applyFont="1" applyBorder="1" applyAlignment="1">
      <alignment horizontal="center"/>
    </xf>
    <xf numFmtId="4" fontId="75" fillId="0" borderId="0" xfId="0" applyNumberFormat="1" applyFont="1" applyAlignment="1">
      <alignment horizontal="center"/>
    </xf>
    <xf numFmtId="9" fontId="75" fillId="0" borderId="0" xfId="0" applyNumberFormat="1" applyFont="1" applyAlignment="1">
      <alignment horizontal="center"/>
    </xf>
    <xf numFmtId="164" fontId="75" fillId="0" borderId="1" xfId="0" applyNumberFormat="1" applyFont="1" applyBorder="1" applyAlignment="1">
      <alignment horizontal="center"/>
    </xf>
    <xf numFmtId="164" fontId="75" fillId="0" borderId="0" xfId="0" applyNumberFormat="1" applyFont="1" applyAlignment="1">
      <alignment horizontal="center"/>
    </xf>
    <xf numFmtId="164" fontId="75" fillId="0" borderId="2" xfId="0" applyNumberFormat="1" applyFont="1" applyBorder="1" applyAlignment="1">
      <alignment horizontal="center"/>
    </xf>
    <xf numFmtId="4" fontId="75" fillId="0" borderId="1" xfId="0" applyNumberFormat="1" applyFont="1" applyBorder="1" applyAlignment="1">
      <alignment horizontal="center"/>
    </xf>
    <xf numFmtId="4" fontId="75" fillId="0" borderId="2" xfId="0" applyNumberFormat="1" applyFont="1" applyBorder="1" applyAlignment="1">
      <alignment horizontal="center"/>
    </xf>
    <xf numFmtId="0" fontId="74" fillId="0" borderId="0" xfId="0" applyFont="1" applyAlignment="1">
      <alignment horizontal="right"/>
    </xf>
    <xf numFmtId="9" fontId="74" fillId="0" borderId="0" xfId="0" applyNumberFormat="1" applyFont="1" applyAlignment="1">
      <alignment horizontal="center"/>
    </xf>
    <xf numFmtId="164" fontId="75" fillId="0" borderId="6" xfId="0" applyNumberFormat="1" applyFont="1" applyBorder="1" applyAlignment="1">
      <alignment horizontal="center"/>
    </xf>
    <xf numFmtId="4" fontId="75" fillId="0" borderId="0" xfId="0" applyNumberFormat="1" applyFont="1" applyAlignment="1">
      <alignment horizontal="right"/>
    </xf>
    <xf numFmtId="0" fontId="73" fillId="0" borderId="4" xfId="0" applyFont="1" applyBorder="1" applyAlignment="1">
      <alignment horizontal="right"/>
    </xf>
    <xf numFmtId="14" fontId="75" fillId="0" borderId="0" xfId="0" applyNumberFormat="1" applyFont="1" applyAlignment="1">
      <alignment horizontal="right"/>
    </xf>
    <xf numFmtId="0" fontId="73" fillId="0" borderId="0" xfId="0" applyFont="1"/>
    <xf numFmtId="0" fontId="72" fillId="0" borderId="0" xfId="0" applyFont="1"/>
    <xf numFmtId="0" fontId="72" fillId="0" borderId="3" xfId="0" applyFont="1" applyBorder="1" applyAlignment="1">
      <alignment horizontal="center"/>
    </xf>
    <xf numFmtId="0" fontId="72" fillId="0" borderId="6" xfId="0" applyFont="1" applyBorder="1" applyAlignment="1">
      <alignment horizontal="center"/>
    </xf>
    <xf numFmtId="0" fontId="72" fillId="0" borderId="4" xfId="0" applyFont="1" applyBorder="1" applyAlignment="1">
      <alignment horizontal="center"/>
    </xf>
    <xf numFmtId="0" fontId="75" fillId="0" borderId="5" xfId="0" applyFont="1" applyBorder="1"/>
    <xf numFmtId="3" fontId="78" fillId="0" borderId="0" xfId="0" applyNumberFormat="1" applyFont="1"/>
    <xf numFmtId="0" fontId="71" fillId="0" borderId="0" xfId="0" applyFont="1"/>
    <xf numFmtId="0" fontId="70" fillId="0" borderId="0" xfId="0" applyFont="1" applyAlignment="1">
      <alignment horizontal="right"/>
    </xf>
    <xf numFmtId="3" fontId="84" fillId="0" borderId="0" xfId="0" applyNumberFormat="1" applyFont="1"/>
    <xf numFmtId="4" fontId="84" fillId="0" borderId="0" xfId="0" applyNumberFormat="1" applyFont="1" applyAlignment="1">
      <alignment horizontal="right"/>
    </xf>
    <xf numFmtId="0" fontId="69" fillId="0" borderId="0" xfId="0" applyFont="1"/>
    <xf numFmtId="0" fontId="85" fillId="0" borderId="0" xfId="0" applyFont="1"/>
    <xf numFmtId="0" fontId="68" fillId="0" borderId="0" xfId="0" applyFont="1"/>
    <xf numFmtId="14" fontId="78" fillId="0" borderId="0" xfId="0" applyNumberFormat="1" applyFont="1"/>
    <xf numFmtId="0" fontId="78" fillId="0" borderId="0" xfId="0" applyFont="1" applyAlignment="1">
      <alignment horizontal="right"/>
    </xf>
    <xf numFmtId="3" fontId="67" fillId="0" borderId="0" xfId="0" applyNumberFormat="1" applyFont="1"/>
    <xf numFmtId="0" fontId="67" fillId="0" borderId="0" xfId="0" applyFont="1"/>
    <xf numFmtId="0" fontId="67" fillId="0" borderId="3" xfId="0" applyFont="1" applyBorder="1"/>
    <xf numFmtId="0" fontId="67" fillId="0" borderId="4" xfId="0" applyFont="1" applyBorder="1"/>
    <xf numFmtId="2" fontId="67" fillId="0" borderId="4" xfId="0" applyNumberFormat="1" applyFont="1" applyBorder="1" applyAlignment="1">
      <alignment horizontal="right"/>
    </xf>
    <xf numFmtId="3" fontId="67" fillId="0" borderId="4" xfId="0" applyNumberFormat="1" applyFont="1" applyBorder="1" applyAlignment="1">
      <alignment horizontal="right"/>
    </xf>
    <xf numFmtId="0" fontId="67" fillId="0" borderId="4" xfId="0" applyFont="1" applyBorder="1" applyAlignment="1">
      <alignment horizontal="right"/>
    </xf>
    <xf numFmtId="0" fontId="67" fillId="0" borderId="4" xfId="0" applyFont="1" applyBorder="1" applyAlignment="1">
      <alignment horizontal="center"/>
    </xf>
    <xf numFmtId="0" fontId="67" fillId="0" borderId="5" xfId="0" applyFont="1" applyBorder="1" applyAlignment="1">
      <alignment horizontal="center"/>
    </xf>
    <xf numFmtId="0" fontId="67" fillId="0" borderId="3" xfId="0" applyFont="1" applyBorder="1" applyAlignment="1">
      <alignment horizontal="center"/>
    </xf>
    <xf numFmtId="0" fontId="67" fillId="0" borderId="6" xfId="0" applyFont="1" applyBorder="1" applyAlignment="1">
      <alignment horizontal="center"/>
    </xf>
    <xf numFmtId="0" fontId="66" fillId="0" borderId="0" xfId="0" applyFont="1"/>
    <xf numFmtId="0" fontId="65" fillId="0" borderId="0" xfId="0" applyFont="1"/>
    <xf numFmtId="0" fontId="64" fillId="0" borderId="0" xfId="0" applyFont="1"/>
    <xf numFmtId="0" fontId="63" fillId="0" borderId="0" xfId="0" applyFont="1"/>
    <xf numFmtId="0" fontId="62" fillId="0" borderId="0" xfId="0" applyFont="1"/>
    <xf numFmtId="0" fontId="61" fillId="0" borderId="0" xfId="0" applyFont="1"/>
    <xf numFmtId="0" fontId="60" fillId="0" borderId="0" xfId="0" applyFont="1"/>
    <xf numFmtId="0" fontId="86" fillId="0" borderId="0" xfId="0" applyFont="1"/>
    <xf numFmtId="0" fontId="59" fillId="0" borderId="0" xfId="0" applyFont="1"/>
    <xf numFmtId="0" fontId="87" fillId="0" borderId="0" xfId="1" applyFont="1"/>
    <xf numFmtId="0" fontId="58" fillId="0" borderId="0" xfId="0" applyFont="1"/>
    <xf numFmtId="0" fontId="57" fillId="0" borderId="0" xfId="0" applyFont="1" applyAlignment="1">
      <alignment horizontal="right"/>
    </xf>
    <xf numFmtId="0" fontId="56" fillId="0" borderId="0" xfId="0" applyFont="1"/>
    <xf numFmtId="0" fontId="56" fillId="0" borderId="0" xfId="0" applyFont="1" applyAlignment="1">
      <alignment horizontal="right"/>
    </xf>
    <xf numFmtId="14" fontId="67" fillId="0" borderId="0" xfId="0" applyNumberFormat="1" applyFont="1"/>
    <xf numFmtId="0" fontId="55" fillId="0" borderId="0" xfId="0" applyFont="1"/>
    <xf numFmtId="0" fontId="54" fillId="0" borderId="0" xfId="0" applyFont="1"/>
    <xf numFmtId="0" fontId="53" fillId="0" borderId="0" xfId="0" applyFont="1"/>
    <xf numFmtId="0" fontId="52" fillId="0" borderId="0" xfId="0" applyFont="1"/>
    <xf numFmtId="0" fontId="51" fillId="0" borderId="0" xfId="0" applyFont="1"/>
    <xf numFmtId="0" fontId="83" fillId="0" borderId="1" xfId="1" applyFont="1" applyBorder="1"/>
    <xf numFmtId="9" fontId="75" fillId="0" borderId="2" xfId="0" applyNumberFormat="1" applyFont="1" applyBorder="1" applyAlignment="1">
      <alignment horizontal="center"/>
    </xf>
    <xf numFmtId="0" fontId="60" fillId="0" borderId="0" xfId="0" applyFont="1" applyAlignment="1">
      <alignment horizontal="right"/>
    </xf>
    <xf numFmtId="0" fontId="51" fillId="0" borderId="1" xfId="0" applyFont="1" applyBorder="1"/>
    <xf numFmtId="0" fontId="75" fillId="0" borderId="1" xfId="0" applyFont="1" applyBorder="1"/>
    <xf numFmtId="0" fontId="74" fillId="0" borderId="1" xfId="0" applyFont="1" applyBorder="1"/>
    <xf numFmtId="0" fontId="74" fillId="0" borderId="0" xfId="0" applyFont="1"/>
    <xf numFmtId="0" fontId="72" fillId="0" borderId="1" xfId="0" applyFont="1" applyBorder="1"/>
    <xf numFmtId="2" fontId="75" fillId="0" borderId="6" xfId="0" applyNumberFormat="1" applyFont="1" applyBorder="1" applyAlignment="1">
      <alignment horizontal="right"/>
    </xf>
    <xf numFmtId="3" fontId="75" fillId="0" borderId="6" xfId="0" applyNumberFormat="1" applyFont="1" applyBorder="1" applyAlignment="1">
      <alignment horizontal="right"/>
    </xf>
    <xf numFmtId="0" fontId="75" fillId="0" borderId="6" xfId="0" applyFont="1" applyBorder="1" applyAlignment="1">
      <alignment horizontal="right"/>
    </xf>
    <xf numFmtId="0" fontId="75" fillId="0" borderId="6" xfId="0" applyFont="1" applyBorder="1" applyAlignment="1">
      <alignment horizontal="center"/>
    </xf>
    <xf numFmtId="0" fontId="75" fillId="0" borderId="8" xfId="0" applyFont="1" applyBorder="1" applyAlignment="1">
      <alignment horizontal="center"/>
    </xf>
    <xf numFmtId="0" fontId="50" fillId="0" borderId="0" xfId="0" applyFont="1"/>
    <xf numFmtId="0" fontId="49" fillId="0" borderId="0" xfId="0" applyFont="1"/>
    <xf numFmtId="0" fontId="48" fillId="0" borderId="0" xfId="0" applyFont="1"/>
    <xf numFmtId="0" fontId="47" fillId="0" borderId="0" xfId="0" applyFont="1"/>
    <xf numFmtId="0" fontId="46" fillId="0" borderId="0" xfId="0" applyFont="1"/>
    <xf numFmtId="0" fontId="45" fillId="0" borderId="0" xfId="0" applyFont="1"/>
    <xf numFmtId="0" fontId="44" fillId="0" borderId="0" xfId="0" applyFont="1"/>
    <xf numFmtId="0" fontId="43" fillId="0" borderId="0" xfId="0" applyFont="1"/>
    <xf numFmtId="0" fontId="83" fillId="0" borderId="0" xfId="1" applyFont="1" applyBorder="1"/>
    <xf numFmtId="0" fontId="42" fillId="0" borderId="0" xfId="0" applyFont="1"/>
    <xf numFmtId="0" fontId="41" fillId="0" borderId="0" xfId="0" applyFont="1" applyAlignment="1">
      <alignment horizontal="right"/>
    </xf>
    <xf numFmtId="0" fontId="40" fillId="0" borderId="0" xfId="0" applyFont="1"/>
    <xf numFmtId="0" fontId="40" fillId="0" borderId="0" xfId="0" applyFont="1" applyAlignment="1">
      <alignment horizontal="right"/>
    </xf>
    <xf numFmtId="3" fontId="40" fillId="0" borderId="0" xfId="0" applyNumberFormat="1" applyFont="1" applyAlignment="1">
      <alignment horizontal="right"/>
    </xf>
    <xf numFmtId="0" fontId="39" fillId="0" borderId="0" xfId="0" applyFont="1"/>
    <xf numFmtId="14" fontId="39" fillId="0" borderId="0" xfId="0" applyNumberFormat="1" applyFont="1" applyAlignment="1">
      <alignment horizontal="right"/>
    </xf>
    <xf numFmtId="0" fontId="38" fillId="0" borderId="0" xfId="0" applyFont="1" applyAlignment="1">
      <alignment horizontal="right"/>
    </xf>
    <xf numFmtId="14" fontId="81" fillId="0" borderId="0" xfId="0" applyNumberFormat="1" applyFont="1"/>
    <xf numFmtId="0" fontId="37" fillId="0" borderId="0" xfId="0" applyFont="1"/>
    <xf numFmtId="165" fontId="75" fillId="0" borderId="0" xfId="0" applyNumberFormat="1" applyFont="1" applyAlignment="1">
      <alignment horizontal="right"/>
    </xf>
    <xf numFmtId="0" fontId="37" fillId="0" borderId="0" xfId="0" applyFont="1" applyAlignment="1">
      <alignment horizontal="right"/>
    </xf>
    <xf numFmtId="0" fontId="36" fillId="0" borderId="0" xfId="0" applyFont="1"/>
    <xf numFmtId="4" fontId="67" fillId="0" borderId="0" xfId="0" applyNumberFormat="1" applyFont="1"/>
    <xf numFmtId="0" fontId="35" fillId="0" borderId="0" xfId="0" applyFont="1"/>
    <xf numFmtId="0" fontId="34" fillId="0" borderId="1" xfId="0" applyFont="1" applyBorder="1"/>
    <xf numFmtId="0" fontId="34" fillId="0" borderId="0" xfId="0" applyFont="1"/>
    <xf numFmtId="0" fontId="33" fillId="0" borderId="0" xfId="0" applyFont="1"/>
    <xf numFmtId="3" fontId="88" fillId="0" borderId="0" xfId="0" applyNumberFormat="1" applyFont="1"/>
    <xf numFmtId="4" fontId="89" fillId="0" borderId="0" xfId="0" applyNumberFormat="1" applyFont="1" applyAlignment="1">
      <alignment horizontal="right"/>
    </xf>
    <xf numFmtId="3" fontId="88" fillId="0" borderId="0" xfId="0" applyNumberFormat="1" applyFont="1" applyAlignment="1">
      <alignment horizontal="right"/>
    </xf>
    <xf numFmtId="14" fontId="33" fillId="0" borderId="0" xfId="0" applyNumberFormat="1" applyFont="1" applyAlignment="1">
      <alignment horizontal="right"/>
    </xf>
    <xf numFmtId="3" fontId="69" fillId="0" borderId="0" xfId="0" applyNumberFormat="1" applyFont="1"/>
    <xf numFmtId="0" fontId="32" fillId="0" borderId="0" xfId="0" applyFont="1"/>
    <xf numFmtId="0" fontId="31" fillId="0" borderId="0" xfId="0" applyFont="1"/>
    <xf numFmtId="3" fontId="31" fillId="0" borderId="0" xfId="0" applyNumberFormat="1" applyFont="1"/>
    <xf numFmtId="3" fontId="31" fillId="2" borderId="0" xfId="0" applyNumberFormat="1" applyFont="1" applyFill="1"/>
    <xf numFmtId="0" fontId="30" fillId="0" borderId="0" xfId="0" applyFont="1" applyAlignment="1">
      <alignment horizontal="right"/>
    </xf>
    <xf numFmtId="0" fontId="30" fillId="0" borderId="0" xfId="0" applyFont="1"/>
    <xf numFmtId="3" fontId="30" fillId="0" borderId="0" xfId="0" applyNumberFormat="1" applyFont="1"/>
    <xf numFmtId="3" fontId="83" fillId="0" borderId="0" xfId="1" applyNumberFormat="1" applyFont="1"/>
    <xf numFmtId="0" fontId="29" fillId="0" borderId="0" xfId="0" applyFont="1"/>
    <xf numFmtId="4" fontId="75" fillId="0" borderId="0" xfId="0" applyNumberFormat="1" applyFont="1"/>
    <xf numFmtId="4" fontId="81" fillId="0" borderId="0" xfId="0" applyNumberFormat="1" applyFont="1"/>
    <xf numFmtId="0" fontId="28" fillId="0" borderId="1" xfId="0" applyFont="1" applyBorder="1"/>
    <xf numFmtId="0" fontId="28" fillId="0" borderId="0" xfId="0" applyFont="1"/>
    <xf numFmtId="0" fontId="27" fillId="0" borderId="0" xfId="0" applyFont="1"/>
    <xf numFmtId="0" fontId="86" fillId="0" borderId="0" xfId="0" applyFont="1" applyAlignment="1">
      <alignment horizontal="right"/>
    </xf>
    <xf numFmtId="0" fontId="26" fillId="0" borderId="0" xfId="0" applyFont="1"/>
    <xf numFmtId="0" fontId="25" fillId="0" borderId="0" xfId="0" applyFont="1"/>
    <xf numFmtId="0" fontId="24" fillId="0" borderId="0" xfId="0" applyFont="1"/>
    <xf numFmtId="0" fontId="23" fillId="0" borderId="0" xfId="0" applyFont="1"/>
    <xf numFmtId="0" fontId="22" fillId="0" borderId="0" xfId="0" applyFont="1"/>
    <xf numFmtId="0" fontId="21" fillId="0" borderId="0" xfId="0" applyFont="1"/>
    <xf numFmtId="0" fontId="21" fillId="0" borderId="1" xfId="0" applyFont="1" applyBorder="1"/>
    <xf numFmtId="0" fontId="21" fillId="0" borderId="3" xfId="0" applyFont="1" applyBorder="1"/>
    <xf numFmtId="0" fontId="21" fillId="0" borderId="4" xfId="0" applyFont="1" applyBorder="1"/>
    <xf numFmtId="2" fontId="21" fillId="0" borderId="4" xfId="0" applyNumberFormat="1" applyFont="1" applyBorder="1" applyAlignment="1">
      <alignment horizontal="right"/>
    </xf>
    <xf numFmtId="3" fontId="21" fillId="0" borderId="4" xfId="0" applyNumberFormat="1" applyFont="1" applyBorder="1" applyAlignment="1">
      <alignment horizontal="right"/>
    </xf>
    <xf numFmtId="0" fontId="21" fillId="0" borderId="4" xfId="0" applyFont="1" applyBorder="1" applyAlignment="1">
      <alignment horizontal="right"/>
    </xf>
    <xf numFmtId="0" fontId="21" fillId="0" borderId="4" xfId="0" applyFont="1" applyBorder="1" applyAlignment="1">
      <alignment horizontal="center"/>
    </xf>
    <xf numFmtId="0" fontId="21" fillId="0" borderId="5" xfId="0" applyFont="1" applyBorder="1" applyAlignment="1">
      <alignment horizontal="center"/>
    </xf>
    <xf numFmtId="0" fontId="21" fillId="0" borderId="3" xfId="0" applyFont="1" applyBorder="1" applyAlignment="1">
      <alignment horizontal="center"/>
    </xf>
    <xf numFmtId="0" fontId="21" fillId="0" borderId="6" xfId="0" applyFont="1" applyBorder="1" applyAlignment="1">
      <alignment horizontal="center"/>
    </xf>
    <xf numFmtId="2" fontId="21" fillId="0" borderId="0" xfId="0" applyNumberFormat="1" applyFont="1" applyAlignment="1">
      <alignment horizontal="right"/>
    </xf>
    <xf numFmtId="3" fontId="21" fillId="0" borderId="0" xfId="0" applyNumberFormat="1" applyFont="1" applyAlignment="1">
      <alignment horizontal="right"/>
    </xf>
    <xf numFmtId="0" fontId="20" fillId="0" borderId="0" xfId="0" applyFont="1"/>
    <xf numFmtId="0" fontId="20" fillId="0" borderId="1" xfId="0" applyFont="1" applyBorder="1"/>
    <xf numFmtId="0" fontId="19" fillId="0" borderId="0" xfId="0" applyFont="1"/>
    <xf numFmtId="0" fontId="19" fillId="0" borderId="7" xfId="0" applyFont="1" applyBorder="1"/>
    <xf numFmtId="0" fontId="19" fillId="0" borderId="6" xfId="0" applyFont="1" applyBorder="1"/>
    <xf numFmtId="0" fontId="19" fillId="0" borderId="0" xfId="0" applyFont="1" applyAlignment="1">
      <alignment horizontal="right"/>
    </xf>
    <xf numFmtId="0" fontId="18" fillId="0" borderId="0" xfId="0" applyFont="1" applyAlignment="1">
      <alignment horizontal="right"/>
    </xf>
    <xf numFmtId="0" fontId="18" fillId="0" borderId="0" xfId="0" applyFont="1"/>
    <xf numFmtId="0" fontId="17" fillId="0" borderId="0" xfId="0" applyFont="1"/>
    <xf numFmtId="0" fontId="16" fillId="0" borderId="0" xfId="0" applyFont="1" applyAlignment="1">
      <alignment horizontal="right"/>
    </xf>
    <xf numFmtId="0" fontId="15" fillId="0" borderId="0" xfId="0" applyFont="1"/>
    <xf numFmtId="0" fontId="15" fillId="0" borderId="0" xfId="0" applyFont="1" applyAlignment="1">
      <alignment horizontal="right"/>
    </xf>
    <xf numFmtId="0" fontId="14" fillId="0" borderId="0" xfId="0" applyFont="1"/>
    <xf numFmtId="0" fontId="14" fillId="0" borderId="0" xfId="0" applyFont="1" applyAlignment="1">
      <alignment horizontal="right"/>
    </xf>
    <xf numFmtId="166" fontId="78" fillId="0" borderId="0" xfId="0" applyNumberFormat="1" applyFont="1" applyAlignment="1">
      <alignment horizontal="center"/>
    </xf>
    <xf numFmtId="166" fontId="78" fillId="0" borderId="0" xfId="0" applyNumberFormat="1" applyFont="1"/>
    <xf numFmtId="166" fontId="75" fillId="0" borderId="0" xfId="0" applyNumberFormat="1" applyFont="1" applyAlignment="1">
      <alignment horizontal="center"/>
    </xf>
    <xf numFmtId="0" fontId="13" fillId="0" borderId="0" xfId="0" applyFont="1" applyAlignment="1">
      <alignment horizontal="right"/>
    </xf>
    <xf numFmtId="0" fontId="12" fillId="0" borderId="0" xfId="0" applyFont="1"/>
    <xf numFmtId="0" fontId="12" fillId="0" borderId="0" xfId="0" applyFont="1" applyAlignment="1">
      <alignment horizontal="right"/>
    </xf>
    <xf numFmtId="3" fontId="12" fillId="0" borderId="0" xfId="0" applyNumberFormat="1" applyFont="1" applyAlignment="1">
      <alignment horizontal="right"/>
    </xf>
    <xf numFmtId="0" fontId="11" fillId="0" borderId="0" xfId="0" applyFont="1"/>
    <xf numFmtId="0" fontId="10" fillId="0" borderId="0" xfId="0" applyFont="1"/>
    <xf numFmtId="0" fontId="9" fillId="0" borderId="0" xfId="0" applyFont="1" applyAlignment="1">
      <alignment horizontal="right"/>
    </xf>
    <xf numFmtId="0" fontId="9" fillId="0" borderId="1" xfId="0" applyFont="1" applyBorder="1"/>
    <xf numFmtId="0" fontId="9" fillId="0" borderId="0" xfId="0" applyFont="1"/>
    <xf numFmtId="2" fontId="9" fillId="0" borderId="0" xfId="0" applyNumberFormat="1" applyFont="1" applyAlignment="1">
      <alignment horizontal="right"/>
    </xf>
    <xf numFmtId="3" fontId="9" fillId="0" borderId="0" xfId="0" applyNumberFormat="1" applyFont="1" applyAlignment="1">
      <alignment horizontal="right"/>
    </xf>
    <xf numFmtId="0" fontId="8" fillId="0" borderId="0" xfId="0" applyFont="1"/>
    <xf numFmtId="14" fontId="8" fillId="0" borderId="0" xfId="0" applyNumberFormat="1" applyFont="1" applyAlignment="1">
      <alignment horizontal="right"/>
    </xf>
    <xf numFmtId="0" fontId="7" fillId="0" borderId="0" xfId="0" applyFont="1"/>
    <xf numFmtId="0" fontId="7" fillId="0" borderId="0" xfId="0" applyFont="1" applyAlignment="1">
      <alignment horizontal="right"/>
    </xf>
    <xf numFmtId="0" fontId="81" fillId="0" borderId="0" xfId="0" quotePrefix="1" applyFont="1"/>
    <xf numFmtId="167" fontId="81" fillId="0" borderId="0" xfId="0" applyNumberFormat="1" applyFont="1" applyAlignment="1">
      <alignment horizontal="right"/>
    </xf>
    <xf numFmtId="0" fontId="6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14" fontId="78" fillId="0" borderId="0" xfId="0" applyNumberFormat="1" applyFont="1" applyAlignment="1">
      <alignment horizontal="right"/>
    </xf>
    <xf numFmtId="0" fontId="4" fillId="0" borderId="0" xfId="0" applyFont="1"/>
    <xf numFmtId="0" fontId="4" fillId="0" borderId="1" xfId="0" applyFont="1" applyBorder="1"/>
    <xf numFmtId="0" fontId="3" fillId="0" borderId="0" xfId="0" applyFont="1" applyAlignment="1">
      <alignment horizontal="right"/>
    </xf>
    <xf numFmtId="14" fontId="3" fillId="0" borderId="0" xfId="0" applyNumberFormat="1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2" fillId="0" borderId="0" xfId="0" applyFont="1"/>
    <xf numFmtId="0" fontId="2" fillId="0" borderId="0" xfId="0" applyFont="1" applyAlignment="1">
      <alignment horizontal="right"/>
    </xf>
    <xf numFmtId="0" fontId="2" fillId="0" borderId="3" xfId="0" applyFont="1" applyBorder="1"/>
    <xf numFmtId="0" fontId="2" fillId="0" borderId="4" xfId="0" applyFont="1" applyBorder="1"/>
    <xf numFmtId="2" fontId="2" fillId="0" borderId="4" xfId="0" applyNumberFormat="1" applyFont="1" applyBorder="1" applyAlignment="1">
      <alignment horizontal="right"/>
    </xf>
    <xf numFmtId="3" fontId="2" fillId="0" borderId="4" xfId="0" applyNumberFormat="1" applyFont="1" applyBorder="1" applyAlignment="1">
      <alignment horizontal="right"/>
    </xf>
    <xf numFmtId="0" fontId="2" fillId="0" borderId="4" xfId="0" applyFont="1" applyBorder="1" applyAlignment="1">
      <alignment horizontal="right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5" xfId="0" applyFont="1" applyBorder="1"/>
    <xf numFmtId="3" fontId="2" fillId="0" borderId="0" xfId="0" applyNumberFormat="1" applyFont="1"/>
    <xf numFmtId="4" fontId="2" fillId="0" borderId="0" xfId="0" applyNumberFormat="1" applyFont="1" applyAlignment="1">
      <alignment horizontal="right"/>
    </xf>
    <xf numFmtId="2" fontId="2" fillId="0" borderId="0" xfId="0" applyNumberFormat="1" applyFont="1" applyAlignment="1">
      <alignment horizontal="right"/>
    </xf>
    <xf numFmtId="14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4" fontId="78" fillId="0" borderId="0" xfId="0" applyNumberFormat="1" applyFont="1"/>
    <xf numFmtId="0" fontId="1" fillId="0" borderId="0" xfId="0" applyFont="1" applyAlignment="1">
      <alignment horizontal="right"/>
    </xf>
    <xf numFmtId="3" fontId="1" fillId="0" borderId="0" xfId="0" applyNumberFormat="1" applyFont="1"/>
    <xf numFmtId="3" fontId="1" fillId="0" borderId="0" xfId="0" applyNumberFormat="1" applyFont="1" applyAlignment="1">
      <alignment horizontal="right"/>
    </xf>
    <xf numFmtId="0" fontId="1" fillId="0" borderId="0" xfId="0" applyFont="1"/>
    <xf numFmtId="2" fontId="1" fillId="0" borderId="0" xfId="0" applyNumberFormat="1" applyFont="1" applyAlignment="1">
      <alignment horizontal="right"/>
    </xf>
    <xf numFmtId="14" fontId="1" fillId="0" borderId="0" xfId="0" applyNumberFormat="1" applyFont="1" applyAlignment="1">
      <alignment horizontal="right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1" xfId="0" applyFont="1" applyBorder="1"/>
    <xf numFmtId="4" fontId="1" fillId="0" borderId="0" xfId="0" applyNumberFormat="1" applyFont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606D2300-39C7-400B-8CBC-8FACFEDD77C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externalLink" Target="externalLinks/externalLink10.xml"/><Relationship Id="rId21" Type="http://schemas.openxmlformats.org/officeDocument/2006/relationships/externalLink" Target="externalLinks/externalLink5.xml"/><Relationship Id="rId42" Type="http://schemas.openxmlformats.org/officeDocument/2006/relationships/externalLink" Target="externalLinks/externalLink26.xml"/><Relationship Id="rId47" Type="http://schemas.openxmlformats.org/officeDocument/2006/relationships/externalLink" Target="externalLinks/externalLink31.xml"/><Relationship Id="rId63" Type="http://schemas.openxmlformats.org/officeDocument/2006/relationships/externalLink" Target="externalLinks/externalLink47.xml"/><Relationship Id="rId68" Type="http://schemas.openxmlformats.org/officeDocument/2006/relationships/theme" Target="theme/theme1.xml"/><Relationship Id="rId7" Type="http://schemas.openxmlformats.org/officeDocument/2006/relationships/worksheet" Target="worksheets/sheet7.xml"/><Relationship Id="rId71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externalLink" Target="externalLinks/externalLink13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8.xml"/><Relationship Id="rId32" Type="http://schemas.openxmlformats.org/officeDocument/2006/relationships/externalLink" Target="externalLinks/externalLink16.xml"/><Relationship Id="rId37" Type="http://schemas.openxmlformats.org/officeDocument/2006/relationships/externalLink" Target="externalLinks/externalLink21.xml"/><Relationship Id="rId40" Type="http://schemas.openxmlformats.org/officeDocument/2006/relationships/externalLink" Target="externalLinks/externalLink24.xml"/><Relationship Id="rId45" Type="http://schemas.openxmlformats.org/officeDocument/2006/relationships/externalLink" Target="externalLinks/externalLink29.xml"/><Relationship Id="rId53" Type="http://schemas.openxmlformats.org/officeDocument/2006/relationships/externalLink" Target="externalLinks/externalLink37.xml"/><Relationship Id="rId58" Type="http://schemas.openxmlformats.org/officeDocument/2006/relationships/externalLink" Target="externalLinks/externalLink42.xml"/><Relationship Id="rId66" Type="http://schemas.openxmlformats.org/officeDocument/2006/relationships/externalLink" Target="externalLinks/externalLink50.xml"/><Relationship Id="rId5" Type="http://schemas.openxmlformats.org/officeDocument/2006/relationships/worksheet" Target="worksheets/sheet5.xml"/><Relationship Id="rId61" Type="http://schemas.openxmlformats.org/officeDocument/2006/relationships/externalLink" Target="externalLinks/externalLink45.xml"/><Relationship Id="rId19" Type="http://schemas.openxmlformats.org/officeDocument/2006/relationships/externalLink" Target="externalLinks/externalLink3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6.xml"/><Relationship Id="rId27" Type="http://schemas.openxmlformats.org/officeDocument/2006/relationships/externalLink" Target="externalLinks/externalLink11.xml"/><Relationship Id="rId30" Type="http://schemas.openxmlformats.org/officeDocument/2006/relationships/externalLink" Target="externalLinks/externalLink14.xml"/><Relationship Id="rId35" Type="http://schemas.openxmlformats.org/officeDocument/2006/relationships/externalLink" Target="externalLinks/externalLink19.xml"/><Relationship Id="rId43" Type="http://schemas.openxmlformats.org/officeDocument/2006/relationships/externalLink" Target="externalLinks/externalLink27.xml"/><Relationship Id="rId48" Type="http://schemas.openxmlformats.org/officeDocument/2006/relationships/externalLink" Target="externalLinks/externalLink32.xml"/><Relationship Id="rId56" Type="http://schemas.openxmlformats.org/officeDocument/2006/relationships/externalLink" Target="externalLinks/externalLink40.xml"/><Relationship Id="rId64" Type="http://schemas.openxmlformats.org/officeDocument/2006/relationships/externalLink" Target="externalLinks/externalLink48.xml"/><Relationship Id="rId69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externalLink" Target="externalLinks/externalLink35.xml"/><Relationship Id="rId72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1.xml"/><Relationship Id="rId25" Type="http://schemas.openxmlformats.org/officeDocument/2006/relationships/externalLink" Target="externalLinks/externalLink9.xml"/><Relationship Id="rId33" Type="http://schemas.openxmlformats.org/officeDocument/2006/relationships/externalLink" Target="externalLinks/externalLink17.xml"/><Relationship Id="rId38" Type="http://schemas.openxmlformats.org/officeDocument/2006/relationships/externalLink" Target="externalLinks/externalLink22.xml"/><Relationship Id="rId46" Type="http://schemas.openxmlformats.org/officeDocument/2006/relationships/externalLink" Target="externalLinks/externalLink30.xml"/><Relationship Id="rId59" Type="http://schemas.openxmlformats.org/officeDocument/2006/relationships/externalLink" Target="externalLinks/externalLink43.xml"/><Relationship Id="rId67" Type="http://schemas.openxmlformats.org/officeDocument/2006/relationships/externalLink" Target="externalLinks/externalLink51.xml"/><Relationship Id="rId20" Type="http://schemas.openxmlformats.org/officeDocument/2006/relationships/externalLink" Target="externalLinks/externalLink4.xml"/><Relationship Id="rId41" Type="http://schemas.openxmlformats.org/officeDocument/2006/relationships/externalLink" Target="externalLinks/externalLink25.xml"/><Relationship Id="rId54" Type="http://schemas.openxmlformats.org/officeDocument/2006/relationships/externalLink" Target="externalLinks/externalLink38.xml"/><Relationship Id="rId62" Type="http://schemas.openxmlformats.org/officeDocument/2006/relationships/externalLink" Target="externalLinks/externalLink46.xml"/><Relationship Id="rId7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externalLink" Target="externalLinks/externalLink7.xml"/><Relationship Id="rId28" Type="http://schemas.openxmlformats.org/officeDocument/2006/relationships/externalLink" Target="externalLinks/externalLink12.xml"/><Relationship Id="rId36" Type="http://schemas.openxmlformats.org/officeDocument/2006/relationships/externalLink" Target="externalLinks/externalLink20.xml"/><Relationship Id="rId49" Type="http://schemas.openxmlformats.org/officeDocument/2006/relationships/externalLink" Target="externalLinks/externalLink33.xml"/><Relationship Id="rId57" Type="http://schemas.openxmlformats.org/officeDocument/2006/relationships/externalLink" Target="externalLinks/externalLink41.xml"/><Relationship Id="rId10" Type="http://schemas.openxmlformats.org/officeDocument/2006/relationships/worksheet" Target="worksheets/sheet10.xml"/><Relationship Id="rId31" Type="http://schemas.openxmlformats.org/officeDocument/2006/relationships/externalLink" Target="externalLinks/externalLink15.xml"/><Relationship Id="rId44" Type="http://schemas.openxmlformats.org/officeDocument/2006/relationships/externalLink" Target="externalLinks/externalLink28.xml"/><Relationship Id="rId52" Type="http://schemas.openxmlformats.org/officeDocument/2006/relationships/externalLink" Target="externalLinks/externalLink36.xml"/><Relationship Id="rId60" Type="http://schemas.openxmlformats.org/officeDocument/2006/relationships/externalLink" Target="externalLinks/externalLink44.xml"/><Relationship Id="rId65" Type="http://schemas.openxmlformats.org/officeDocument/2006/relationships/externalLink" Target="externalLinks/externalLink4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2.xml"/><Relationship Id="rId39" Type="http://schemas.openxmlformats.org/officeDocument/2006/relationships/externalLink" Target="externalLinks/externalLink23.xml"/><Relationship Id="rId34" Type="http://schemas.openxmlformats.org/officeDocument/2006/relationships/externalLink" Target="externalLinks/externalLink18.xml"/><Relationship Id="rId50" Type="http://schemas.openxmlformats.org/officeDocument/2006/relationships/externalLink" Target="externalLinks/externalLink34.xml"/><Relationship Id="rId55" Type="http://schemas.openxmlformats.org/officeDocument/2006/relationships/externalLink" Target="externalLinks/externalLink39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ATVI.xlsx" TargetMode="External"/><Relationship Id="rId1" Type="http://schemas.openxmlformats.org/officeDocument/2006/relationships/externalLinkPath" Target="ATVI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MSFT.xlsx" TargetMode="External"/><Relationship Id="rId1" Type="http://schemas.openxmlformats.org/officeDocument/2006/relationships/externalLinkPath" Target="MSFT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GOOG.xlsx" TargetMode="External"/><Relationship Id="rId1" Type="http://schemas.openxmlformats.org/officeDocument/2006/relationships/externalLinkPath" Target="GOOG.xlsx" TargetMode="External"/></Relationships>
</file>

<file path=xl/externalLinks/_rels/externalLink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CSU%20CN.xlsx" TargetMode="External"/><Relationship Id="rId1" Type="http://schemas.openxmlformats.org/officeDocument/2006/relationships/externalLinkPath" Target="CSU%20CN.xlsx" TargetMode="External"/></Relationships>
</file>

<file path=xl/externalLinks/_rels/externalLink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BIDU.xlsx" TargetMode="External"/><Relationship Id="rId1" Type="http://schemas.openxmlformats.org/officeDocument/2006/relationships/externalLinkPath" Target="BIDU.xlsx" TargetMode="External"/></Relationships>
</file>

<file path=xl/externalLinks/_rels/externalLink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OPRA.xlsx" TargetMode="External"/><Relationship Id="rId1" Type="http://schemas.openxmlformats.org/officeDocument/2006/relationships/externalLinkPath" Target="OPRA.xlsx" TargetMode="External"/></Relationships>
</file>

<file path=xl/externalLinks/_rels/externalLink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AMZN.xlsx" TargetMode="External"/><Relationship Id="rId1" Type="http://schemas.openxmlformats.org/officeDocument/2006/relationships/externalLinkPath" Target="AMZN.xlsx" TargetMode="External"/></Relationships>
</file>

<file path=xl/externalLinks/_rels/externalLink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ORCL.xlsx" TargetMode="External"/><Relationship Id="rId1" Type="http://schemas.openxmlformats.org/officeDocument/2006/relationships/externalLinkPath" Target="ORCL.xlsx" TargetMode="External"/></Relationships>
</file>

<file path=xl/externalLinks/_rels/externalLink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SAP.xlsx" TargetMode="External"/><Relationship Id="rId1" Type="http://schemas.openxmlformats.org/officeDocument/2006/relationships/externalLinkPath" Target="SAP.xlsx" TargetMode="External"/></Relationships>
</file>

<file path=xl/externalLinks/_rels/externalLink1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CRM.xlsx" TargetMode="External"/><Relationship Id="rId1" Type="http://schemas.openxmlformats.org/officeDocument/2006/relationships/externalLinkPath" Target="CRM.xlsx" TargetMode="External"/></Relationships>
</file>

<file path=xl/externalLinks/_rels/externalLink1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IBM.xlsx" TargetMode="External"/><Relationship Id="rId1" Type="http://schemas.openxmlformats.org/officeDocument/2006/relationships/externalLinkPath" Target="IBM.xlsx" TargetMode="External"/></Relationships>
</file>

<file path=xl/externalLinks/_rels/externalLink1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NOW.xlsx" TargetMode="External"/><Relationship Id="rId1" Type="http://schemas.openxmlformats.org/officeDocument/2006/relationships/externalLinkPath" Target="NOW.xlsx" TargetMode="External"/></Relationships>
</file>

<file path=xl/externalLinks/_rels/externalLink1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PLTR.xlsx" TargetMode="External"/><Relationship Id="rId1" Type="http://schemas.openxmlformats.org/officeDocument/2006/relationships/externalLinkPath" Target="PLTR.xlsx" TargetMode="External"/></Relationships>
</file>

<file path=xl/externalLinks/_rels/externalLink1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WDAY.xlsx" TargetMode="External"/><Relationship Id="rId1" Type="http://schemas.openxmlformats.org/officeDocument/2006/relationships/externalLinkPath" Target="WDAY.xlsx" TargetMode="External"/></Relationships>
</file>

<file path=xl/externalLinks/_rels/externalLink1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TEAM.xlsx" TargetMode="External"/><Relationship Id="rId1" Type="http://schemas.openxmlformats.org/officeDocument/2006/relationships/externalLinkPath" Target="TEAM.xlsx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SNOW.xlsx" TargetMode="External"/></Relationships>
</file>

<file path=xl/externalLinks/_rels/externalLink1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VEEV.xlsx" TargetMode="External"/><Relationship Id="rId1" Type="http://schemas.openxmlformats.org/officeDocument/2006/relationships/externalLinkPath" Target="VEEV.xlsx" TargetMode="External"/></Relationships>
</file>

<file path=xl/externalLinks/_rels/externalLink1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DDOG.xlsx" TargetMode="External"/><Relationship Id="rId1" Type="http://schemas.openxmlformats.org/officeDocument/2006/relationships/externalLinkPath" Target="DDOG.xlsx" TargetMode="External"/></Relationships>
</file>

<file path=xl/externalLinks/_rels/externalLink1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MDB.xlsx" TargetMode="External"/><Relationship Id="rId1" Type="http://schemas.openxmlformats.org/officeDocument/2006/relationships/externalLinkPath" Target="MDB.xlsx" TargetMode="External"/></Relationships>
</file>

<file path=xl/externalLinks/_rels/externalLink2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OKTA.xlsx" TargetMode="External"/><Relationship Id="rId1" Type="http://schemas.openxmlformats.org/officeDocument/2006/relationships/externalLinkPath" Target="OKTA.xlsx" TargetMode="External"/></Relationships>
</file>

<file path=xl/externalLinks/_rels/externalLink2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ZM.xlsx" TargetMode="External"/><Relationship Id="rId1" Type="http://schemas.openxmlformats.org/officeDocument/2006/relationships/externalLinkPath" Target="ZM.xlsx" TargetMode="External"/></Relationships>
</file>

<file path=xl/externalLinks/_rels/externalLink2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BRZE.xlsx" TargetMode="External"/><Relationship Id="rId1" Type="http://schemas.openxmlformats.org/officeDocument/2006/relationships/externalLinkPath" Target="BRZE.xlsx" TargetMode="External"/></Relationships>
</file>

<file path=xl/externalLinks/_rels/externalLink2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FRSH.xlsx" TargetMode="External"/><Relationship Id="rId1" Type="http://schemas.openxmlformats.org/officeDocument/2006/relationships/externalLinkPath" Target="FRSH.xlsx" TargetMode="External"/></Relationships>
</file>

<file path=xl/externalLinks/_rels/externalLink2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FIVN.xlsx" TargetMode="External"/><Relationship Id="rId1" Type="http://schemas.openxmlformats.org/officeDocument/2006/relationships/externalLinkPath" Target="FIVN.xlsx" TargetMode="External"/></Relationships>
</file>

<file path=xl/externalLinks/_rels/externalLink2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QXO.xlsx" TargetMode="External"/><Relationship Id="rId1" Type="http://schemas.openxmlformats.org/officeDocument/2006/relationships/externalLinkPath" Target="QXO.xlsx" TargetMode="External"/></Relationships>
</file>

<file path=xl/externalLinks/_rels/externalLink2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FB.xlsx" TargetMode="External"/><Relationship Id="rId1" Type="http://schemas.openxmlformats.org/officeDocument/2006/relationships/externalLinkPath" Target="FB.xlsx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700%20HK.xlsx" TargetMode="External"/></Relationships>
</file>

<file path=xl/externalLinks/_rels/externalLink2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SNAP.xlsx" TargetMode="External"/><Relationship Id="rId1" Type="http://schemas.openxmlformats.org/officeDocument/2006/relationships/externalLinkPath" Target="SNAP.xlsx" TargetMode="External"/></Relationships>
</file>

<file path=xl/externalLinks/_rels/externalLink2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GRND.xlsx" TargetMode="External"/><Relationship Id="rId1" Type="http://schemas.openxmlformats.org/officeDocument/2006/relationships/externalLinkPath" Target="GRND.xlsx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SNPS.xlsx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DSY%20FP.xlsx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openxmlformats.org/officeDocument/2006/relationships/externalLinkPath" Target="CDNS.xlsx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openxmlformats.org/officeDocument/2006/relationships/externalLinkPath" Target="ADSK.xlsx" TargetMode="External"/></Relationships>
</file>

<file path=xl/externalLinks/_rels/externalLink34.xml.rels><?xml version="1.0" encoding="UTF-8" standalone="yes"?>
<Relationships xmlns="http://schemas.openxmlformats.org/package/2006/relationships"><Relationship Id="rId1" Type="http://schemas.openxmlformats.org/officeDocument/2006/relationships/externalLinkPath" Target="ANSS.xlsx" TargetMode="External"/></Relationships>
</file>

<file path=xl/externalLinks/_rels/externalLink3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HEXA.xlsx" TargetMode="External"/><Relationship Id="rId1" Type="http://schemas.openxmlformats.org/officeDocument/2006/relationships/externalLinkPath" Target="HEXA.xlsx" TargetMode="External"/></Relationships>
</file>

<file path=xl/externalLinks/_rels/externalLink3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ADBE.xlsx" TargetMode="External"/><Relationship Id="rId1" Type="http://schemas.openxmlformats.org/officeDocument/2006/relationships/externalLinkPath" Target="ADBE.xlsx" TargetMode="External"/></Relationships>
</file>

<file path=xl/externalLinks/_rels/externalLink3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SONY.xlsx" TargetMode="External"/><Relationship Id="rId1" Type="http://schemas.openxmlformats.org/officeDocument/2006/relationships/externalLinkPath" Target="SONY.xlsx" TargetMode="External"/></Relationships>
</file>

<file path=xl/externalLinks/_rels/externalLink3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EA.xlsx" TargetMode="External"/><Relationship Id="rId1" Type="http://schemas.openxmlformats.org/officeDocument/2006/relationships/externalLinkPath" Target="EA.xlsx" TargetMode="External"/></Relationships>
</file>

<file path=xl/externalLinks/_rels/externalLink3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RBLX.xlsx" TargetMode="External"/><Relationship Id="rId1" Type="http://schemas.openxmlformats.org/officeDocument/2006/relationships/externalLinkPath" Target="RBLX.xlsx" TargetMode="External"/></Relationships>
</file>

<file path=xl/externalLinks/_rels/externalLink40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SPOT.xlsx" TargetMode="External"/></Relationships>
</file>

<file path=xl/externalLinks/_rels/externalLink41.xml.rels><?xml version="1.0" encoding="UTF-8" standalone="yes"?>
<Relationships xmlns="http://schemas.openxmlformats.org/package/2006/relationships"><Relationship Id="rId1" Type="http://schemas.openxmlformats.org/officeDocument/2006/relationships/externalLinkPath" Target="INTU.xlsx" TargetMode="External"/></Relationships>
</file>

<file path=xl/externalLinks/_rels/externalLink4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PYPL.xlsx" TargetMode="External"/><Relationship Id="rId1" Type="http://schemas.openxmlformats.org/officeDocument/2006/relationships/externalLinkPath" Target="PYPL.xlsx" TargetMode="External"/></Relationships>
</file>

<file path=xl/externalLinks/_rels/externalLink4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HOOD.xlsx" TargetMode="External"/><Relationship Id="rId1" Type="http://schemas.openxmlformats.org/officeDocument/2006/relationships/externalLinkPath" Target="HOOD.xlsx" TargetMode="External"/></Relationships>
</file>

<file path=xl/externalLinks/_rels/externalLink4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BABA.xlsx" TargetMode="External"/><Relationship Id="rId1" Type="http://schemas.openxmlformats.org/officeDocument/2006/relationships/externalLinkPath" Target="BABA.xlsx" TargetMode="External"/></Relationships>
</file>

<file path=xl/externalLinks/_rels/externalLink4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ABNB.xlsx" TargetMode="External"/><Relationship Id="rId1" Type="http://schemas.openxmlformats.org/officeDocument/2006/relationships/externalLinkPath" Target="ABNB.xlsx" TargetMode="External"/></Relationships>
</file>

<file path=xl/externalLinks/_rels/externalLink46.xml.rels><?xml version="1.0" encoding="UTF-8" standalone="yes"?>
<Relationships xmlns="http://schemas.openxmlformats.org/package/2006/relationships"><Relationship Id="rId1" Type="http://schemas.openxmlformats.org/officeDocument/2006/relationships/externalLinkPath" Target="SHOP.xlsx" TargetMode="External"/></Relationships>
</file>

<file path=xl/externalLinks/_rels/externalLink4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RDFN.xlsx" TargetMode="External"/><Relationship Id="rId1" Type="http://schemas.openxmlformats.org/officeDocument/2006/relationships/externalLinkPath" Target="RDFN.xlsx" TargetMode="External"/></Relationships>
</file>

<file path=xl/externalLinks/_rels/externalLink4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CHGG.xlsx" TargetMode="External"/><Relationship Id="rId1" Type="http://schemas.openxmlformats.org/officeDocument/2006/relationships/externalLinkPath" Target="CHGG.xlsx" TargetMode="External"/></Relationships>
</file>

<file path=xl/externalLinks/_rels/externalLink4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NET.xlsx" TargetMode="External"/><Relationship Id="rId1" Type="http://schemas.openxmlformats.org/officeDocument/2006/relationships/externalLinkPath" Target="NET.xlsx" TargetMode="External"/></Relationships>
</file>

<file path=xl/externalLinks/_rels/externalLink50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martinshkreli/code/models/TOST.xlsx" TargetMode="External"/><Relationship Id="rId1" Type="http://schemas.openxmlformats.org/officeDocument/2006/relationships/externalLinkPath" Target="TOST.xlsx" TargetMode="External"/></Relationships>
</file>

<file path=xl/externalLinks/_rels/externalLink5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martinshkreli/code/models/MBLY.xlsx" TargetMode="External"/><Relationship Id="rId1" Type="http://schemas.openxmlformats.org/officeDocument/2006/relationships/externalLinkPath" Target="MBL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782.62531899999999</v>
          </cell>
        </row>
        <row r="5">
          <cell r="J5">
            <v>10688</v>
          </cell>
        </row>
        <row r="6">
          <cell r="J6">
            <v>3610</v>
          </cell>
        </row>
      </sheetData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Azure"/>
      <sheetName val="Productivity"/>
      <sheetName val="Personal Computing"/>
      <sheetName val="Legacy"/>
    </sheetNames>
    <sheetDataSet>
      <sheetData sheetId="0">
        <row r="3">
          <cell r="L3">
            <v>7469</v>
          </cell>
        </row>
        <row r="5">
          <cell r="L5">
            <v>90143</v>
          </cell>
        </row>
        <row r="6">
          <cell r="L6">
            <v>51630</v>
          </cell>
        </row>
      </sheetData>
      <sheetData sheetId="1">
        <row r="45">
          <cell r="BI45">
            <v>9.6463099263974534</v>
          </cell>
          <cell r="BJ45">
            <v>10.140241493526046</v>
          </cell>
          <cell r="BK45">
            <v>10.868356840674902</v>
          </cell>
          <cell r="BL45">
            <v>12.738662558799383</v>
          </cell>
        </row>
        <row r="47">
          <cell r="BT47">
            <v>0</v>
          </cell>
        </row>
        <row r="48">
          <cell r="BT48">
            <v>7.0000000000000007E-2</v>
          </cell>
        </row>
        <row r="49">
          <cell r="BT49">
            <v>0.01</v>
          </cell>
        </row>
        <row r="56">
          <cell r="BT56">
            <v>271.11934949761888</v>
          </cell>
        </row>
      </sheetData>
      <sheetData sheetId="2"/>
      <sheetData sheetId="3"/>
      <sheetData sheetId="4"/>
      <sheetData sheetId="5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12696</v>
          </cell>
        </row>
        <row r="5">
          <cell r="L5">
            <v>134897</v>
          </cell>
        </row>
        <row r="6">
          <cell r="L6">
            <v>13238</v>
          </cell>
        </row>
      </sheetData>
      <sheetData sheetId="1">
        <row r="29">
          <cell r="AN29">
            <v>4.5799964361174039</v>
          </cell>
          <cell r="AO29">
            <v>5.5750363586206904</v>
          </cell>
          <cell r="AP29">
            <v>8.0113921472589045</v>
          </cell>
          <cell r="AQ29">
            <v>7.985376604742382</v>
          </cell>
        </row>
        <row r="32">
          <cell r="AY32">
            <v>0</v>
          </cell>
        </row>
        <row r="33">
          <cell r="AY33">
            <v>7.0000000000000007E-2</v>
          </cell>
        </row>
        <row r="34">
          <cell r="AY34">
            <v>0.01</v>
          </cell>
        </row>
        <row r="36">
          <cell r="AY36">
            <v>199.39032460266296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O3">
            <v>21.19153</v>
          </cell>
        </row>
        <row r="5">
          <cell r="O5">
            <v>811</v>
          </cell>
        </row>
        <row r="6">
          <cell r="O6">
            <v>1974</v>
          </cell>
        </row>
      </sheetData>
      <sheetData sheetId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2834</v>
          </cell>
        </row>
        <row r="5">
          <cell r="L5">
            <v>280691</v>
          </cell>
        </row>
        <row r="6">
          <cell r="L6">
            <v>74548</v>
          </cell>
        </row>
      </sheetData>
      <sheetData sheetId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89.3</v>
          </cell>
        </row>
        <row r="5">
          <cell r="K5">
            <v>357.65600000000001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10406.627415000001</v>
          </cell>
        </row>
        <row r="5">
          <cell r="K5">
            <v>85074</v>
          </cell>
        </row>
        <row r="6">
          <cell r="K6">
            <v>57634</v>
          </cell>
        </row>
      </sheetData>
      <sheetData sheetId="1">
        <row r="33">
          <cell r="BO33">
            <v>0.51665847665847664</v>
          </cell>
          <cell r="BP33">
            <v>2.9001048517777144</v>
          </cell>
          <cell r="BQ33">
            <v>2.7473266371175273</v>
          </cell>
          <cell r="BR33">
            <v>4.2487251286221426</v>
          </cell>
        </row>
        <row r="45">
          <cell r="BZ45">
            <v>0.08</v>
          </cell>
        </row>
        <row r="46">
          <cell r="BZ46">
            <v>0.01</v>
          </cell>
        </row>
        <row r="47">
          <cell r="BZ47">
            <v>0</v>
          </cell>
        </row>
        <row r="49">
          <cell r="BZ49">
            <v>139.74223695214539</v>
          </cell>
        </row>
      </sheetData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G3">
            <v>2834</v>
          </cell>
        </row>
        <row r="5">
          <cell r="G5">
            <v>10661</v>
          </cell>
        </row>
        <row r="6">
          <cell r="G6">
            <v>86869</v>
          </cell>
        </row>
      </sheetData>
      <sheetData sheetId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1178</v>
          </cell>
        </row>
        <row r="5">
          <cell r="L5">
            <v>17787</v>
          </cell>
        </row>
        <row r="6">
          <cell r="L6">
            <v>9592</v>
          </cell>
        </row>
      </sheetData>
      <sheetData sheetId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973</v>
          </cell>
        </row>
        <row r="5">
          <cell r="M5">
            <v>17653</v>
          </cell>
        </row>
        <row r="6">
          <cell r="M6">
            <v>0</v>
          </cell>
        </row>
      </sheetData>
      <sheetData sheetId="1">
        <row r="62">
          <cell r="AE62">
            <v>0.01</v>
          </cell>
        </row>
        <row r="63">
          <cell r="AE63">
            <v>0.08</v>
          </cell>
        </row>
        <row r="65">
          <cell r="AE65">
            <v>170.42672158668651</v>
          </cell>
        </row>
      </sheetData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920</v>
          </cell>
        </row>
        <row r="5">
          <cell r="M5">
            <v>17799</v>
          </cell>
        </row>
        <row r="6">
          <cell r="M6">
            <v>56531</v>
          </cell>
        </row>
      </sheetData>
      <sheetData sheetId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208</v>
          </cell>
        </row>
        <row r="5">
          <cell r="L5">
            <v>8885</v>
          </cell>
        </row>
        <row r="6">
          <cell r="L6">
            <v>1488</v>
          </cell>
        </row>
      </sheetData>
      <sheetData sheetId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s"/>
    </sheetNames>
    <sheetDataSet>
      <sheetData sheetId="0">
        <row r="3">
          <cell r="L3">
            <v>2400.107</v>
          </cell>
        </row>
        <row r="5">
          <cell r="L5">
            <v>2585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P3">
            <v>265</v>
          </cell>
        </row>
        <row r="5">
          <cell r="P5">
            <v>7373</v>
          </cell>
        </row>
        <row r="6">
          <cell r="P6">
            <v>2982</v>
          </cell>
        </row>
      </sheetData>
      <sheetData sheetId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260</v>
          </cell>
        </row>
        <row r="5">
          <cell r="L5">
            <v>2562</v>
          </cell>
        </row>
        <row r="6">
          <cell r="L6">
            <v>986</v>
          </cell>
        </row>
      </sheetData>
      <sheetData sheetId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314.36099999999999</v>
          </cell>
        </row>
        <row r="5">
          <cell r="M5">
            <v>5027.4579999999996</v>
          </cell>
        </row>
        <row r="6">
          <cell r="M6">
            <v>0</v>
          </cell>
        </row>
      </sheetData>
      <sheetData sheetId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154.847005</v>
          </cell>
        </row>
        <row r="5">
          <cell r="M5">
            <v>2838.5529999999999</v>
          </cell>
        </row>
        <row r="6">
          <cell r="M6">
            <v>0</v>
          </cell>
        </row>
      </sheetData>
      <sheetData sheetId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O3">
            <v>337.15227500000003</v>
          </cell>
        </row>
        <row r="5">
          <cell r="O5">
            <v>1707</v>
          </cell>
        </row>
        <row r="6">
          <cell r="O6">
            <v>737</v>
          </cell>
        </row>
      </sheetData>
      <sheetData sheetId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73.350695000000002</v>
          </cell>
        </row>
        <row r="5">
          <cell r="J5">
            <v>2074</v>
          </cell>
        </row>
        <row r="6">
          <cell r="J6">
            <v>1144</v>
          </cell>
        </row>
      </sheetData>
      <sheetData sheetId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168.22635200000002</v>
          </cell>
        </row>
        <row r="5">
          <cell r="K5">
            <v>2320</v>
          </cell>
        </row>
        <row r="6">
          <cell r="K6">
            <v>1155</v>
          </cell>
        </row>
      </sheetData>
      <sheetData sheetId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307.78921500000001</v>
          </cell>
        </row>
        <row r="5">
          <cell r="J5">
            <v>7958.5609999999997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101.626785</v>
          </cell>
        </row>
        <row r="5">
          <cell r="M5">
            <v>487.66099999999994</v>
          </cell>
        </row>
        <row r="6">
          <cell r="M6">
            <v>0</v>
          </cell>
        </row>
      </sheetData>
      <sheetData sheetId="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H3">
            <v>302.09080399999999</v>
          </cell>
        </row>
        <row r="5">
          <cell r="H5">
            <v>1019.114</v>
          </cell>
        </row>
        <row r="6">
          <cell r="H6">
            <v>0</v>
          </cell>
        </row>
      </sheetData>
      <sheetData sheetId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73.316999999999993</v>
          </cell>
        </row>
        <row r="5">
          <cell r="K5">
            <v>730.29700000000003</v>
          </cell>
        </row>
        <row r="6">
          <cell r="K6">
            <v>742.125</v>
          </cell>
        </row>
      </sheetData>
      <sheetData sheetId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409.43019500000003</v>
          </cell>
        </row>
        <row r="5">
          <cell r="J5">
            <v>5000</v>
          </cell>
        </row>
        <row r="6">
          <cell r="J6">
            <v>1</v>
          </cell>
        </row>
      </sheetData>
      <sheetData sheetId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IP"/>
    </sheetNames>
    <sheetDataSet>
      <sheetData sheetId="0" refreshError="1">
        <row r="3">
          <cell r="M3">
            <v>2651.5486740000001</v>
          </cell>
        </row>
        <row r="5">
          <cell r="M5">
            <v>48304</v>
          </cell>
        </row>
        <row r="6">
          <cell r="M6">
            <v>9922</v>
          </cell>
        </row>
      </sheetData>
      <sheetData sheetId="1" refreshError="1">
        <row r="50">
          <cell r="AX50">
            <v>0.08</v>
          </cell>
        </row>
        <row r="51">
          <cell r="AX51">
            <v>-0.05</v>
          </cell>
        </row>
        <row r="52">
          <cell r="AX52">
            <v>0.02</v>
          </cell>
        </row>
      </sheetData>
      <sheetData sheetId="2" refreshError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9.6720000000000006</v>
          </cell>
        </row>
        <row r="5">
          <cell r="L5">
            <v>989</v>
          </cell>
        </row>
        <row r="6">
          <cell r="L6">
            <v>346</v>
          </cell>
        </row>
      </sheetData>
      <sheetData sheetId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1613.101071</v>
          </cell>
        </row>
        <row r="5">
          <cell r="L5">
            <v>4428.9520000000002</v>
          </cell>
        </row>
        <row r="6">
          <cell r="L6">
            <v>3740.8040000000001</v>
          </cell>
        </row>
      </sheetData>
      <sheetData sheetId="1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175.99221399999999</v>
          </cell>
        </row>
        <row r="5">
          <cell r="K5">
            <v>57.238999999999997</v>
          </cell>
        </row>
        <row r="6">
          <cell r="K6">
            <v>297.69099999999997</v>
          </cell>
        </row>
      </sheetData>
      <sheetData sheetId="1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N3">
            <v>152.970249</v>
          </cell>
        </row>
        <row r="5">
          <cell r="N5">
            <v>1720.521</v>
          </cell>
        </row>
        <row r="6">
          <cell r="N6">
            <v>23.774999999999999</v>
          </cell>
        </row>
      </sheetData>
      <sheetData sheetId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1322.7</v>
          </cell>
        </row>
        <row r="5">
          <cell r="L5">
            <v>3157</v>
          </cell>
        </row>
        <row r="6">
          <cell r="L6">
            <v>3642.4</v>
          </cell>
        </row>
      </sheetData>
      <sheetData sheetId="1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K3">
            <v>277.33600000000001</v>
          </cell>
        </row>
        <row r="5">
          <cell r="K5">
            <v>1088.94</v>
          </cell>
        </row>
        <row r="6">
          <cell r="K6">
            <v>347.58800000000002</v>
          </cell>
        </row>
      </sheetData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217.27220500000001</v>
          </cell>
        </row>
        <row r="5">
          <cell r="L5">
            <v>1624</v>
          </cell>
        </row>
        <row r="6">
          <cell r="L6">
            <v>2629</v>
          </cell>
        </row>
      </sheetData>
      <sheetData sheetId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87.068664999999996</v>
          </cell>
        </row>
        <row r="5">
          <cell r="M5">
            <v>517.63499999999999</v>
          </cell>
        </row>
        <row r="6">
          <cell r="M6">
            <v>753.40200000000004</v>
          </cell>
        </row>
      </sheetData>
      <sheetData sheetId="1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s"/>
    </sheetNames>
    <sheetDataSet>
      <sheetData sheetId="0">
        <row r="3">
          <cell r="L3">
            <v>2706.2939999999999</v>
          </cell>
        </row>
        <row r="5">
          <cell r="L5">
            <v>486.29999999999995</v>
          </cell>
        </row>
        <row r="6">
          <cell r="L6">
            <v>3842.6</v>
          </cell>
        </row>
      </sheetData>
      <sheetData sheetId="1"/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4">
          <cell r="N4">
            <v>448</v>
          </cell>
        </row>
        <row r="6">
          <cell r="N6">
            <v>7515</v>
          </cell>
        </row>
        <row r="7">
          <cell r="N7">
            <v>5627</v>
          </cell>
        </row>
      </sheetData>
      <sheetData sheetId="1">
        <row r="34">
          <cell r="AP34">
            <v>0.01</v>
          </cell>
        </row>
        <row r="35">
          <cell r="AP35">
            <v>0.03</v>
          </cell>
        </row>
        <row r="36">
          <cell r="AP36">
            <v>0.08</v>
          </cell>
        </row>
      </sheetData>
    </sheetDataSet>
  </externalBook>
</externalLink>
</file>

<file path=xl/externalLinks/externalLink3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4">
          <cell r="O4">
            <v>1238.413</v>
          </cell>
        </row>
        <row r="7">
          <cell r="O7">
            <v>1886413</v>
          </cell>
        </row>
        <row r="8">
          <cell r="O8">
            <v>1455438</v>
          </cell>
        </row>
      </sheetData>
      <sheetData sheetId="1"/>
    </sheetDataSet>
  </externalBook>
</externalLink>
</file>

<file path=xl/externalLinks/externalLink3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N3">
            <v>264.19993099999999</v>
          </cell>
        </row>
        <row r="5">
          <cell r="N5">
            <v>2766</v>
          </cell>
        </row>
        <row r="6">
          <cell r="N6">
            <v>1882</v>
          </cell>
        </row>
      </sheetData>
      <sheetData sheetId="1"/>
    </sheetDataSet>
  </externalBook>
</externalLink>
</file>

<file path=xl/externalLinks/externalLink3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605.13542000000007</v>
          </cell>
        </row>
        <row r="5">
          <cell r="L5">
            <v>2977</v>
          </cell>
        </row>
        <row r="6">
          <cell r="L6">
            <v>989</v>
          </cell>
        </row>
      </sheetData>
      <sheetData sheetId="1"/>
    </sheetDataSet>
  </externalBook>
</externalLink>
</file>

<file path=xl/externalLinks/externalLink4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K3">
            <v>197.07725600000001</v>
          </cell>
        </row>
        <row r="5">
          <cell r="K5">
            <v>4301</v>
          </cell>
        </row>
        <row r="6">
          <cell r="K6">
            <v>1146</v>
          </cell>
        </row>
      </sheetData>
      <sheetData sheetId="1"/>
    </sheetDataSet>
  </externalBook>
</externalLink>
</file>

<file path=xl/externalLinks/externalLink4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s"/>
    </sheetNames>
    <sheetDataSet>
      <sheetData sheetId="0">
        <row r="3">
          <cell r="L3">
            <v>281.86987900000003</v>
          </cell>
        </row>
        <row r="5">
          <cell r="L5">
            <v>4002</v>
          </cell>
        </row>
        <row r="6">
          <cell r="L6">
            <v>6853</v>
          </cell>
        </row>
      </sheetData>
      <sheetData sheetId="1"/>
    </sheetDataSet>
  </externalBook>
</externalLink>
</file>

<file path=xl/externalLinks/externalLink4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1047</v>
          </cell>
        </row>
        <row r="5">
          <cell r="M5">
            <v>18269</v>
          </cell>
        </row>
        <row r="6">
          <cell r="M6">
            <v>9727</v>
          </cell>
        </row>
      </sheetData>
      <sheetData sheetId="1"/>
    </sheetDataSet>
  </externalBook>
</externalLink>
</file>

<file path=xl/externalLinks/externalLink4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Brokers"/>
    </sheetNames>
    <sheetDataSet>
      <sheetData sheetId="0">
        <row r="3">
          <cell r="L3">
            <v>884.55399999999997</v>
          </cell>
        </row>
        <row r="5">
          <cell r="L5">
            <v>7251</v>
          </cell>
        </row>
        <row r="6">
          <cell r="L6">
            <v>0</v>
          </cell>
        </row>
      </sheetData>
      <sheetData sheetId="1"/>
      <sheetData sheetId="2"/>
    </sheetDataSet>
  </externalBook>
</externalLink>
</file>

<file path=xl/externalLinks/externalLink4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2449.375</v>
          </cell>
          <cell r="O3">
            <v>19595</v>
          </cell>
        </row>
        <row r="5">
          <cell r="O5">
            <v>1029873</v>
          </cell>
        </row>
        <row r="6">
          <cell r="O6">
            <v>207937</v>
          </cell>
        </row>
      </sheetData>
      <sheetData sheetId="1"/>
    </sheetDataSet>
  </externalBook>
</externalLink>
</file>

<file path=xl/externalLinks/externalLink4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633.17718300000001</v>
          </cell>
        </row>
        <row r="5">
          <cell r="L5">
            <v>9629.1059999999998</v>
          </cell>
        </row>
        <row r="6">
          <cell r="L6">
            <v>1985.6590000000001</v>
          </cell>
        </row>
      </sheetData>
      <sheetData sheetId="1"/>
    </sheetDataSet>
  </externalBook>
</externalLink>
</file>

<file path=xl/externalLinks/externalLink4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1260</v>
          </cell>
        </row>
        <row r="5">
          <cell r="M5">
            <v>7246.6900000000005</v>
          </cell>
        </row>
        <row r="6">
          <cell r="M6">
            <v>911.54899999999998</v>
          </cell>
        </row>
      </sheetData>
      <sheetData sheetId="1"/>
    </sheetDataSet>
  </externalBook>
</externalLink>
</file>

<file path=xl/externalLinks/externalLink4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108.748718</v>
          </cell>
        </row>
        <row r="5">
          <cell r="K5">
            <v>555.70900000000006</v>
          </cell>
        </row>
        <row r="6">
          <cell r="K6">
            <v>1719</v>
          </cell>
        </row>
      </sheetData>
      <sheetData sheetId="1"/>
    </sheetDataSet>
  </externalBook>
</externalLink>
</file>

<file path=xl/externalLinks/externalLink4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103.66987899999999</v>
          </cell>
        </row>
        <row r="5">
          <cell r="K5">
            <v>605.38900000000001</v>
          </cell>
        </row>
        <row r="6">
          <cell r="K6">
            <v>600.91700000000003</v>
          </cell>
        </row>
      </sheetData>
      <sheetData sheetId="1"/>
    </sheetDataSet>
  </externalBook>
</externalLink>
</file>

<file path=xl/externalLinks/externalLink4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N3">
            <v>341.70273399999996</v>
          </cell>
        </row>
        <row r="5">
          <cell r="N5">
            <v>1757.3970000000002</v>
          </cell>
        </row>
        <row r="6">
          <cell r="N6">
            <v>1285.3420000000001</v>
          </cell>
        </row>
      </sheetData>
      <sheetData sheetId="1"/>
    </sheetDataSet>
  </externalBook>
</externalLink>
</file>

<file path=xl/externalLinks/externalLink5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535.6</v>
          </cell>
        </row>
        <row r="5">
          <cell r="K5">
            <v>1115</v>
          </cell>
        </row>
        <row r="6">
          <cell r="K6">
            <v>0</v>
          </cell>
        </row>
      </sheetData>
      <sheetData sheetId="1" refreshError="1"/>
    </sheetDataSet>
  </externalBook>
</externalLink>
</file>

<file path=xl/externalLinks/externalLink5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811.04812700000002</v>
          </cell>
        </row>
        <row r="5">
          <cell r="K5">
            <v>1203</v>
          </cell>
        </row>
        <row r="6">
          <cell r="K6">
            <v>0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41" dT="2022-08-24T01:15:21.27" personId="{00000000-0000-0000-0000-000000000000}" id="{9A7BDD87-4728-4B2C-A2F9-F452DF1FAEF5}">
    <text>Series A with ARod, Thrive, Tiger, Marc Lore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ATVI.xlsx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CSU%20CN.xlsx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BIDU.xlsx" TargetMode="External"/><Relationship Id="rId1" Type="http://schemas.openxmlformats.org/officeDocument/2006/relationships/hyperlink" Target="GOOG.xlsx" TargetMode="External"/><Relationship Id="rId6" Type="http://schemas.openxmlformats.org/officeDocument/2006/relationships/hyperlink" Target="BIDU.xlsx" TargetMode="External"/><Relationship Id="rId5" Type="http://schemas.openxmlformats.org/officeDocument/2006/relationships/hyperlink" Target="OPRA.xlsx" TargetMode="External"/><Relationship Id="rId4" Type="http://schemas.openxmlformats.org/officeDocument/2006/relationships/hyperlink" Target="MSFT.xlsx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OKTA.xlsx" TargetMode="External"/><Relationship Id="rId13" Type="http://schemas.openxmlformats.org/officeDocument/2006/relationships/hyperlink" Target="IBM.xlsx" TargetMode="External"/><Relationship Id="rId18" Type="http://schemas.openxmlformats.org/officeDocument/2006/relationships/hyperlink" Target="BRZE.xlsx" TargetMode="External"/><Relationship Id="rId3" Type="http://schemas.openxmlformats.org/officeDocument/2006/relationships/hyperlink" Target="SAP.xlsx" TargetMode="External"/><Relationship Id="rId7" Type="http://schemas.openxmlformats.org/officeDocument/2006/relationships/hyperlink" Target="SNOW.xlsx" TargetMode="External"/><Relationship Id="rId12" Type="http://schemas.openxmlformats.org/officeDocument/2006/relationships/hyperlink" Target="PLTR.xlsx" TargetMode="External"/><Relationship Id="rId17" Type="http://schemas.openxmlformats.org/officeDocument/2006/relationships/hyperlink" Target="QXO.xlsx" TargetMode="External"/><Relationship Id="rId2" Type="http://schemas.openxmlformats.org/officeDocument/2006/relationships/hyperlink" Target="CRM.xlsx" TargetMode="External"/><Relationship Id="rId16" Type="http://schemas.openxmlformats.org/officeDocument/2006/relationships/hyperlink" Target="FRSH.xlsx" TargetMode="External"/><Relationship Id="rId20" Type="http://schemas.openxmlformats.org/officeDocument/2006/relationships/printerSettings" Target="../printerSettings/printerSettings3.bin"/><Relationship Id="rId1" Type="http://schemas.openxmlformats.org/officeDocument/2006/relationships/hyperlink" Target="ORCL.xlsx" TargetMode="External"/><Relationship Id="rId6" Type="http://schemas.openxmlformats.org/officeDocument/2006/relationships/hyperlink" Target="WDAY.xlsx" TargetMode="External"/><Relationship Id="rId11" Type="http://schemas.openxmlformats.org/officeDocument/2006/relationships/hyperlink" Target="AMZN.xlsx" TargetMode="External"/><Relationship Id="rId5" Type="http://schemas.openxmlformats.org/officeDocument/2006/relationships/hyperlink" Target="TEAM.xlsx" TargetMode="External"/><Relationship Id="rId15" Type="http://schemas.openxmlformats.org/officeDocument/2006/relationships/hyperlink" Target="MDB.xlsx" TargetMode="External"/><Relationship Id="rId10" Type="http://schemas.openxmlformats.org/officeDocument/2006/relationships/hyperlink" Target="VEEV.xlsx" TargetMode="External"/><Relationship Id="rId19" Type="http://schemas.openxmlformats.org/officeDocument/2006/relationships/hyperlink" Target="FIVN.xlsx" TargetMode="External"/><Relationship Id="rId4" Type="http://schemas.openxmlformats.org/officeDocument/2006/relationships/hyperlink" Target="NOW.xlsx" TargetMode="External"/><Relationship Id="rId9" Type="http://schemas.openxmlformats.org/officeDocument/2006/relationships/hyperlink" Target="DDOG.xlsx" TargetMode="External"/><Relationship Id="rId14" Type="http://schemas.openxmlformats.org/officeDocument/2006/relationships/hyperlink" Target="ZM.xlsx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035420%20KS%20Naver.xlsx" TargetMode="External"/><Relationship Id="rId2" Type="http://schemas.openxmlformats.org/officeDocument/2006/relationships/hyperlink" Target="700%20HK.xlsx" TargetMode="External"/><Relationship Id="rId1" Type="http://schemas.openxmlformats.org/officeDocument/2006/relationships/hyperlink" Target="META.xlsx" TargetMode="External"/><Relationship Id="rId5" Type="http://schemas.openxmlformats.org/officeDocument/2006/relationships/printerSettings" Target="../printerSettings/printerSettings4.bin"/><Relationship Id="rId4" Type="http://schemas.openxmlformats.org/officeDocument/2006/relationships/hyperlink" Target="SNAP.xlsx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5.bin"/><Relationship Id="rId3" Type="http://schemas.openxmlformats.org/officeDocument/2006/relationships/hyperlink" Target="CDNS.xlsx" TargetMode="External"/><Relationship Id="rId7" Type="http://schemas.openxmlformats.org/officeDocument/2006/relationships/hyperlink" Target="MBLY.xlsx" TargetMode="External"/><Relationship Id="rId2" Type="http://schemas.openxmlformats.org/officeDocument/2006/relationships/hyperlink" Target="ADSK.xlsx" TargetMode="External"/><Relationship Id="rId1" Type="http://schemas.openxmlformats.org/officeDocument/2006/relationships/hyperlink" Target="DSY%20FP.xlsx" TargetMode="External"/><Relationship Id="rId6" Type="http://schemas.openxmlformats.org/officeDocument/2006/relationships/hyperlink" Target="HEXA.xlsx" TargetMode="External"/><Relationship Id="rId5" Type="http://schemas.openxmlformats.org/officeDocument/2006/relationships/hyperlink" Target="ANSS.xlsx" TargetMode="External"/><Relationship Id="rId4" Type="http://schemas.openxmlformats.org/officeDocument/2006/relationships/hyperlink" Target="SNPS.xlsx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SONY.xlsx" TargetMode="External"/><Relationship Id="rId3" Type="http://schemas.openxmlformats.org/officeDocument/2006/relationships/hyperlink" Target="700%20HK.xlsx" TargetMode="External"/><Relationship Id="rId7" Type="http://schemas.openxmlformats.org/officeDocument/2006/relationships/hyperlink" Target="SONY.xlsx" TargetMode="External"/><Relationship Id="rId2" Type="http://schemas.openxmlformats.org/officeDocument/2006/relationships/hyperlink" Target="MSFT.xlsx" TargetMode="External"/><Relationship Id="rId1" Type="http://schemas.openxmlformats.org/officeDocument/2006/relationships/hyperlink" Target="RBLX.xlsx" TargetMode="External"/><Relationship Id="rId6" Type="http://schemas.openxmlformats.org/officeDocument/2006/relationships/hyperlink" Target="../../../OneDrive/Models%20Backup/SPOT.xlsx" TargetMode="External"/><Relationship Id="rId5" Type="http://schemas.openxmlformats.org/officeDocument/2006/relationships/hyperlink" Target="ADBE.xlsx" TargetMode="External"/><Relationship Id="rId4" Type="http://schemas.openxmlformats.org/officeDocument/2006/relationships/hyperlink" Target="EA.xlsx" TargetMode="External"/><Relationship Id="rId9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OOD.xlsx" TargetMode="External"/><Relationship Id="rId7" Type="http://schemas.microsoft.com/office/2017/10/relationships/threadedComment" Target="../threadedComments/threadedComment1.xml"/><Relationship Id="rId2" Type="http://schemas.openxmlformats.org/officeDocument/2006/relationships/hyperlink" Target="PYPL.xlsx" TargetMode="External"/><Relationship Id="rId1" Type="http://schemas.openxmlformats.org/officeDocument/2006/relationships/hyperlink" Target="INTU.xlsx" TargetMode="External"/><Relationship Id="rId6" Type="http://schemas.openxmlformats.org/officeDocument/2006/relationships/comments" Target="../comments1.xml"/><Relationship Id="rId5" Type="http://schemas.openxmlformats.org/officeDocument/2006/relationships/vmlDrawing" Target="../drawings/vmlDrawing1.vml"/><Relationship Id="rId4" Type="http://schemas.openxmlformats.org/officeDocument/2006/relationships/hyperlink" Target="TOST.xlsx" TargetMode="Externa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7.bin"/><Relationship Id="rId3" Type="http://schemas.openxmlformats.org/officeDocument/2006/relationships/hyperlink" Target="SHOP.xlsx" TargetMode="External"/><Relationship Id="rId7" Type="http://schemas.openxmlformats.org/officeDocument/2006/relationships/hyperlink" Target="CHGG.xlsx" TargetMode="External"/><Relationship Id="rId2" Type="http://schemas.openxmlformats.org/officeDocument/2006/relationships/hyperlink" Target="AMZN.xlsx" TargetMode="External"/><Relationship Id="rId1" Type="http://schemas.openxmlformats.org/officeDocument/2006/relationships/hyperlink" Target="BABA.xlsx" TargetMode="External"/><Relationship Id="rId6" Type="http://schemas.openxmlformats.org/officeDocument/2006/relationships/hyperlink" Target="RDFN.xlsx" TargetMode="External"/><Relationship Id="rId5" Type="http://schemas.openxmlformats.org/officeDocument/2006/relationships/hyperlink" Target="ABNB.xlsx" TargetMode="External"/><Relationship Id="rId4" Type="http://schemas.openxmlformats.org/officeDocument/2006/relationships/hyperlink" Target="BABA.xlsx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NET.xlsx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DBDC7-DC6F-4550-A83F-1B2B66C2DF19}">
  <dimension ref="A1:J11"/>
  <sheetViews>
    <sheetView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G27" sqref="G27"/>
    </sheetView>
  </sheetViews>
  <sheetFormatPr baseColWidth="10" defaultColWidth="9.1640625" defaultRowHeight="13" x14ac:dyDescent="0.15"/>
  <cols>
    <col min="1" max="1" width="5.5" style="148" bestFit="1" customWidth="1"/>
    <col min="2" max="2" width="18.33203125" style="148" bestFit="1" customWidth="1"/>
    <col min="3" max="16384" width="9.1640625" style="148"/>
  </cols>
  <sheetData>
    <row r="1" spans="1:10" x14ac:dyDescent="0.15">
      <c r="A1" s="148" t="s">
        <v>142</v>
      </c>
    </row>
    <row r="2" spans="1:10" x14ac:dyDescent="0.15">
      <c r="D2" s="148" t="s">
        <v>452</v>
      </c>
    </row>
    <row r="3" spans="1:10" x14ac:dyDescent="0.15">
      <c r="B3" s="148" t="s">
        <v>456</v>
      </c>
      <c r="C3" s="148" t="s">
        <v>256</v>
      </c>
    </row>
    <row r="4" spans="1:10" x14ac:dyDescent="0.15">
      <c r="B4" s="148" t="s">
        <v>457</v>
      </c>
      <c r="C4" s="148" t="s">
        <v>458</v>
      </c>
    </row>
    <row r="5" spans="1:10" x14ac:dyDescent="0.15">
      <c r="B5" s="148" t="s">
        <v>416</v>
      </c>
      <c r="C5" s="148" t="s">
        <v>13</v>
      </c>
    </row>
    <row r="6" spans="1:10" x14ac:dyDescent="0.15">
      <c r="B6" s="148" t="s">
        <v>459</v>
      </c>
      <c r="C6" s="148" t="s">
        <v>13</v>
      </c>
    </row>
    <row r="7" spans="1:10" x14ac:dyDescent="0.15">
      <c r="B7" s="148" t="s">
        <v>460</v>
      </c>
      <c r="C7" s="148" t="s">
        <v>13</v>
      </c>
    </row>
    <row r="8" spans="1:10" x14ac:dyDescent="0.15">
      <c r="B8" s="148" t="s">
        <v>461</v>
      </c>
      <c r="C8" s="148" t="s">
        <v>462</v>
      </c>
      <c r="D8" s="148">
        <v>1999</v>
      </c>
    </row>
    <row r="9" spans="1:10" x14ac:dyDescent="0.15">
      <c r="B9" s="148" t="s">
        <v>463</v>
      </c>
      <c r="C9" s="148" t="s">
        <v>7</v>
      </c>
    </row>
    <row r="10" spans="1:10" x14ac:dyDescent="0.15">
      <c r="B10" s="151" t="s">
        <v>484</v>
      </c>
      <c r="C10" s="151" t="s">
        <v>256</v>
      </c>
      <c r="D10" s="148">
        <v>1994</v>
      </c>
    </row>
    <row r="11" spans="1:10" s="10" customFormat="1" x14ac:dyDescent="0.15">
      <c r="A11" s="69"/>
      <c r="B11" s="5" t="s">
        <v>169</v>
      </c>
      <c r="C11" s="10" t="s">
        <v>170</v>
      </c>
      <c r="D11" s="10">
        <v>73.88</v>
      </c>
      <c r="E11" s="46">
        <f>+D11*H11</f>
        <v>57820.358567719995</v>
      </c>
      <c r="F11" s="46">
        <f>+[1]Main!$J$5-[1]Main!$J$6</f>
        <v>7078</v>
      </c>
      <c r="G11" s="22">
        <f>+E11-F11</f>
        <v>50742.358567719995</v>
      </c>
      <c r="H11" s="46">
        <f>+[1]Main!$J$3</f>
        <v>782.62531899999999</v>
      </c>
      <c r="I11" s="110" t="s">
        <v>351</v>
      </c>
      <c r="J11" s="54">
        <v>44946</v>
      </c>
    </row>
  </sheetData>
  <hyperlinks>
    <hyperlink ref="B11" r:id="rId1" xr:uid="{54D233D9-C949-4228-9F3B-6F4618FC7C4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2F021-B9D2-4E87-AC34-DE48FE1C4298}">
  <dimension ref="A1:D3"/>
  <sheetViews>
    <sheetView zoomScale="220" zoomScaleNormal="22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E2" sqref="E2"/>
    </sheetView>
  </sheetViews>
  <sheetFormatPr baseColWidth="10" defaultColWidth="8.83203125" defaultRowHeight="13" x14ac:dyDescent="0.15"/>
  <cols>
    <col min="1" max="1" width="5" style="152" bestFit="1" customWidth="1"/>
    <col min="2" max="16384" width="8.83203125" style="152"/>
  </cols>
  <sheetData>
    <row r="1" spans="1:4" x14ac:dyDescent="0.15">
      <c r="A1" s="5" t="s">
        <v>142</v>
      </c>
    </row>
    <row r="2" spans="1:4" x14ac:dyDescent="0.15">
      <c r="B2" s="152" t="s">
        <v>224</v>
      </c>
      <c r="C2" s="152" t="s">
        <v>487</v>
      </c>
      <c r="D2" s="152" t="s">
        <v>488</v>
      </c>
    </row>
    <row r="3" spans="1:4" x14ac:dyDescent="0.15">
      <c r="B3" s="152" t="s">
        <v>485</v>
      </c>
      <c r="C3" s="152" t="s">
        <v>486</v>
      </c>
    </row>
  </sheetData>
  <hyperlinks>
    <hyperlink ref="A1" location="Main!A1" display="Main" xr:uid="{F932B4CB-FD6F-4FF3-B3DF-BADEA533B1E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A44C1-F876-4F6A-A905-60D0CF343544}">
  <dimension ref="A1:C12"/>
  <sheetViews>
    <sheetView workbookViewId="0"/>
  </sheetViews>
  <sheetFormatPr baseColWidth="10" defaultColWidth="9.1640625" defaultRowHeight="13" x14ac:dyDescent="0.15"/>
  <cols>
    <col min="1" max="1" width="5" style="105" bestFit="1" customWidth="1"/>
    <col min="2" max="16384" width="9.1640625" style="105"/>
  </cols>
  <sheetData>
    <row r="1" spans="1:3" x14ac:dyDescent="0.15">
      <c r="A1" s="5" t="s">
        <v>142</v>
      </c>
    </row>
    <row r="2" spans="1:3" x14ac:dyDescent="0.15">
      <c r="A2" s="5"/>
      <c r="B2" s="105" t="s">
        <v>19</v>
      </c>
    </row>
    <row r="3" spans="1:3" x14ac:dyDescent="0.15">
      <c r="B3" s="105" t="s">
        <v>339</v>
      </c>
      <c r="C3" s="105" t="s">
        <v>340</v>
      </c>
    </row>
    <row r="4" spans="1:3" x14ac:dyDescent="0.15">
      <c r="B4" s="105" t="s">
        <v>341</v>
      </c>
      <c r="C4" s="105" t="s">
        <v>342</v>
      </c>
    </row>
    <row r="5" spans="1:3" x14ac:dyDescent="0.15">
      <c r="B5" s="105" t="s">
        <v>343</v>
      </c>
    </row>
    <row r="6" spans="1:3" x14ac:dyDescent="0.15">
      <c r="B6" s="105" t="s">
        <v>336</v>
      </c>
    </row>
    <row r="7" spans="1:3" x14ac:dyDescent="0.15">
      <c r="B7" s="105" t="s">
        <v>334</v>
      </c>
    </row>
    <row r="8" spans="1:3" x14ac:dyDescent="0.15">
      <c r="B8" s="105" t="s">
        <v>338</v>
      </c>
    </row>
    <row r="9" spans="1:3" x14ac:dyDescent="0.15">
      <c r="B9" s="105" t="s">
        <v>335</v>
      </c>
    </row>
    <row r="10" spans="1:3" x14ac:dyDescent="0.15">
      <c r="B10" s="105" t="s">
        <v>344</v>
      </c>
    </row>
    <row r="11" spans="1:3" x14ac:dyDescent="0.15">
      <c r="B11" s="105" t="s">
        <v>345</v>
      </c>
    </row>
    <row r="12" spans="1:3" x14ac:dyDescent="0.15">
      <c r="B12" s="105" t="s">
        <v>337</v>
      </c>
    </row>
  </sheetData>
  <hyperlinks>
    <hyperlink ref="A1" location="Main!A1" display="Main" xr:uid="{6883381D-CC78-420C-B33D-9D88ACC7CFD7}"/>
  </hyperlinks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CBFEC-29DF-40E8-ABA2-B3BB501AC0C1}">
  <dimension ref="A1:O25"/>
  <sheetViews>
    <sheetView zoomScale="190" zoomScaleNormal="19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baseColWidth="10" defaultColWidth="9.1640625" defaultRowHeight="13" x14ac:dyDescent="0.15"/>
  <cols>
    <col min="1" max="1" width="5" style="133" bestFit="1" customWidth="1"/>
    <col min="2" max="2" width="12.6640625" style="133" customWidth="1"/>
    <col min="3" max="16384" width="9.1640625" style="133"/>
  </cols>
  <sheetData>
    <row r="1" spans="1:15" x14ac:dyDescent="0.15">
      <c r="A1" s="5" t="s">
        <v>142</v>
      </c>
    </row>
    <row r="2" spans="1:15" x14ac:dyDescent="0.15">
      <c r="B2" s="133" t="s">
        <v>0</v>
      </c>
      <c r="C2" s="133">
        <v>2010</v>
      </c>
      <c r="D2" s="133">
        <f>C2+1</f>
        <v>2011</v>
      </c>
      <c r="E2" s="133">
        <f t="shared" ref="E2:O2" si="0">D2+1</f>
        <v>2012</v>
      </c>
      <c r="F2" s="133">
        <f t="shared" si="0"/>
        <v>2013</v>
      </c>
      <c r="G2" s="133">
        <f t="shared" si="0"/>
        <v>2014</v>
      </c>
      <c r="H2" s="133">
        <f t="shared" si="0"/>
        <v>2015</v>
      </c>
      <c r="I2" s="133">
        <f t="shared" si="0"/>
        <v>2016</v>
      </c>
      <c r="J2" s="133">
        <f t="shared" si="0"/>
        <v>2017</v>
      </c>
      <c r="K2" s="133">
        <f t="shared" si="0"/>
        <v>2018</v>
      </c>
      <c r="L2" s="133">
        <f t="shared" si="0"/>
        <v>2019</v>
      </c>
      <c r="M2" s="133">
        <f t="shared" si="0"/>
        <v>2020</v>
      </c>
      <c r="N2" s="133">
        <f t="shared" si="0"/>
        <v>2021</v>
      </c>
      <c r="O2" s="133">
        <f t="shared" si="0"/>
        <v>2022</v>
      </c>
    </row>
    <row r="3" spans="1:15" x14ac:dyDescent="0.15">
      <c r="B3" s="137" t="s">
        <v>419</v>
      </c>
      <c r="C3" s="134">
        <f>SUM(C5:C25)</f>
        <v>62484</v>
      </c>
      <c r="D3" s="134">
        <f t="shared" ref="D3:O3" si="1">SUM(D5:D25)</f>
        <v>69943</v>
      </c>
      <c r="E3" s="134">
        <f t="shared" si="1"/>
        <v>119762</v>
      </c>
      <c r="F3" s="134">
        <f t="shared" si="1"/>
        <v>141240</v>
      </c>
      <c r="G3" s="134">
        <f t="shared" si="1"/>
        <v>169944</v>
      </c>
      <c r="H3" s="134">
        <f t="shared" si="1"/>
        <v>194377</v>
      </c>
      <c r="I3" s="134">
        <f t="shared" si="1"/>
        <v>253177</v>
      </c>
      <c r="J3" s="134">
        <f t="shared" si="1"/>
        <v>305432</v>
      </c>
      <c r="K3" s="134">
        <f t="shared" si="1"/>
        <v>371389</v>
      </c>
      <c r="L3" s="134">
        <f t="shared" si="1"/>
        <v>436330</v>
      </c>
      <c r="M3" s="134">
        <f t="shared" si="1"/>
        <v>503965</v>
      </c>
      <c r="N3" s="134">
        <f t="shared" si="1"/>
        <v>718643</v>
      </c>
      <c r="O3" s="138">
        <f t="shared" si="1"/>
        <v>825015.8</v>
      </c>
    </row>
    <row r="5" spans="1:15" x14ac:dyDescent="0.15">
      <c r="B5" s="133" t="s">
        <v>9</v>
      </c>
      <c r="E5" s="134">
        <v>46039</v>
      </c>
      <c r="F5" s="134">
        <v>55519</v>
      </c>
      <c r="G5" s="134">
        <v>66001</v>
      </c>
      <c r="H5" s="134">
        <v>74989</v>
      </c>
      <c r="I5" s="134">
        <v>90272</v>
      </c>
      <c r="J5" s="134">
        <v>110855</v>
      </c>
      <c r="K5" s="134">
        <v>136819</v>
      </c>
      <c r="L5" s="134">
        <v>161857</v>
      </c>
      <c r="M5" s="134">
        <v>182527</v>
      </c>
      <c r="N5" s="134">
        <v>257637</v>
      </c>
      <c r="O5" s="134">
        <v>282836</v>
      </c>
    </row>
    <row r="6" spans="1:15" x14ac:dyDescent="0.15">
      <c r="B6" s="133" t="s">
        <v>7</v>
      </c>
      <c r="C6" s="134">
        <v>62484</v>
      </c>
      <c r="D6" s="134">
        <v>69943</v>
      </c>
      <c r="E6" s="134">
        <v>73723</v>
      </c>
      <c r="F6" s="134">
        <v>77849</v>
      </c>
      <c r="G6" s="134">
        <v>86833</v>
      </c>
      <c r="H6" s="134">
        <v>93580</v>
      </c>
      <c r="I6" s="134">
        <v>85320</v>
      </c>
      <c r="J6" s="134">
        <v>96571</v>
      </c>
      <c r="K6" s="134">
        <v>110360</v>
      </c>
      <c r="L6" s="134">
        <v>125843</v>
      </c>
      <c r="M6" s="134">
        <v>143015</v>
      </c>
      <c r="N6" s="134">
        <v>184903</v>
      </c>
      <c r="O6" s="134">
        <v>204094</v>
      </c>
    </row>
    <row r="7" spans="1:15" x14ac:dyDescent="0.15">
      <c r="B7" s="133" t="s">
        <v>13</v>
      </c>
      <c r="F7" s="134">
        <v>7872</v>
      </c>
      <c r="G7" s="134">
        <v>12466</v>
      </c>
      <c r="H7" s="134">
        <v>17928</v>
      </c>
      <c r="I7" s="134">
        <v>27638</v>
      </c>
      <c r="J7" s="134">
        <v>40653</v>
      </c>
      <c r="K7" s="134">
        <v>55838</v>
      </c>
      <c r="L7" s="134">
        <v>70697</v>
      </c>
      <c r="M7" s="134">
        <v>85965</v>
      </c>
      <c r="N7" s="134">
        <v>117929</v>
      </c>
      <c r="O7" s="134">
        <v>116609</v>
      </c>
    </row>
    <row r="8" spans="1:15" x14ac:dyDescent="0.15">
      <c r="B8" s="133" t="s">
        <v>407</v>
      </c>
      <c r="G8" s="134">
        <v>4644</v>
      </c>
      <c r="H8" s="134">
        <v>7880</v>
      </c>
      <c r="I8" s="134">
        <v>12219</v>
      </c>
      <c r="J8" s="134">
        <v>17459</v>
      </c>
      <c r="K8" s="134">
        <v>25655</v>
      </c>
      <c r="L8" s="134">
        <v>35026</v>
      </c>
      <c r="M8" s="134">
        <v>45370</v>
      </c>
      <c r="N8" s="134">
        <v>62202</v>
      </c>
      <c r="O8" s="134">
        <v>80096</v>
      </c>
    </row>
    <row r="9" spans="1:15" x14ac:dyDescent="0.15">
      <c r="B9" s="133" t="s">
        <v>23</v>
      </c>
      <c r="I9" s="134">
        <v>37728</v>
      </c>
      <c r="J9" s="134">
        <v>39831</v>
      </c>
      <c r="K9" s="134">
        <v>39506</v>
      </c>
      <c r="L9" s="134">
        <v>39068</v>
      </c>
      <c r="M9" s="134">
        <v>40479</v>
      </c>
      <c r="N9" s="134">
        <v>42440</v>
      </c>
      <c r="O9" s="134">
        <v>46073</v>
      </c>
    </row>
    <row r="10" spans="1:15" x14ac:dyDescent="0.15">
      <c r="B10" s="133" t="s">
        <v>25</v>
      </c>
      <c r="N10" s="134">
        <v>27843</v>
      </c>
      <c r="O10" s="135">
        <f>N10*1.1</f>
        <v>30627.300000000003</v>
      </c>
    </row>
    <row r="11" spans="1:15" x14ac:dyDescent="0.15">
      <c r="B11" s="133" t="s">
        <v>21</v>
      </c>
      <c r="O11" s="135">
        <v>30294</v>
      </c>
    </row>
    <row r="12" spans="1:15" x14ac:dyDescent="0.15">
      <c r="B12" s="133" t="s">
        <v>19</v>
      </c>
      <c r="N12" s="134">
        <v>15785</v>
      </c>
      <c r="O12" s="135">
        <f>N12*1.1</f>
        <v>17363.5</v>
      </c>
    </row>
    <row r="13" spans="1:15" x14ac:dyDescent="0.15">
      <c r="B13" s="133" t="s">
        <v>408</v>
      </c>
      <c r="J13" s="134">
        <v>63</v>
      </c>
      <c r="K13" s="134">
        <v>150</v>
      </c>
      <c r="L13" s="134">
        <v>350</v>
      </c>
      <c r="M13" s="134">
        <v>2640</v>
      </c>
      <c r="N13" s="134">
        <v>4697</v>
      </c>
      <c r="O13" s="134">
        <v>9401</v>
      </c>
    </row>
    <row r="14" spans="1:15" x14ac:dyDescent="0.15">
      <c r="B14" s="133" t="s">
        <v>256</v>
      </c>
    </row>
    <row r="15" spans="1:15" x14ac:dyDescent="0.15">
      <c r="B15" s="133" t="s">
        <v>44</v>
      </c>
    </row>
    <row r="16" spans="1:15" x14ac:dyDescent="0.15">
      <c r="B16" s="133" t="s">
        <v>172</v>
      </c>
    </row>
    <row r="17" spans="2:15" x14ac:dyDescent="0.15">
      <c r="B17" s="133" t="s">
        <v>29</v>
      </c>
    </row>
    <row r="18" spans="2:15" x14ac:dyDescent="0.15">
      <c r="B18" s="133" t="s">
        <v>409</v>
      </c>
    </row>
    <row r="19" spans="2:15" x14ac:dyDescent="0.15">
      <c r="B19" s="137" t="s">
        <v>174</v>
      </c>
      <c r="K19" s="134">
        <v>3061</v>
      </c>
      <c r="L19" s="134">
        <v>3489</v>
      </c>
      <c r="M19" s="134">
        <v>3969</v>
      </c>
      <c r="N19" s="134">
        <v>5107</v>
      </c>
      <c r="O19" s="134">
        <v>6622</v>
      </c>
    </row>
    <row r="20" spans="2:15" x14ac:dyDescent="0.15">
      <c r="B20" s="133" t="s">
        <v>33</v>
      </c>
    </row>
    <row r="21" spans="2:15" x14ac:dyDescent="0.15">
      <c r="B21" s="133" t="s">
        <v>393</v>
      </c>
      <c r="N21" s="134">
        <v>100</v>
      </c>
      <c r="O21" s="134">
        <v>1000</v>
      </c>
    </row>
    <row r="22" spans="2:15" x14ac:dyDescent="0.15">
      <c r="B22" s="133" t="s">
        <v>40</v>
      </c>
    </row>
    <row r="23" spans="2:15" x14ac:dyDescent="0.15">
      <c r="B23" s="133" t="s">
        <v>50</v>
      </c>
    </row>
    <row r="24" spans="2:15" x14ac:dyDescent="0.15">
      <c r="B24" s="133" t="s">
        <v>52</v>
      </c>
    </row>
    <row r="25" spans="2:15" x14ac:dyDescent="0.15">
      <c r="B25" s="133" t="s">
        <v>296</v>
      </c>
    </row>
  </sheetData>
  <hyperlinks>
    <hyperlink ref="A1" location="Main!A1" display="Main" xr:uid="{04070A17-ACBF-4452-AFD7-3FBDA4940F36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D91D0-A718-45C3-9EF2-C01D7940E5D3}">
  <dimension ref="A1:C15"/>
  <sheetViews>
    <sheetView zoomScale="175" zoomScaleNormal="175" workbookViewId="0"/>
  </sheetViews>
  <sheetFormatPr baseColWidth="10" defaultColWidth="9.1640625" defaultRowHeight="13" x14ac:dyDescent="0.15"/>
  <cols>
    <col min="1" max="1" width="5" style="105" bestFit="1" customWidth="1"/>
    <col min="2" max="2" width="10.5" style="105" customWidth="1"/>
    <col min="3" max="16384" width="9.1640625" style="105"/>
  </cols>
  <sheetData>
    <row r="1" spans="1:3" x14ac:dyDescent="0.15">
      <c r="A1" s="5" t="s">
        <v>142</v>
      </c>
    </row>
    <row r="2" spans="1:3" x14ac:dyDescent="0.15">
      <c r="A2" s="5"/>
      <c r="B2" s="137" t="s">
        <v>417</v>
      </c>
    </row>
    <row r="3" spans="1:3" x14ac:dyDescent="0.15">
      <c r="A3" s="5"/>
      <c r="B3" s="137" t="s">
        <v>413</v>
      </c>
    </row>
    <row r="4" spans="1:3" x14ac:dyDescent="0.15">
      <c r="A4" s="5"/>
      <c r="B4" s="137" t="s">
        <v>416</v>
      </c>
    </row>
    <row r="5" spans="1:3" x14ac:dyDescent="0.15">
      <c r="A5" s="5"/>
      <c r="B5" s="137" t="s">
        <v>414</v>
      </c>
    </row>
    <row r="6" spans="1:3" x14ac:dyDescent="0.15">
      <c r="A6" s="5"/>
      <c r="B6" s="137" t="s">
        <v>418</v>
      </c>
    </row>
    <row r="7" spans="1:3" x14ac:dyDescent="0.15">
      <c r="A7" s="5"/>
      <c r="B7" s="137" t="s">
        <v>415</v>
      </c>
    </row>
    <row r="8" spans="1:3" x14ac:dyDescent="0.15">
      <c r="A8" s="5"/>
      <c r="B8" s="137"/>
    </row>
    <row r="9" spans="1:3" x14ac:dyDescent="0.15">
      <c r="A9" s="5"/>
      <c r="B9" s="137"/>
    </row>
    <row r="10" spans="1:3" x14ac:dyDescent="0.15">
      <c r="A10" s="5"/>
      <c r="B10" s="105" t="s">
        <v>350</v>
      </c>
    </row>
    <row r="11" spans="1:3" x14ac:dyDescent="0.15">
      <c r="B11" s="105" t="s">
        <v>346</v>
      </c>
    </row>
    <row r="12" spans="1:3" x14ac:dyDescent="0.15">
      <c r="B12" s="105" t="s">
        <v>347</v>
      </c>
      <c r="C12" s="105" t="s">
        <v>348</v>
      </c>
    </row>
    <row r="13" spans="1:3" x14ac:dyDescent="0.15">
      <c r="B13" s="105" t="s">
        <v>349</v>
      </c>
    </row>
    <row r="14" spans="1:3" x14ac:dyDescent="0.15">
      <c r="B14" s="133" t="s">
        <v>410</v>
      </c>
      <c r="C14" s="133" t="s">
        <v>411</v>
      </c>
    </row>
    <row r="15" spans="1:3" x14ac:dyDescent="0.15">
      <c r="B15" s="133" t="s">
        <v>412</v>
      </c>
    </row>
  </sheetData>
  <hyperlinks>
    <hyperlink ref="A1" location="Main!A1" display="Main" xr:uid="{33E3E6A7-4E0D-4E42-A768-3040828B041B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865A7-531A-484D-A1B8-5616406C41D1}">
  <dimension ref="A2:X43"/>
  <sheetViews>
    <sheetView zoomScale="190" zoomScaleNormal="190" zoomScaleSheetLayoutView="100" workbookViewId="0">
      <pane xSplit="3" ySplit="3" topLeftCell="D4" activePane="bottomRight" state="frozen"/>
      <selection pane="topRight" activeCell="D1" sqref="D1"/>
      <selection pane="bottomLeft" activeCell="A30" sqref="A30"/>
      <selection pane="bottomRight" activeCell="D4" sqref="D4"/>
    </sheetView>
  </sheetViews>
  <sheetFormatPr baseColWidth="10" defaultColWidth="8.5" defaultRowHeight="13" x14ac:dyDescent="0.15"/>
  <cols>
    <col min="1" max="1" width="4.83203125" style="20" customWidth="1"/>
    <col min="2" max="2" width="16.5" style="20" customWidth="1"/>
    <col min="3" max="3" width="10.6640625" style="20" customWidth="1"/>
    <col min="4" max="4" width="8.6640625" style="21" customWidth="1"/>
    <col min="5" max="5" width="10.33203125" style="22" customWidth="1"/>
    <col min="6" max="9" width="9.5" style="23" customWidth="1"/>
    <col min="10" max="10" width="10.5" style="23" customWidth="1"/>
    <col min="11" max="15" width="8.5" style="24"/>
    <col min="16" max="16" width="8.5" style="25"/>
    <col min="17" max="18" width="8.5" style="24"/>
    <col min="19" max="19" width="8.5" style="26"/>
    <col min="20" max="20" width="8.5" style="25"/>
    <col min="21" max="22" width="8.5" style="24"/>
    <col min="23" max="23" width="8.5" style="26"/>
    <col min="24" max="16384" width="8.5" style="20"/>
  </cols>
  <sheetData>
    <row r="2" spans="1:24" x14ac:dyDescent="0.15">
      <c r="L2" s="28">
        <f>AVERAGE(L4:L5)</f>
        <v>-5.0648497352395572E-2</v>
      </c>
      <c r="P2" s="29">
        <f>AVERAGE(P4:P5)</f>
        <v>37.690601571489054</v>
      </c>
      <c r="Q2" s="36">
        <f>AVERAGE(Q4:Q5)</f>
        <v>33.723698179942652</v>
      </c>
      <c r="R2" s="36">
        <f>AVERAGE(R4:R5)</f>
        <v>28.265632723601286</v>
      </c>
      <c r="S2" s="30">
        <f>AVERAGE(S4:S5)</f>
        <v>25.524540294644503</v>
      </c>
    </row>
    <row r="3" spans="1:24" x14ac:dyDescent="0.15">
      <c r="B3" s="13" t="s">
        <v>0</v>
      </c>
      <c r="C3" s="14" t="s">
        <v>1</v>
      </c>
      <c r="D3" s="15" t="s">
        <v>2</v>
      </c>
      <c r="E3" s="16" t="s">
        <v>3</v>
      </c>
      <c r="F3" s="17" t="s">
        <v>4</v>
      </c>
      <c r="G3" s="17" t="s">
        <v>5</v>
      </c>
      <c r="H3" s="17" t="s">
        <v>213</v>
      </c>
      <c r="I3" s="17" t="s">
        <v>6</v>
      </c>
      <c r="J3" s="38" t="s">
        <v>224</v>
      </c>
      <c r="K3" s="18" t="s">
        <v>208</v>
      </c>
      <c r="L3" s="18" t="s">
        <v>212</v>
      </c>
      <c r="M3" s="18" t="s">
        <v>209</v>
      </c>
      <c r="N3" s="18" t="s">
        <v>210</v>
      </c>
      <c r="O3" s="19" t="s">
        <v>211</v>
      </c>
      <c r="P3" s="42" t="s">
        <v>229</v>
      </c>
      <c r="Q3" s="43" t="s">
        <v>230</v>
      </c>
      <c r="R3" s="43" t="s">
        <v>231</v>
      </c>
      <c r="S3" s="19">
        <v>2025</v>
      </c>
      <c r="T3" s="42" t="s">
        <v>228</v>
      </c>
      <c r="U3" s="18">
        <v>2023</v>
      </c>
      <c r="V3" s="18">
        <v>2024</v>
      </c>
      <c r="W3" s="19">
        <v>2025</v>
      </c>
      <c r="X3" s="20" t="s">
        <v>214</v>
      </c>
    </row>
    <row r="4" spans="1:24" x14ac:dyDescent="0.15">
      <c r="A4" s="152" t="s">
        <v>253</v>
      </c>
      <c r="B4" s="87" t="s">
        <v>7</v>
      </c>
      <c r="C4" s="20" t="s">
        <v>8</v>
      </c>
      <c r="D4" s="21">
        <v>415.5</v>
      </c>
      <c r="E4" s="22">
        <f>D4*[2]Main!$L$3</f>
        <v>3103369.5</v>
      </c>
      <c r="F4" s="22">
        <f>[2]Main!$L$5-[2]Main!$L$6</f>
        <v>38513</v>
      </c>
      <c r="G4" s="22">
        <f>+E4-F4</f>
        <v>3064856.5</v>
      </c>
      <c r="H4" s="22">
        <f>+[2]Main!$L$3</f>
        <v>7469</v>
      </c>
      <c r="I4" s="205" t="s">
        <v>618</v>
      </c>
      <c r="J4" s="130">
        <v>45565</v>
      </c>
      <c r="K4" s="27">
        <f>+[2]Model!$BT$56</f>
        <v>271.11934949761888</v>
      </c>
      <c r="L4" s="28">
        <f>K4/D4-1</f>
        <v>-0.34748652347143472</v>
      </c>
      <c r="M4" s="28">
        <f>+[2]Model!$BT$48</f>
        <v>7.0000000000000007E-2</v>
      </c>
      <c r="N4" s="28">
        <f>+[2]Model!$BT$47</f>
        <v>0</v>
      </c>
      <c r="O4" s="88">
        <f>+[2]Model!$BT$49</f>
        <v>0.01</v>
      </c>
      <c r="P4" s="29">
        <f>+$G$4/$H$4/T4</f>
        <v>42.538921455789982</v>
      </c>
      <c r="Q4" s="30">
        <f t="shared" ref="Q4:S4" si="0">+$G$4/$H$4/U4</f>
        <v>40.466848896962567</v>
      </c>
      <c r="R4" s="30">
        <f t="shared" si="0"/>
        <v>37.755810405627706</v>
      </c>
      <c r="S4" s="31">
        <f t="shared" si="0"/>
        <v>32.212457030175337</v>
      </c>
      <c r="T4" s="32">
        <f>+[2]Model!$BI$45</f>
        <v>9.6463099263974534</v>
      </c>
      <c r="U4" s="27">
        <f>+[2]Model!$BJ$45</f>
        <v>10.140241493526046</v>
      </c>
      <c r="V4" s="27">
        <f>+[2]Model!$BK$45</f>
        <v>10.868356840674902</v>
      </c>
      <c r="W4" s="33">
        <f>+[2]Model!$BL$45</f>
        <v>12.738662558799383</v>
      </c>
      <c r="X4" s="20">
        <v>1975</v>
      </c>
    </row>
    <row r="5" spans="1:24" x14ac:dyDescent="0.15">
      <c r="A5" s="57"/>
      <c r="B5" s="87" t="s">
        <v>9</v>
      </c>
      <c r="C5" s="20" t="s">
        <v>10</v>
      </c>
      <c r="D5" s="21">
        <v>160</v>
      </c>
      <c r="E5" s="22">
        <f>D5*[3]Main!$L$3</f>
        <v>2031360</v>
      </c>
      <c r="F5" s="22">
        <f>[3]Main!$L$5-[3]Main!$L$6</f>
        <v>121659</v>
      </c>
      <c r="G5" s="22">
        <f>+E5-F5</f>
        <v>1909701</v>
      </c>
      <c r="H5" s="22">
        <f>[3]Main!$L$3</f>
        <v>12696</v>
      </c>
      <c r="I5" s="174" t="s">
        <v>618</v>
      </c>
      <c r="J5" s="39">
        <v>45519</v>
      </c>
      <c r="K5" s="27">
        <f>[3]Model!$AY$36</f>
        <v>199.39032460266296</v>
      </c>
      <c r="L5" s="28">
        <f>K5/D5-1</f>
        <v>0.24618952876664357</v>
      </c>
      <c r="M5" s="28">
        <f>[3]Model!$AY$33</f>
        <v>7.0000000000000007E-2</v>
      </c>
      <c r="N5" s="28">
        <f>[3]Model!$AY$32</f>
        <v>0</v>
      </c>
      <c r="O5" s="88">
        <f>[3]Model!$AY$34</f>
        <v>0.01</v>
      </c>
      <c r="P5" s="29">
        <f>+$G$5/$H$5/T5</f>
        <v>32.84228168718812</v>
      </c>
      <c r="Q5" s="30">
        <f>+$G$5/$H$5/U5</f>
        <v>26.980547462922733</v>
      </c>
      <c r="R5" s="30">
        <f>+$G$5/$H$5/V5</f>
        <v>18.775455041574862</v>
      </c>
      <c r="S5" s="30">
        <f>+$G$5/$H$5/W5</f>
        <v>18.836623559113665</v>
      </c>
      <c r="T5" s="32">
        <f>[3]Model!$AN$29</f>
        <v>4.5799964361174039</v>
      </c>
      <c r="U5" s="27">
        <f>[3]Model!$AO$29</f>
        <v>5.5750363586206904</v>
      </c>
      <c r="V5" s="27">
        <f>[3]Model!$AP$29</f>
        <v>8.0113921472589045</v>
      </c>
      <c r="W5" s="33">
        <f>[3]Model!$AQ$29</f>
        <v>7.985376604742382</v>
      </c>
      <c r="X5" s="20">
        <v>1998</v>
      </c>
    </row>
    <row r="6" spans="1:24" x14ac:dyDescent="0.15">
      <c r="A6" s="152" t="s">
        <v>253</v>
      </c>
      <c r="B6" s="87" t="s">
        <v>174</v>
      </c>
      <c r="C6" s="20" t="s">
        <v>175</v>
      </c>
      <c r="D6" s="37">
        <v>2825.35</v>
      </c>
      <c r="E6" s="22">
        <f>D6*H6/CAD</f>
        <v>46084.890152016626</v>
      </c>
      <c r="F6" s="22">
        <f>[4]Main!$O$5-[4]Main!$O$6</f>
        <v>-1163</v>
      </c>
      <c r="G6" s="22">
        <f>E6-F6</f>
        <v>47247.890152016626</v>
      </c>
      <c r="H6" s="22">
        <f>+[4]Main!$O$3</f>
        <v>21.19153</v>
      </c>
      <c r="I6" s="136" t="s">
        <v>382</v>
      </c>
      <c r="J6" s="39">
        <v>45047</v>
      </c>
      <c r="O6" s="26"/>
      <c r="X6" s="20">
        <v>1995</v>
      </c>
    </row>
    <row r="7" spans="1:24" x14ac:dyDescent="0.15">
      <c r="B7" s="91" t="s">
        <v>56</v>
      </c>
      <c r="C7" s="151" t="s">
        <v>483</v>
      </c>
      <c r="D7" s="21">
        <v>83.89</v>
      </c>
      <c r="E7" s="22">
        <v>41017</v>
      </c>
      <c r="O7" s="26"/>
      <c r="X7" s="20">
        <v>2009</v>
      </c>
    </row>
    <row r="8" spans="1:24" x14ac:dyDescent="0.15">
      <c r="A8" s="72"/>
      <c r="B8" s="87" t="s">
        <v>38</v>
      </c>
      <c r="C8" s="20" t="s">
        <v>39</v>
      </c>
      <c r="D8" s="21">
        <v>92.75</v>
      </c>
      <c r="E8" s="22">
        <f>+D8*[5]Main!$L$3/8</f>
        <v>32856.6875</v>
      </c>
      <c r="F8" s="22">
        <f>([5]Main!$L$5-[5]Main!$L$6)/RMB</f>
        <v>30585.01483679525</v>
      </c>
      <c r="G8" s="22">
        <f>E8-F8</f>
        <v>2271.6726632047503</v>
      </c>
      <c r="H8" s="22">
        <f>+[5]Main!$L$3</f>
        <v>2834</v>
      </c>
      <c r="I8" s="23" t="s">
        <v>14</v>
      </c>
      <c r="O8" s="26"/>
      <c r="X8" s="20">
        <v>2000</v>
      </c>
    </row>
    <row r="9" spans="1:24" x14ac:dyDescent="0.15">
      <c r="A9" s="72"/>
      <c r="B9" s="87" t="s">
        <v>38</v>
      </c>
      <c r="C9" s="195" t="s">
        <v>638</v>
      </c>
      <c r="F9" s="22"/>
      <c r="G9" s="22"/>
      <c r="H9" s="22"/>
      <c r="O9" s="26"/>
    </row>
    <row r="10" spans="1:24" x14ac:dyDescent="0.15">
      <c r="A10" s="86"/>
      <c r="B10" s="90" t="s">
        <v>313</v>
      </c>
      <c r="C10" s="86" t="s">
        <v>314</v>
      </c>
      <c r="D10" s="21">
        <v>46.37</v>
      </c>
      <c r="E10" s="22">
        <v>20860</v>
      </c>
      <c r="O10" s="26"/>
      <c r="X10" s="20">
        <v>1987</v>
      </c>
    </row>
    <row r="11" spans="1:24" x14ac:dyDescent="0.15">
      <c r="A11" s="152" t="s">
        <v>253</v>
      </c>
      <c r="B11" s="143" t="s">
        <v>423</v>
      </c>
      <c r="C11" s="144" t="s">
        <v>424</v>
      </c>
      <c r="D11" s="21">
        <v>547.96</v>
      </c>
      <c r="E11" s="22">
        <v>58644</v>
      </c>
      <c r="O11" s="26"/>
    </row>
    <row r="12" spans="1:24" x14ac:dyDescent="0.15">
      <c r="A12" s="152" t="s">
        <v>253</v>
      </c>
      <c r="B12" s="143" t="s">
        <v>425</v>
      </c>
      <c r="C12" s="144" t="s">
        <v>426</v>
      </c>
      <c r="D12" s="21">
        <v>281.41000000000003</v>
      </c>
      <c r="E12" s="22">
        <f>129933/RMB</f>
        <v>19277.893175074183</v>
      </c>
      <c r="O12" s="26"/>
    </row>
    <row r="13" spans="1:24" x14ac:dyDescent="0.15">
      <c r="B13" s="91" t="s">
        <v>72</v>
      </c>
      <c r="C13" s="20" t="s">
        <v>73</v>
      </c>
      <c r="D13" s="21">
        <v>43.75</v>
      </c>
      <c r="E13" s="22">
        <v>17180</v>
      </c>
      <c r="O13" s="26"/>
      <c r="X13" s="20">
        <v>2012</v>
      </c>
    </row>
    <row r="14" spans="1:24" x14ac:dyDescent="0.15">
      <c r="A14" s="152" t="s">
        <v>253</v>
      </c>
      <c r="B14" s="91" t="s">
        <v>78</v>
      </c>
      <c r="C14" s="20" t="s">
        <v>79</v>
      </c>
      <c r="D14" s="21">
        <v>16.87</v>
      </c>
      <c r="E14" s="22">
        <v>11408</v>
      </c>
      <c r="O14" s="26"/>
      <c r="X14" s="20">
        <v>2007</v>
      </c>
    </row>
    <row r="15" spans="1:24" x14ac:dyDescent="0.15">
      <c r="A15" s="152" t="s">
        <v>253</v>
      </c>
      <c r="B15" s="143" t="s">
        <v>444</v>
      </c>
      <c r="C15" s="144" t="s">
        <v>445</v>
      </c>
      <c r="D15" s="21">
        <v>34.99</v>
      </c>
      <c r="E15" s="22">
        <v>18901</v>
      </c>
      <c r="O15" s="26"/>
    </row>
    <row r="16" spans="1:24" x14ac:dyDescent="0.15">
      <c r="A16" s="152" t="s">
        <v>253</v>
      </c>
      <c r="B16" s="91" t="s">
        <v>84</v>
      </c>
      <c r="C16" s="20" t="s">
        <v>85</v>
      </c>
      <c r="D16" s="21">
        <v>363.45</v>
      </c>
      <c r="E16" s="22">
        <v>15250</v>
      </c>
      <c r="O16" s="26"/>
      <c r="X16" s="20">
        <v>1966</v>
      </c>
    </row>
    <row r="17" spans="1:24" x14ac:dyDescent="0.15">
      <c r="B17" s="91" t="s">
        <v>101</v>
      </c>
      <c r="C17" s="20" t="s">
        <v>102</v>
      </c>
      <c r="D17" s="21">
        <v>408.48</v>
      </c>
      <c r="E17" s="22">
        <v>10570</v>
      </c>
      <c r="O17" s="26"/>
    </row>
    <row r="18" spans="1:24" x14ac:dyDescent="0.15">
      <c r="B18" s="91" t="s">
        <v>105</v>
      </c>
      <c r="C18" s="20" t="s">
        <v>106</v>
      </c>
      <c r="D18" s="21">
        <v>80.52</v>
      </c>
      <c r="E18" s="22">
        <v>10310</v>
      </c>
      <c r="O18" s="26"/>
      <c r="X18" s="20">
        <v>2007</v>
      </c>
    </row>
    <row r="19" spans="1:24" x14ac:dyDescent="0.15">
      <c r="B19" s="91" t="s">
        <v>109</v>
      </c>
      <c r="C19" s="20" t="s">
        <v>110</v>
      </c>
      <c r="D19" s="21">
        <v>8.17</v>
      </c>
      <c r="E19" s="22">
        <v>9320</v>
      </c>
      <c r="O19" s="26"/>
    </row>
    <row r="20" spans="1:24" x14ac:dyDescent="0.15">
      <c r="B20" s="91" t="s">
        <v>113</v>
      </c>
      <c r="C20" s="20" t="s">
        <v>114</v>
      </c>
      <c r="D20" s="21">
        <v>203.42</v>
      </c>
      <c r="E20" s="22">
        <v>8580</v>
      </c>
      <c r="O20" s="26"/>
      <c r="X20" s="20">
        <v>2003</v>
      </c>
    </row>
    <row r="21" spans="1:24" x14ac:dyDescent="0.15">
      <c r="A21" s="152" t="s">
        <v>253</v>
      </c>
      <c r="B21" s="91" t="s">
        <v>116</v>
      </c>
      <c r="C21" s="20" t="s">
        <v>117</v>
      </c>
      <c r="D21" s="21">
        <v>126.81</v>
      </c>
      <c r="E21" s="22">
        <v>8200</v>
      </c>
      <c r="O21" s="26"/>
    </row>
    <row r="22" spans="1:24" x14ac:dyDescent="0.15">
      <c r="A22" s="152" t="s">
        <v>253</v>
      </c>
      <c r="B22" s="91" t="s">
        <v>118</v>
      </c>
      <c r="C22" s="20" t="s">
        <v>119</v>
      </c>
      <c r="D22" s="21">
        <v>50.35</v>
      </c>
      <c r="E22" s="22">
        <v>8150</v>
      </c>
      <c r="O22" s="26"/>
    </row>
    <row r="23" spans="1:24" x14ac:dyDescent="0.15">
      <c r="B23" s="91" t="s">
        <v>121</v>
      </c>
      <c r="C23" s="20" t="s">
        <v>122</v>
      </c>
      <c r="D23" s="21">
        <v>88.7</v>
      </c>
      <c r="E23" s="22">
        <v>7910</v>
      </c>
      <c r="O23" s="26"/>
    </row>
    <row r="24" spans="1:24" x14ac:dyDescent="0.15">
      <c r="A24" s="152" t="s">
        <v>253</v>
      </c>
      <c r="B24" s="91" t="s">
        <v>125</v>
      </c>
      <c r="C24" s="20" t="s">
        <v>126</v>
      </c>
      <c r="D24" s="21">
        <v>50.36</v>
      </c>
      <c r="E24" s="22">
        <v>7140</v>
      </c>
      <c r="O24" s="26"/>
    </row>
    <row r="25" spans="1:24" x14ac:dyDescent="0.15">
      <c r="A25" s="152" t="s">
        <v>253</v>
      </c>
      <c r="B25" s="91" t="s">
        <v>127</v>
      </c>
      <c r="C25" s="20" t="s">
        <v>128</v>
      </c>
      <c r="D25" s="21">
        <v>80.58</v>
      </c>
      <c r="E25" s="22">
        <v>6930</v>
      </c>
      <c r="O25" s="26"/>
    </row>
    <row r="26" spans="1:24" x14ac:dyDescent="0.15">
      <c r="B26" s="91" t="s">
        <v>133</v>
      </c>
      <c r="C26" s="20" t="s">
        <v>134</v>
      </c>
      <c r="D26" s="21">
        <v>54.6</v>
      </c>
      <c r="E26" s="22">
        <v>6370</v>
      </c>
      <c r="O26" s="26"/>
    </row>
    <row r="27" spans="1:24" x14ac:dyDescent="0.15">
      <c r="A27" s="152" t="s">
        <v>253</v>
      </c>
      <c r="B27" s="91" t="s">
        <v>135</v>
      </c>
      <c r="C27" s="20" t="s">
        <v>136</v>
      </c>
      <c r="D27" s="21">
        <v>62.59</v>
      </c>
      <c r="E27" s="22">
        <v>6350</v>
      </c>
      <c r="O27" s="26"/>
    </row>
    <row r="28" spans="1:24" x14ac:dyDescent="0.15">
      <c r="A28" s="152" t="s">
        <v>253</v>
      </c>
      <c r="B28" s="91" t="s">
        <v>137</v>
      </c>
      <c r="C28" s="20" t="s">
        <v>137</v>
      </c>
      <c r="D28" s="21">
        <v>62.71</v>
      </c>
      <c r="E28" s="22">
        <v>3603</v>
      </c>
      <c r="O28" s="26"/>
    </row>
    <row r="29" spans="1:24" x14ac:dyDescent="0.15">
      <c r="A29" s="152"/>
      <c r="B29" s="87" t="s">
        <v>335</v>
      </c>
      <c r="C29" s="177" t="s">
        <v>620</v>
      </c>
      <c r="D29" s="21">
        <v>13.99</v>
      </c>
      <c r="E29" s="22">
        <f>+D29*H29</f>
        <v>1249.307</v>
      </c>
      <c r="F29" s="22">
        <f>+[6]Main!$K$5-[6]Main!$K$6</f>
        <v>357.65600000000001</v>
      </c>
      <c r="G29" s="22">
        <f>+E29-F29</f>
        <v>891.65100000000007</v>
      </c>
      <c r="H29" s="22">
        <f>+[6]Main!$K$3</f>
        <v>89.3</v>
      </c>
      <c r="I29" s="178" t="s">
        <v>618</v>
      </c>
      <c r="J29" s="39">
        <v>45546</v>
      </c>
      <c r="O29" s="26"/>
    </row>
    <row r="30" spans="1:24" x14ac:dyDescent="0.15">
      <c r="A30" s="152" t="s">
        <v>253</v>
      </c>
      <c r="B30" s="153" t="s">
        <v>504</v>
      </c>
      <c r="C30" s="152" t="s">
        <v>505</v>
      </c>
      <c r="O30" s="26"/>
    </row>
    <row r="31" spans="1:24" x14ac:dyDescent="0.15">
      <c r="A31" s="152" t="s">
        <v>253</v>
      </c>
      <c r="B31" s="91" t="s">
        <v>138</v>
      </c>
      <c r="C31" s="20" t="s">
        <v>139</v>
      </c>
      <c r="D31" s="21">
        <v>21.19</v>
      </c>
      <c r="E31" s="22">
        <v>2965</v>
      </c>
      <c r="O31" s="26"/>
    </row>
    <row r="32" spans="1:24" x14ac:dyDescent="0.15">
      <c r="B32" s="92" t="s">
        <v>215</v>
      </c>
      <c r="C32" s="93" t="s">
        <v>216</v>
      </c>
      <c r="D32" s="21">
        <v>13.95</v>
      </c>
      <c r="E32" s="22">
        <v>2030</v>
      </c>
      <c r="O32" s="26"/>
    </row>
    <row r="33" spans="1:15" x14ac:dyDescent="0.15">
      <c r="B33" s="92" t="s">
        <v>217</v>
      </c>
      <c r="C33" s="93" t="s">
        <v>218</v>
      </c>
      <c r="D33" s="21">
        <v>19.95</v>
      </c>
      <c r="E33" s="22">
        <v>2560</v>
      </c>
      <c r="O33" s="26"/>
    </row>
    <row r="34" spans="1:15" x14ac:dyDescent="0.15">
      <c r="B34" s="94" t="s">
        <v>226</v>
      </c>
      <c r="C34" s="41" t="s">
        <v>227</v>
      </c>
      <c r="O34" s="26"/>
    </row>
    <row r="35" spans="1:15" x14ac:dyDescent="0.15">
      <c r="B35" s="124" t="s">
        <v>395</v>
      </c>
      <c r="O35" s="26"/>
    </row>
    <row r="36" spans="1:15" x14ac:dyDescent="0.15">
      <c r="A36" s="152" t="s">
        <v>253</v>
      </c>
      <c r="B36" s="153" t="s">
        <v>494</v>
      </c>
      <c r="C36" s="152" t="s">
        <v>495</v>
      </c>
      <c r="O36" s="26"/>
    </row>
    <row r="37" spans="1:15" x14ac:dyDescent="0.15">
      <c r="A37" s="152" t="s">
        <v>253</v>
      </c>
      <c r="B37" s="153" t="s">
        <v>429</v>
      </c>
      <c r="C37" s="152" t="s">
        <v>430</v>
      </c>
      <c r="O37" s="26"/>
    </row>
    <row r="38" spans="1:15" x14ac:dyDescent="0.15">
      <c r="A38" s="152" t="s">
        <v>253</v>
      </c>
      <c r="B38" s="153" t="s">
        <v>527</v>
      </c>
      <c r="C38" s="152" t="s">
        <v>528</v>
      </c>
      <c r="O38" s="26"/>
    </row>
    <row r="39" spans="1:15" x14ac:dyDescent="0.15">
      <c r="A39" s="152"/>
      <c r="B39" s="203" t="s">
        <v>640</v>
      </c>
      <c r="C39" s="202" t="s">
        <v>639</v>
      </c>
      <c r="O39" s="26"/>
    </row>
    <row r="40" spans="1:15" x14ac:dyDescent="0.15">
      <c r="A40" s="152" t="s">
        <v>253</v>
      </c>
      <c r="B40" s="153" t="s">
        <v>531</v>
      </c>
      <c r="C40" s="152" t="s">
        <v>532</v>
      </c>
      <c r="O40" s="26"/>
    </row>
    <row r="41" spans="1:15" x14ac:dyDescent="0.15">
      <c r="A41" s="152" t="s">
        <v>253</v>
      </c>
      <c r="B41" s="153" t="s">
        <v>539</v>
      </c>
      <c r="C41" s="152" t="s">
        <v>540</v>
      </c>
      <c r="O41" s="26"/>
    </row>
    <row r="42" spans="1:15" x14ac:dyDescent="0.15">
      <c r="A42" s="165" t="s">
        <v>253</v>
      </c>
      <c r="B42" s="166" t="s">
        <v>547</v>
      </c>
      <c r="C42" s="165" t="s">
        <v>548</v>
      </c>
      <c r="O42" s="26"/>
    </row>
    <row r="43" spans="1:15" x14ac:dyDescent="0.15">
      <c r="A43" s="167" t="s">
        <v>253</v>
      </c>
      <c r="B43" s="168" t="s">
        <v>587</v>
      </c>
      <c r="C43" s="169" t="s">
        <v>588</v>
      </c>
      <c r="D43" s="95"/>
      <c r="E43" s="96"/>
      <c r="F43" s="97"/>
      <c r="G43" s="97"/>
      <c r="H43" s="97"/>
      <c r="I43" s="97"/>
      <c r="J43" s="97"/>
      <c r="K43" s="98"/>
      <c r="L43" s="98"/>
      <c r="M43" s="98"/>
      <c r="N43" s="98"/>
      <c r="O43" s="99"/>
    </row>
  </sheetData>
  <hyperlinks>
    <hyperlink ref="B5" r:id="rId1" xr:uid="{3019DEB6-D8CA-4815-8BF6-407E9419A3F9}"/>
    <hyperlink ref="B8" r:id="rId2" xr:uid="{831B52E7-EF7A-4831-8425-59EAD7D0F934}"/>
    <hyperlink ref="B6" r:id="rId3" xr:uid="{BF4E9546-147A-4F10-92B1-A91E9292F4F6}"/>
    <hyperlink ref="B4" r:id="rId4" xr:uid="{8FE2D0E7-8B55-451A-A95B-7A06B5C1BDA4}"/>
    <hyperlink ref="B29" r:id="rId5" xr:uid="{AF3EBCC3-F32C-4B1E-8C8A-0ED2650C9EB0}"/>
    <hyperlink ref="B9" r:id="rId6" xr:uid="{C1A3BE0B-0C3D-40FB-B4F0-1BE34D12DC86}"/>
  </hyperlinks>
  <pageMargins left="0.7" right="0.7" top="0.75" bottom="0.75" header="0.3" footer="0.3"/>
  <pageSetup orientation="portrait" r:id="rId7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A0FE3-503A-448B-BE6E-F545711F1B98}">
  <dimension ref="A1:X75"/>
  <sheetViews>
    <sheetView zoomScale="175" zoomScaleNormal="175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baseColWidth="10" defaultColWidth="9.1640625" defaultRowHeight="13" x14ac:dyDescent="0.15"/>
  <cols>
    <col min="1" max="1" width="5" style="57" bestFit="1" customWidth="1"/>
    <col min="2" max="2" width="13.5" style="57" customWidth="1"/>
    <col min="3" max="3" width="11" style="57" customWidth="1"/>
    <col min="4" max="4" width="9.1640625" style="57"/>
    <col min="5" max="5" width="10" style="57" customWidth="1"/>
    <col min="6" max="6" width="9.1640625" style="57"/>
    <col min="7" max="7" width="10.1640625" style="57" customWidth="1"/>
    <col min="8" max="9" width="9.1640625" style="57"/>
    <col min="10" max="10" width="10.83203125" style="57" customWidth="1"/>
    <col min="11" max="16384" width="9.1640625" style="57"/>
  </cols>
  <sheetData>
    <row r="1" spans="1:24" x14ac:dyDescent="0.15">
      <c r="A1" s="5" t="s">
        <v>142</v>
      </c>
      <c r="E1" s="187" t="s">
        <v>253</v>
      </c>
    </row>
    <row r="2" spans="1:24" x14ac:dyDescent="0.15">
      <c r="B2" s="58" t="s">
        <v>0</v>
      </c>
      <c r="C2" s="59" t="s">
        <v>1</v>
      </c>
      <c r="D2" s="60" t="s">
        <v>2</v>
      </c>
      <c r="E2" s="61" t="s">
        <v>3</v>
      </c>
      <c r="F2" s="62" t="s">
        <v>4</v>
      </c>
      <c r="G2" s="62" t="s">
        <v>5</v>
      </c>
      <c r="H2" s="62" t="s">
        <v>213</v>
      </c>
      <c r="I2" s="62" t="s">
        <v>6</v>
      </c>
      <c r="J2" s="62" t="s">
        <v>224</v>
      </c>
      <c r="K2" s="63" t="s">
        <v>208</v>
      </c>
      <c r="L2" s="63" t="s">
        <v>212</v>
      </c>
      <c r="M2" s="63" t="s">
        <v>209</v>
      </c>
      <c r="N2" s="63" t="s">
        <v>210</v>
      </c>
      <c r="O2" s="64" t="s">
        <v>211</v>
      </c>
      <c r="P2" s="65" t="s">
        <v>229</v>
      </c>
      <c r="Q2" s="66" t="s">
        <v>230</v>
      </c>
      <c r="R2" s="66" t="s">
        <v>231</v>
      </c>
      <c r="S2" s="64">
        <v>2025</v>
      </c>
      <c r="T2" s="65" t="s">
        <v>228</v>
      </c>
      <c r="U2" s="63">
        <v>2023</v>
      </c>
      <c r="V2" s="63">
        <v>2024</v>
      </c>
      <c r="W2" s="64">
        <v>2025</v>
      </c>
      <c r="X2" s="57" t="s">
        <v>214</v>
      </c>
    </row>
    <row r="3" spans="1:24" s="20" customFormat="1" x14ac:dyDescent="0.15">
      <c r="A3" s="57"/>
      <c r="B3" s="87" t="s">
        <v>11</v>
      </c>
      <c r="C3" s="20" t="s">
        <v>12</v>
      </c>
      <c r="D3" s="21">
        <v>189.57</v>
      </c>
      <c r="E3" s="22">
        <f>+D3*[7]Main!$K$3</f>
        <v>1972784.3590615501</v>
      </c>
      <c r="F3" s="22">
        <f>[7]Main!$K$5-[7]Main!$K$6</f>
        <v>27440</v>
      </c>
      <c r="G3" s="22">
        <f>+E3-F3</f>
        <v>1945344.3590615501</v>
      </c>
      <c r="H3" s="22">
        <f>+[7]Main!$K$3</f>
        <v>10406.627415000001</v>
      </c>
      <c r="I3" s="171" t="s">
        <v>615</v>
      </c>
      <c r="J3" s="39">
        <v>45467</v>
      </c>
      <c r="K3" s="27">
        <f>+[7]Model!$BZ$49</f>
        <v>139.74223695214539</v>
      </c>
      <c r="L3" s="28">
        <f>K3/D3-1</f>
        <v>-0.26284624702144121</v>
      </c>
      <c r="M3" s="35">
        <f>+[7]Model!$BZ$45</f>
        <v>0.08</v>
      </c>
      <c r="N3" s="28">
        <f>+[7]Model!$BZ$47</f>
        <v>0</v>
      </c>
      <c r="O3" s="88">
        <f>+[7]Model!$BZ$46</f>
        <v>0.01</v>
      </c>
      <c r="P3" s="29">
        <f>+($G3/$H3)/T3</f>
        <v>361.81196515577085</v>
      </c>
      <c r="Q3" s="30">
        <f>+($G3/$H3)/U3</f>
        <v>64.45740009696668</v>
      </c>
      <c r="R3" s="30">
        <f>+($G3/$H3)/V3</f>
        <v>68.041861578686976</v>
      </c>
      <c r="S3" s="31">
        <f>+($G3/$H3)/W3</f>
        <v>43.997484679554368</v>
      </c>
      <c r="T3" s="32">
        <f>+[7]Model!$BO$33</f>
        <v>0.51665847665847664</v>
      </c>
      <c r="U3" s="27">
        <f>+[7]Model!$BP$33</f>
        <v>2.9001048517777144</v>
      </c>
      <c r="V3" s="27">
        <f>+[7]Model!$BQ$33</f>
        <v>2.7473266371175273</v>
      </c>
      <c r="W3" s="33">
        <f>+[7]Model!$BR$33</f>
        <v>4.2487251286221426</v>
      </c>
      <c r="X3" s="20">
        <v>1994</v>
      </c>
    </row>
    <row r="4" spans="1:24" s="20" customFormat="1" x14ac:dyDescent="0.15">
      <c r="A4" s="152" t="s">
        <v>253</v>
      </c>
      <c r="B4" s="5" t="s">
        <v>23</v>
      </c>
      <c r="C4" s="20" t="s">
        <v>24</v>
      </c>
      <c r="D4" s="21">
        <v>167.48</v>
      </c>
      <c r="E4" s="22">
        <f>+D4*[8]Main!$G$3</f>
        <v>474638.31999999995</v>
      </c>
      <c r="F4" s="22">
        <f>+[8]Main!$G$5-[8]Main!$G$6</f>
        <v>-76208</v>
      </c>
      <c r="G4" s="22">
        <f>+E4-F4</f>
        <v>550846.31999999995</v>
      </c>
      <c r="H4" s="22">
        <f>+[8]Main!$G$3</f>
        <v>2834</v>
      </c>
      <c r="I4" s="178" t="s">
        <v>618</v>
      </c>
      <c r="J4" s="39">
        <v>45546</v>
      </c>
      <c r="K4" s="24"/>
      <c r="L4" s="24"/>
      <c r="M4" s="24"/>
      <c r="N4" s="24"/>
      <c r="O4" s="24"/>
      <c r="P4" s="25"/>
      <c r="Q4" s="24"/>
      <c r="R4" s="24"/>
      <c r="S4" s="26"/>
      <c r="T4" s="25"/>
      <c r="U4" s="24"/>
      <c r="V4" s="24"/>
      <c r="W4" s="26"/>
      <c r="X4" s="20">
        <v>1977</v>
      </c>
    </row>
    <row r="5" spans="1:24" s="20" customFormat="1" x14ac:dyDescent="0.15">
      <c r="A5" s="152" t="s">
        <v>253</v>
      </c>
      <c r="B5" s="5" t="s">
        <v>25</v>
      </c>
      <c r="C5" s="20" t="s">
        <v>25</v>
      </c>
      <c r="D5" s="21">
        <v>227.79</v>
      </c>
      <c r="E5" s="22">
        <f>+D5*[9]Main!$L$3</f>
        <v>268336.62</v>
      </c>
      <c r="F5" s="22">
        <f>+[9]Main!$L$5-[9]Main!$L$6</f>
        <v>8195</v>
      </c>
      <c r="G5" s="22">
        <f>E5-F5</f>
        <v>260141.62</v>
      </c>
      <c r="H5" s="22"/>
      <c r="I5" s="23" t="s">
        <v>14</v>
      </c>
      <c r="J5" s="39">
        <v>45515</v>
      </c>
      <c r="K5" s="24"/>
      <c r="L5" s="24"/>
      <c r="M5" s="24"/>
      <c r="N5" s="24"/>
      <c r="O5" s="24"/>
      <c r="P5" s="25"/>
      <c r="Q5" s="24"/>
      <c r="R5" s="24"/>
      <c r="S5" s="26"/>
      <c r="T5" s="25"/>
      <c r="U5" s="24"/>
      <c r="V5" s="24"/>
      <c r="W5" s="26"/>
      <c r="X5" s="20">
        <v>1972</v>
      </c>
    </row>
    <row r="6" spans="1:24" s="20" customFormat="1" x14ac:dyDescent="0.15">
      <c r="A6" s="152" t="s">
        <v>253</v>
      </c>
      <c r="B6" s="5" t="s">
        <v>21</v>
      </c>
      <c r="C6" s="20" t="s">
        <v>22</v>
      </c>
      <c r="D6" s="21">
        <v>265.39999999999998</v>
      </c>
      <c r="E6" s="22">
        <f>+D6*[10]Main!$M$3</f>
        <v>258234.19999999998</v>
      </c>
      <c r="F6" s="22">
        <f>+[10]Main!$M$5-[10]Main!$M$6</f>
        <v>17653</v>
      </c>
      <c r="G6" s="22">
        <f>E6-F6</f>
        <v>240581.19999999998</v>
      </c>
      <c r="H6" s="22">
        <f>+[10]Main!$M$3</f>
        <v>973</v>
      </c>
      <c r="I6" s="188" t="s">
        <v>618</v>
      </c>
      <c r="J6" s="39">
        <v>45555</v>
      </c>
      <c r="K6" s="27">
        <f>+[10]Model!$AE$65</f>
        <v>170.42672158668651</v>
      </c>
      <c r="L6" s="28">
        <f>+K6/D6-1</f>
        <v>-0.35784957955280128</v>
      </c>
      <c r="M6" s="28">
        <f>+[10]Model!$AE$63</f>
        <v>0.08</v>
      </c>
      <c r="N6" s="28">
        <f>+[10]Model!$AE$62</f>
        <v>0.01</v>
      </c>
      <c r="O6" s="28">
        <v>0</v>
      </c>
      <c r="P6" s="25"/>
      <c r="Q6" s="24"/>
      <c r="R6" s="24"/>
      <c r="S6" s="26"/>
      <c r="T6" s="25"/>
      <c r="U6" s="24"/>
      <c r="V6" s="24"/>
      <c r="W6" s="26"/>
      <c r="X6" s="20">
        <v>1999</v>
      </c>
    </row>
    <row r="7" spans="1:24" x14ac:dyDescent="0.15">
      <c r="A7" s="67"/>
      <c r="B7" s="5" t="s">
        <v>256</v>
      </c>
      <c r="C7" s="67" t="s">
        <v>256</v>
      </c>
      <c r="D7" s="122">
        <v>221</v>
      </c>
      <c r="E7" s="56">
        <f>D7*H7</f>
        <v>203320</v>
      </c>
      <c r="F7" s="56">
        <f>[11]Main!$M$5-[11]Main!$M$6</f>
        <v>-38732</v>
      </c>
      <c r="G7" s="22">
        <f>E7-F7</f>
        <v>242052</v>
      </c>
      <c r="H7" s="56">
        <f>[11]Main!$M$3</f>
        <v>920</v>
      </c>
      <c r="I7" s="204" t="s">
        <v>618</v>
      </c>
      <c r="J7" s="81">
        <v>45565</v>
      </c>
      <c r="X7" s="57">
        <v>1911</v>
      </c>
    </row>
    <row r="8" spans="1:24" s="20" customFormat="1" x14ac:dyDescent="0.15">
      <c r="A8" s="152" t="s">
        <v>253</v>
      </c>
      <c r="B8" s="5" t="s">
        <v>29</v>
      </c>
      <c r="C8" s="20" t="s">
        <v>30</v>
      </c>
      <c r="D8" s="21">
        <v>919.25</v>
      </c>
      <c r="E8" s="22">
        <f>+D8*[12]Main!$L$3</f>
        <v>191204</v>
      </c>
      <c r="F8" s="22">
        <f>+[12]Main!$L$5-[12]Main!$L$6</f>
        <v>7397</v>
      </c>
      <c r="G8" s="22">
        <f t="shared" ref="G8" si="0">E8-F8</f>
        <v>183807</v>
      </c>
      <c r="H8" s="22">
        <f>+[12]Main!$L$3</f>
        <v>208</v>
      </c>
      <c r="I8" s="204" t="s">
        <v>618</v>
      </c>
      <c r="J8" s="81">
        <v>45565</v>
      </c>
      <c r="K8" s="24"/>
      <c r="L8" s="24"/>
      <c r="M8" s="24"/>
      <c r="N8" s="24"/>
      <c r="O8" s="24"/>
      <c r="P8" s="25"/>
      <c r="Q8" s="24"/>
      <c r="R8" s="24"/>
      <c r="S8" s="26"/>
      <c r="T8" s="25"/>
      <c r="U8" s="24"/>
      <c r="V8" s="24"/>
      <c r="W8" s="26"/>
      <c r="X8" s="20">
        <v>2004</v>
      </c>
    </row>
    <row r="9" spans="1:24" x14ac:dyDescent="0.15">
      <c r="A9" s="152" t="s">
        <v>253</v>
      </c>
      <c r="B9" s="108" t="s">
        <v>148</v>
      </c>
      <c r="C9" s="20" t="s">
        <v>149</v>
      </c>
      <c r="D9" s="21">
        <v>36.53</v>
      </c>
      <c r="E9" s="22">
        <f>D9*[13]Main!$L$3</f>
        <v>87675.908710000003</v>
      </c>
      <c r="F9" s="22">
        <f>[13]Main!$L$5-[13]Main!$L$6</f>
        <v>2585</v>
      </c>
      <c r="G9" s="22">
        <f>E9-F9</f>
        <v>85090.908710000003</v>
      </c>
      <c r="H9" s="22">
        <f>+[13]Main!$L$3</f>
        <v>2400.107</v>
      </c>
      <c r="I9" s="170" t="s">
        <v>615</v>
      </c>
      <c r="J9" s="81">
        <v>45446</v>
      </c>
    </row>
    <row r="10" spans="1:24" x14ac:dyDescent="0.15">
      <c r="A10" s="152" t="s">
        <v>253</v>
      </c>
      <c r="B10" s="5" t="s">
        <v>50</v>
      </c>
      <c r="C10" s="20" t="s">
        <v>51</v>
      </c>
      <c r="D10" s="21">
        <v>244.41</v>
      </c>
      <c r="E10" s="22">
        <f>+D10*H10</f>
        <v>64768.65</v>
      </c>
      <c r="F10" s="22">
        <f>+[14]Main!$P$5-[14]Main!$P$6</f>
        <v>4391</v>
      </c>
      <c r="G10" s="22">
        <f t="shared" ref="G10:G14" si="1">E10-F10</f>
        <v>60377.65</v>
      </c>
      <c r="H10" s="23">
        <f>+[14]Main!$P$3</f>
        <v>265</v>
      </c>
      <c r="I10" s="204" t="s">
        <v>618</v>
      </c>
      <c r="J10" s="39">
        <v>45565</v>
      </c>
      <c r="X10" s="57">
        <v>2005</v>
      </c>
    </row>
    <row r="11" spans="1:24" x14ac:dyDescent="0.15">
      <c r="A11" s="152" t="s">
        <v>253</v>
      </c>
      <c r="B11" s="5" t="s">
        <v>40</v>
      </c>
      <c r="C11" s="20" t="s">
        <v>41</v>
      </c>
      <c r="D11" s="21">
        <v>161.19</v>
      </c>
      <c r="E11" s="22">
        <f>+D11*[15]Main!$L$3</f>
        <v>41909.4</v>
      </c>
      <c r="F11" s="22">
        <f>+[15]Main!$L$5-[15]Main!$L$6</f>
        <v>1576</v>
      </c>
      <c r="G11" s="22">
        <f>E11-F11</f>
        <v>40333.4</v>
      </c>
      <c r="H11" s="22">
        <f>+[15]Main!$L$3</f>
        <v>260</v>
      </c>
      <c r="I11" s="204" t="s">
        <v>618</v>
      </c>
      <c r="J11" s="81">
        <v>45565</v>
      </c>
      <c r="X11" s="57">
        <v>2002</v>
      </c>
    </row>
    <row r="12" spans="1:24" x14ac:dyDescent="0.15">
      <c r="A12" s="152" t="s">
        <v>253</v>
      </c>
      <c r="B12" s="5" t="s">
        <v>44</v>
      </c>
      <c r="C12" s="20" t="s">
        <v>45</v>
      </c>
      <c r="D12" s="21">
        <v>109.1</v>
      </c>
      <c r="E12" s="22">
        <f>+D12*[16]Main!$M$3</f>
        <v>34296.785099999994</v>
      </c>
      <c r="F12" s="22">
        <f>+[16]Main!$M$5-[16]Main!$M$6</f>
        <v>5027.4579999999996</v>
      </c>
      <c r="G12" s="22">
        <f t="shared" si="1"/>
        <v>29269.327099999995</v>
      </c>
      <c r="H12" s="22">
        <f>+[16]Main!$M$3</f>
        <v>314.36099999999999</v>
      </c>
      <c r="I12" s="34" t="s">
        <v>14</v>
      </c>
      <c r="X12" s="57">
        <v>2012</v>
      </c>
    </row>
    <row r="13" spans="1:24" x14ac:dyDescent="0.15">
      <c r="A13" s="152" t="s">
        <v>253</v>
      </c>
      <c r="B13" s="5" t="s">
        <v>172</v>
      </c>
      <c r="C13" s="20" t="s">
        <v>173</v>
      </c>
      <c r="D13" s="21">
        <v>186.85</v>
      </c>
      <c r="E13" s="22">
        <f>+D13*H13</f>
        <v>28933.162884249999</v>
      </c>
      <c r="F13" s="22">
        <f>+[17]Main!$M$5-[17]Main!$M$6</f>
        <v>2838.5529999999999</v>
      </c>
      <c r="G13" s="22">
        <f t="shared" si="1"/>
        <v>26094.60988425</v>
      </c>
      <c r="H13" s="22">
        <f>+[17]Main!$M$3</f>
        <v>154.847005</v>
      </c>
      <c r="I13" s="48" t="s">
        <v>14</v>
      </c>
      <c r="J13" s="39">
        <v>45512</v>
      </c>
      <c r="X13" s="57">
        <v>2007</v>
      </c>
    </row>
    <row r="14" spans="1:24" x14ac:dyDescent="0.15">
      <c r="A14" s="152" t="s">
        <v>253</v>
      </c>
      <c r="B14" s="5" t="s">
        <v>52</v>
      </c>
      <c r="C14" s="20" t="s">
        <v>53</v>
      </c>
      <c r="D14" s="21">
        <v>112.31</v>
      </c>
      <c r="E14" s="22">
        <f>+D14*H14</f>
        <v>37865.572005250004</v>
      </c>
      <c r="F14" s="56">
        <f>+[18]Main!$O$5-[18]Main!$O$6</f>
        <v>970</v>
      </c>
      <c r="G14" s="22">
        <f t="shared" si="1"/>
        <v>36895.572005250004</v>
      </c>
      <c r="H14" s="56">
        <f>+[18]Main!$O$3</f>
        <v>337.15227500000003</v>
      </c>
      <c r="I14" s="80" t="s">
        <v>200</v>
      </c>
      <c r="J14" s="81">
        <v>45514</v>
      </c>
      <c r="X14" s="57">
        <v>2010</v>
      </c>
    </row>
    <row r="15" spans="1:24" s="20" customFormat="1" x14ac:dyDescent="0.15">
      <c r="A15" s="152" t="s">
        <v>253</v>
      </c>
      <c r="B15" s="5" t="s">
        <v>183</v>
      </c>
      <c r="C15" s="20" t="s">
        <v>184</v>
      </c>
      <c r="D15" s="21">
        <v>277.5</v>
      </c>
      <c r="E15" s="22">
        <f>+D15*H15</f>
        <v>20354.8178625</v>
      </c>
      <c r="F15" s="22">
        <f>+[19]Main!$J$5-[19]Main!$J$6</f>
        <v>930</v>
      </c>
      <c r="G15" s="22">
        <f>+E15-F15</f>
        <v>19424.8178625</v>
      </c>
      <c r="H15" s="22">
        <f>+[19]Main!$J$3</f>
        <v>73.350695000000002</v>
      </c>
      <c r="I15" s="188" t="s">
        <v>615</v>
      </c>
      <c r="J15" s="39">
        <v>45413</v>
      </c>
      <c r="K15" s="24"/>
      <c r="L15" s="24"/>
      <c r="M15" s="24"/>
      <c r="N15" s="24"/>
      <c r="O15" s="26"/>
      <c r="P15" s="25"/>
      <c r="Q15" s="24"/>
      <c r="R15" s="24"/>
      <c r="S15" s="26"/>
      <c r="T15" s="25"/>
      <c r="U15" s="24"/>
      <c r="V15" s="24"/>
      <c r="W15" s="26"/>
      <c r="X15" s="20">
        <v>2007</v>
      </c>
    </row>
    <row r="16" spans="1:24" s="20" customFormat="1" x14ac:dyDescent="0.15">
      <c r="A16" s="152" t="s">
        <v>253</v>
      </c>
      <c r="B16" s="108" t="s">
        <v>191</v>
      </c>
      <c r="C16" s="20" t="s">
        <v>192</v>
      </c>
      <c r="D16" s="21">
        <v>89</v>
      </c>
      <c r="E16" s="22">
        <f>+D16*H16</f>
        <v>14972.145328000002</v>
      </c>
      <c r="F16" s="22">
        <f>+[20]Main!$K$5-[20]Main!$K$6</f>
        <v>1165</v>
      </c>
      <c r="G16" s="22">
        <f>+E16-F16</f>
        <v>13807.145328000002</v>
      </c>
      <c r="H16" s="22">
        <f>+[20]Main!$K$3</f>
        <v>168.22635200000002</v>
      </c>
      <c r="I16" s="78" t="s">
        <v>200</v>
      </c>
      <c r="J16" s="39">
        <v>45514</v>
      </c>
      <c r="K16" s="24"/>
      <c r="L16" s="24"/>
      <c r="M16" s="24"/>
      <c r="N16" s="24"/>
      <c r="O16" s="24"/>
      <c r="P16" s="25"/>
      <c r="Q16" s="24"/>
      <c r="R16" s="24"/>
      <c r="S16" s="26"/>
      <c r="T16" s="25"/>
      <c r="U16" s="24"/>
      <c r="V16" s="24"/>
      <c r="W16" s="26"/>
      <c r="X16" s="20">
        <v>2009</v>
      </c>
    </row>
    <row r="17" spans="1:24" x14ac:dyDescent="0.15">
      <c r="A17" s="152" t="s">
        <v>253</v>
      </c>
      <c r="B17" s="5" t="s">
        <v>296</v>
      </c>
      <c r="C17" s="82" t="s">
        <v>176</v>
      </c>
      <c r="D17" s="21">
        <v>66.94</v>
      </c>
      <c r="E17" s="22">
        <f>+D17*H17</f>
        <v>20603.4100521</v>
      </c>
      <c r="F17" s="22">
        <f>+[21]Main!$J$5-[21]Main!$J$6</f>
        <v>7958.5609999999997</v>
      </c>
      <c r="G17" s="22">
        <f>E17-F17</f>
        <v>12644.8490521</v>
      </c>
      <c r="H17" s="22">
        <f>+[21]Main!$J$3</f>
        <v>307.78921500000001</v>
      </c>
      <c r="I17" s="188" t="s">
        <v>618</v>
      </c>
      <c r="J17" s="39">
        <v>45555</v>
      </c>
      <c r="X17" s="57">
        <v>2011</v>
      </c>
    </row>
    <row r="18" spans="1:24" s="20" customFormat="1" x14ac:dyDescent="0.15">
      <c r="A18" s="152" t="s">
        <v>253</v>
      </c>
      <c r="B18" s="189" t="s">
        <v>68</v>
      </c>
      <c r="C18" s="190" t="s">
        <v>69</v>
      </c>
      <c r="D18" s="191">
        <v>472.5</v>
      </c>
      <c r="E18" s="192">
        <v>32117</v>
      </c>
      <c r="F18" s="23"/>
      <c r="G18" s="23"/>
      <c r="H18" s="23"/>
      <c r="I18" s="23"/>
      <c r="J18" s="23"/>
      <c r="K18" s="24"/>
      <c r="L18" s="24"/>
      <c r="M18" s="24"/>
      <c r="N18" s="24"/>
      <c r="O18" s="26"/>
      <c r="P18" s="25"/>
      <c r="Q18" s="24"/>
      <c r="R18" s="24"/>
      <c r="S18" s="26"/>
      <c r="T18" s="25"/>
      <c r="U18" s="24"/>
      <c r="V18" s="24"/>
      <c r="W18" s="26"/>
      <c r="X18" s="20">
        <v>2006</v>
      </c>
    </row>
    <row r="19" spans="1:24" s="20" customFormat="1" x14ac:dyDescent="0.15">
      <c r="A19" s="152" t="s">
        <v>253</v>
      </c>
      <c r="B19" s="20" t="s">
        <v>66</v>
      </c>
      <c r="C19" s="20" t="s">
        <v>67</v>
      </c>
      <c r="D19" s="21">
        <v>90.1</v>
      </c>
      <c r="E19" s="22">
        <v>18840</v>
      </c>
      <c r="F19" s="23"/>
      <c r="G19" s="23"/>
      <c r="H19" s="23"/>
      <c r="I19" s="23"/>
      <c r="J19" s="23"/>
      <c r="K19" s="24"/>
      <c r="L19" s="24"/>
      <c r="M19" s="24"/>
      <c r="N19" s="24"/>
      <c r="O19" s="26"/>
      <c r="P19" s="25"/>
      <c r="Q19" s="24"/>
      <c r="R19" s="24"/>
      <c r="S19" s="26"/>
      <c r="T19" s="25"/>
      <c r="U19" s="24"/>
      <c r="V19" s="24"/>
      <c r="W19" s="26"/>
      <c r="X19" s="20">
        <v>2003</v>
      </c>
    </row>
    <row r="20" spans="1:24" s="20" customFormat="1" x14ac:dyDescent="0.15">
      <c r="A20" s="152" t="s">
        <v>253</v>
      </c>
      <c r="B20" s="125" t="s">
        <v>396</v>
      </c>
      <c r="C20" s="152" t="s">
        <v>503</v>
      </c>
      <c r="D20" s="21">
        <v>26</v>
      </c>
      <c r="E20" s="22">
        <v>7120</v>
      </c>
      <c r="F20" s="23"/>
      <c r="G20" s="23"/>
      <c r="H20" s="23"/>
      <c r="I20" s="23"/>
      <c r="J20" s="23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</row>
    <row r="21" spans="1:24" x14ac:dyDescent="0.15">
      <c r="A21" s="152" t="s">
        <v>253</v>
      </c>
      <c r="B21" s="101" t="s">
        <v>329</v>
      </c>
      <c r="C21" s="107" t="s">
        <v>376</v>
      </c>
      <c r="D21" s="57">
        <v>25.54</v>
      </c>
      <c r="E21" s="56">
        <v>4800</v>
      </c>
      <c r="X21" s="57">
        <v>2012</v>
      </c>
    </row>
    <row r="22" spans="1:24" x14ac:dyDescent="0.15">
      <c r="A22" s="152" t="s">
        <v>253</v>
      </c>
      <c r="B22" s="121" t="s">
        <v>389</v>
      </c>
      <c r="C22" s="121" t="s">
        <v>390</v>
      </c>
      <c r="D22" s="57">
        <v>10.88</v>
      </c>
      <c r="E22" s="56">
        <v>3000</v>
      </c>
    </row>
    <row r="23" spans="1:24" x14ac:dyDescent="0.15">
      <c r="B23" s="91" t="s">
        <v>185</v>
      </c>
      <c r="C23" s="20" t="s">
        <v>186</v>
      </c>
      <c r="D23" s="21">
        <v>114.84</v>
      </c>
      <c r="E23" s="22">
        <v>17930</v>
      </c>
    </row>
    <row r="24" spans="1:24" x14ac:dyDescent="0.15">
      <c r="A24" s="152" t="s">
        <v>253</v>
      </c>
      <c r="B24" s="91" t="s">
        <v>94</v>
      </c>
      <c r="C24" s="20" t="s">
        <v>95</v>
      </c>
      <c r="D24" s="21">
        <v>43.77</v>
      </c>
      <c r="E24" s="22">
        <v>12660</v>
      </c>
    </row>
    <row r="25" spans="1:24" x14ac:dyDescent="0.15">
      <c r="A25" s="152" t="s">
        <v>253</v>
      </c>
      <c r="B25" s="91" t="s">
        <v>193</v>
      </c>
      <c r="C25" s="20" t="s">
        <v>194</v>
      </c>
      <c r="D25" s="21">
        <v>97.08</v>
      </c>
      <c r="E25" s="22">
        <v>15070</v>
      </c>
    </row>
    <row r="26" spans="1:24" x14ac:dyDescent="0.15">
      <c r="A26" s="152" t="s">
        <v>253</v>
      </c>
      <c r="B26" s="91" t="s">
        <v>93</v>
      </c>
      <c r="C26" s="20" t="s">
        <v>93</v>
      </c>
      <c r="D26" s="21">
        <v>206.68</v>
      </c>
      <c r="E26" s="22">
        <v>12990</v>
      </c>
    </row>
    <row r="27" spans="1:24" x14ac:dyDescent="0.15">
      <c r="A27" s="152" t="s">
        <v>253</v>
      </c>
      <c r="B27" s="91" t="s">
        <v>99</v>
      </c>
      <c r="C27" s="20" t="s">
        <v>100</v>
      </c>
      <c r="D27" s="21">
        <v>40.369999999999997</v>
      </c>
      <c r="E27" s="22">
        <v>11000</v>
      </c>
    </row>
    <row r="28" spans="1:24" x14ac:dyDescent="0.15">
      <c r="A28" s="152" t="s">
        <v>253</v>
      </c>
      <c r="B28" s="144" t="s">
        <v>431</v>
      </c>
      <c r="C28" s="144" t="s">
        <v>432</v>
      </c>
      <c r="D28" s="21"/>
      <c r="E28" s="22"/>
      <c r="F28" s="22"/>
      <c r="G28" s="22"/>
      <c r="H28" s="22"/>
      <c r="I28" s="23"/>
      <c r="J28" s="81"/>
    </row>
    <row r="29" spans="1:24" x14ac:dyDescent="0.15">
      <c r="A29" s="152" t="s">
        <v>253</v>
      </c>
      <c r="B29" s="144" t="s">
        <v>429</v>
      </c>
      <c r="C29" s="144" t="s">
        <v>430</v>
      </c>
      <c r="D29" s="21"/>
      <c r="E29" s="22"/>
      <c r="F29" s="56"/>
      <c r="G29" s="22"/>
      <c r="H29" s="56"/>
      <c r="I29" s="80"/>
      <c r="J29" s="81"/>
    </row>
    <row r="30" spans="1:24" x14ac:dyDescent="0.15">
      <c r="A30" s="152" t="s">
        <v>253</v>
      </c>
      <c r="B30" s="153" t="s">
        <v>508</v>
      </c>
      <c r="C30" s="152" t="s">
        <v>509</v>
      </c>
      <c r="D30" s="21"/>
      <c r="E30" s="22"/>
    </row>
    <row r="31" spans="1:24" x14ac:dyDescent="0.15">
      <c r="A31" s="152" t="s">
        <v>253</v>
      </c>
      <c r="B31" s="153" t="s">
        <v>501</v>
      </c>
      <c r="C31" s="152" t="s">
        <v>502</v>
      </c>
      <c r="D31" s="21"/>
      <c r="E31" s="22"/>
    </row>
    <row r="32" spans="1:24" x14ac:dyDescent="0.15">
      <c r="A32" s="152" t="s">
        <v>253</v>
      </c>
      <c r="B32" s="153" t="s">
        <v>510</v>
      </c>
      <c r="C32" s="152" t="s">
        <v>511</v>
      </c>
      <c r="D32" s="21"/>
      <c r="E32" s="22"/>
    </row>
    <row r="33" spans="1:24" x14ac:dyDescent="0.15">
      <c r="B33" s="91" t="s">
        <v>111</v>
      </c>
      <c r="C33" s="20" t="s">
        <v>112</v>
      </c>
      <c r="D33" s="21">
        <v>14.73</v>
      </c>
      <c r="E33" s="22">
        <v>9140</v>
      </c>
    </row>
    <row r="34" spans="1:24" x14ac:dyDescent="0.15">
      <c r="A34" s="152" t="s">
        <v>253</v>
      </c>
      <c r="B34" s="144" t="s">
        <v>437</v>
      </c>
      <c r="C34" s="144" t="s">
        <v>438</v>
      </c>
      <c r="D34" s="21"/>
      <c r="E34" s="22"/>
    </row>
    <row r="35" spans="1:24" x14ac:dyDescent="0.15">
      <c r="A35" s="167" t="s">
        <v>253</v>
      </c>
      <c r="B35" s="144" t="s">
        <v>439</v>
      </c>
      <c r="C35" s="144" t="s">
        <v>440</v>
      </c>
      <c r="D35" s="21"/>
      <c r="E35" s="22"/>
    </row>
    <row r="36" spans="1:24" x14ac:dyDescent="0.15">
      <c r="A36" s="152" t="s">
        <v>253</v>
      </c>
      <c r="B36" s="144" t="s">
        <v>441</v>
      </c>
      <c r="C36" s="144" t="s">
        <v>89</v>
      </c>
      <c r="D36" s="21"/>
      <c r="E36" s="22"/>
    </row>
    <row r="37" spans="1:24" x14ac:dyDescent="0.15">
      <c r="A37" s="152" t="s">
        <v>253</v>
      </c>
      <c r="B37" s="91" t="s">
        <v>187</v>
      </c>
      <c r="C37" s="20" t="s">
        <v>188</v>
      </c>
      <c r="D37" s="21">
        <v>87.46</v>
      </c>
      <c r="E37" s="22">
        <v>16020</v>
      </c>
    </row>
    <row r="38" spans="1:24" s="20" customFormat="1" x14ac:dyDescent="0.15">
      <c r="A38" s="152" t="s">
        <v>253</v>
      </c>
      <c r="B38" s="91" t="s">
        <v>123</v>
      </c>
      <c r="C38" s="20" t="s">
        <v>124</v>
      </c>
      <c r="D38" s="21">
        <v>78.3</v>
      </c>
      <c r="E38" s="22">
        <v>7580</v>
      </c>
      <c r="F38" s="23"/>
      <c r="G38" s="23"/>
      <c r="H38" s="23"/>
      <c r="I38" s="23"/>
      <c r="J38" s="23"/>
      <c r="K38" s="24"/>
      <c r="L38" s="24"/>
      <c r="M38" s="24"/>
      <c r="N38" s="24"/>
      <c r="O38" s="26"/>
      <c r="P38" s="25"/>
      <c r="Q38" s="24"/>
      <c r="R38" s="24"/>
      <c r="S38" s="26"/>
      <c r="T38" s="25"/>
      <c r="U38" s="24"/>
      <c r="V38" s="24"/>
      <c r="W38" s="26"/>
      <c r="X38" s="20">
        <v>2012</v>
      </c>
    </row>
    <row r="39" spans="1:24" s="20" customFormat="1" x14ac:dyDescent="0.15">
      <c r="A39" s="152" t="s">
        <v>253</v>
      </c>
      <c r="B39" s="152" t="s">
        <v>492</v>
      </c>
      <c r="C39" s="152" t="s">
        <v>493</v>
      </c>
      <c r="D39" s="21"/>
      <c r="E39" s="22"/>
      <c r="F39" s="23"/>
      <c r="G39" s="23"/>
      <c r="H39" s="23"/>
      <c r="I39" s="23"/>
      <c r="J39" s="23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</row>
    <row r="40" spans="1:24" s="20" customFormat="1" x14ac:dyDescent="0.15">
      <c r="A40" s="152" t="s">
        <v>253</v>
      </c>
      <c r="B40" s="152" t="s">
        <v>496</v>
      </c>
      <c r="C40" s="152" t="s">
        <v>91</v>
      </c>
      <c r="D40" s="21"/>
      <c r="E40" s="22"/>
      <c r="F40" s="23"/>
      <c r="G40" s="23"/>
      <c r="H40" s="23"/>
      <c r="I40" s="23"/>
      <c r="J40" s="23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</row>
    <row r="41" spans="1:24" s="20" customFormat="1" x14ac:dyDescent="0.15">
      <c r="A41" s="167" t="s">
        <v>253</v>
      </c>
      <c r="B41" s="5" t="s">
        <v>581</v>
      </c>
      <c r="C41" s="167" t="s">
        <v>582</v>
      </c>
      <c r="D41" s="21">
        <v>32.659999999999997</v>
      </c>
      <c r="E41" s="22">
        <f>+D41*H41</f>
        <v>3319.1307980999995</v>
      </c>
      <c r="F41" s="22">
        <f>+[22]Main!$M$5-[22]Main!$M$6</f>
        <v>487.66099999999994</v>
      </c>
      <c r="G41" s="22">
        <f>+E41-F41</f>
        <v>2831.4697980999995</v>
      </c>
      <c r="H41" s="22">
        <f>+[22]Main!$M$3</f>
        <v>101.626785</v>
      </c>
      <c r="I41" s="199" t="s">
        <v>618</v>
      </c>
      <c r="J41" s="39">
        <v>45560</v>
      </c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</row>
    <row r="42" spans="1:24" s="20" customFormat="1" x14ac:dyDescent="0.15">
      <c r="A42" s="167" t="s">
        <v>253</v>
      </c>
      <c r="B42" s="5" t="s">
        <v>565</v>
      </c>
      <c r="C42" s="167" t="s">
        <v>566</v>
      </c>
      <c r="D42" s="21">
        <v>11.1</v>
      </c>
      <c r="E42" s="22">
        <f>+D42*H42</f>
        <v>3353.2079243999997</v>
      </c>
      <c r="F42" s="22">
        <f>+[23]Main!$H$5-[23]Main!$H$6</f>
        <v>1019.114</v>
      </c>
      <c r="G42" s="22">
        <f>+E42-F42</f>
        <v>2334.0939243999997</v>
      </c>
      <c r="H42" s="22">
        <f>+[23]Main!$H$3</f>
        <v>302.09080399999999</v>
      </c>
      <c r="I42" s="199" t="s">
        <v>618</v>
      </c>
      <c r="J42" s="39">
        <v>45560</v>
      </c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</row>
    <row r="43" spans="1:24" s="20" customFormat="1" x14ac:dyDescent="0.15">
      <c r="A43" s="167" t="s">
        <v>253</v>
      </c>
      <c r="B43" s="5" t="s">
        <v>583</v>
      </c>
      <c r="C43" s="167" t="s">
        <v>584</v>
      </c>
      <c r="D43" s="21">
        <v>27.26</v>
      </c>
      <c r="E43" s="22">
        <f>+D43*H43</f>
        <v>1998.6214199999999</v>
      </c>
      <c r="F43" s="22">
        <f>+[24]Main!$K$5-[24]Main!$K$6</f>
        <v>-11.827999999999975</v>
      </c>
      <c r="G43" s="22">
        <f>+E43-F43</f>
        <v>2010.4494199999999</v>
      </c>
      <c r="H43" s="22">
        <f>+[24]Main!$K$3</f>
        <v>73.316999999999993</v>
      </c>
      <c r="I43" s="208" t="s">
        <v>618</v>
      </c>
      <c r="J43" s="221">
        <v>45566</v>
      </c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</row>
    <row r="44" spans="1:24" s="20" customFormat="1" x14ac:dyDescent="0.15">
      <c r="A44" s="152"/>
      <c r="B44" s="5" t="s">
        <v>619</v>
      </c>
      <c r="C44" s="175" t="s">
        <v>619</v>
      </c>
      <c r="D44" s="21">
        <v>13.22</v>
      </c>
      <c r="E44" s="22">
        <f>+D44*H44</f>
        <v>5412.6671779000008</v>
      </c>
      <c r="F44" s="22">
        <f>+[25]Main!$J$5-[25]Main!$J$6</f>
        <v>4999</v>
      </c>
      <c r="G44" s="22">
        <f>+E44-F44</f>
        <v>413.66717790000075</v>
      </c>
      <c r="H44" s="22">
        <f>+[25]Main!$J$3</f>
        <v>409.43019500000003</v>
      </c>
      <c r="I44" s="176" t="s">
        <v>618</v>
      </c>
      <c r="J44" s="39">
        <v>45540</v>
      </c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</row>
    <row r="45" spans="1:24" s="20" customFormat="1" x14ac:dyDescent="0.15">
      <c r="A45" s="152" t="s">
        <v>253</v>
      </c>
      <c r="B45" s="152" t="s">
        <v>497</v>
      </c>
      <c r="C45" s="152" t="s">
        <v>498</v>
      </c>
      <c r="D45" s="21"/>
      <c r="E45" s="22"/>
      <c r="F45" s="23"/>
      <c r="G45" s="23"/>
      <c r="H45" s="23"/>
      <c r="I45" s="23"/>
      <c r="J45" s="23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</row>
    <row r="46" spans="1:24" s="20" customFormat="1" x14ac:dyDescent="0.15">
      <c r="A46" s="152" t="s">
        <v>253</v>
      </c>
      <c r="B46" s="152" t="s">
        <v>500</v>
      </c>
      <c r="C46" s="152" t="s">
        <v>499</v>
      </c>
      <c r="D46" s="21"/>
      <c r="E46" s="22"/>
      <c r="F46" s="23"/>
      <c r="G46" s="23"/>
      <c r="H46" s="23"/>
      <c r="I46" s="23"/>
      <c r="J46" s="23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</row>
    <row r="47" spans="1:24" s="20" customFormat="1" x14ac:dyDescent="0.15">
      <c r="A47" s="152" t="s">
        <v>253</v>
      </c>
      <c r="B47" s="152" t="s">
        <v>514</v>
      </c>
      <c r="C47" s="152" t="s">
        <v>515</v>
      </c>
      <c r="D47" s="21"/>
      <c r="E47" s="22"/>
      <c r="F47" s="23"/>
      <c r="G47" s="23"/>
      <c r="H47" s="23"/>
      <c r="I47" s="23"/>
      <c r="J47" s="23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</row>
    <row r="48" spans="1:24" s="20" customFormat="1" x14ac:dyDescent="0.15">
      <c r="A48" s="152" t="s">
        <v>253</v>
      </c>
      <c r="B48" s="152" t="s">
        <v>517</v>
      </c>
      <c r="C48" s="152" t="s">
        <v>518</v>
      </c>
      <c r="D48" s="21"/>
      <c r="E48" s="22"/>
      <c r="F48" s="23"/>
      <c r="G48" s="23"/>
      <c r="H48" s="23"/>
      <c r="I48" s="23"/>
      <c r="J48" s="23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</row>
    <row r="49" spans="1:23" s="20" customFormat="1" x14ac:dyDescent="0.15">
      <c r="A49" s="152" t="s">
        <v>253</v>
      </c>
      <c r="B49" s="152" t="s">
        <v>523</v>
      </c>
      <c r="C49" s="152" t="s">
        <v>524</v>
      </c>
      <c r="D49" s="21"/>
      <c r="E49" s="22"/>
      <c r="F49" s="23"/>
      <c r="G49" s="23"/>
      <c r="H49" s="23"/>
      <c r="I49" s="23"/>
      <c r="J49" s="23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</row>
    <row r="50" spans="1:23" s="20" customFormat="1" x14ac:dyDescent="0.15">
      <c r="A50" s="152" t="s">
        <v>253</v>
      </c>
      <c r="B50" s="152" t="s">
        <v>525</v>
      </c>
      <c r="C50" s="152" t="s">
        <v>526</v>
      </c>
      <c r="D50" s="21"/>
      <c r="E50" s="22"/>
      <c r="F50" s="23"/>
      <c r="G50" s="23"/>
      <c r="H50" s="23"/>
      <c r="I50" s="23"/>
      <c r="J50" s="23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</row>
    <row r="51" spans="1:23" s="20" customFormat="1" x14ac:dyDescent="0.15">
      <c r="A51" s="152" t="s">
        <v>253</v>
      </c>
      <c r="B51" s="152" t="s">
        <v>529</v>
      </c>
      <c r="C51" s="152" t="s">
        <v>530</v>
      </c>
      <c r="D51" s="21"/>
      <c r="E51" s="22"/>
      <c r="F51" s="23"/>
      <c r="G51" s="23"/>
      <c r="H51" s="23"/>
      <c r="I51" s="23"/>
      <c r="J51" s="23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</row>
    <row r="52" spans="1:23" s="20" customFormat="1" x14ac:dyDescent="0.15">
      <c r="A52" s="152" t="s">
        <v>253</v>
      </c>
      <c r="B52" s="152" t="s">
        <v>543</v>
      </c>
      <c r="C52" s="152" t="s">
        <v>544</v>
      </c>
      <c r="D52" s="21"/>
      <c r="E52" s="22"/>
      <c r="F52" s="23"/>
      <c r="G52" s="23"/>
      <c r="H52" s="23"/>
      <c r="I52" s="23"/>
      <c r="J52" s="23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</row>
    <row r="53" spans="1:23" s="20" customFormat="1" x14ac:dyDescent="0.15">
      <c r="A53" s="165" t="s">
        <v>253</v>
      </c>
      <c r="B53" s="165" t="s">
        <v>549</v>
      </c>
      <c r="C53" s="165" t="s">
        <v>550</v>
      </c>
      <c r="D53" s="21"/>
      <c r="E53" s="22"/>
      <c r="F53" s="23"/>
      <c r="G53" s="23"/>
      <c r="H53" s="23"/>
      <c r="I53" s="23"/>
      <c r="J53" s="23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</row>
    <row r="54" spans="1:23" s="20" customFormat="1" x14ac:dyDescent="0.15">
      <c r="A54" s="165" t="s">
        <v>253</v>
      </c>
      <c r="B54" s="165" t="s">
        <v>551</v>
      </c>
      <c r="C54" s="165" t="s">
        <v>552</v>
      </c>
      <c r="D54" s="21"/>
      <c r="E54" s="22"/>
      <c r="F54" s="23"/>
      <c r="G54" s="23"/>
      <c r="H54" s="23"/>
      <c r="I54" s="23"/>
      <c r="J54" s="23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</row>
    <row r="55" spans="1:23" s="20" customFormat="1" x14ac:dyDescent="0.15">
      <c r="A55" s="167" t="s">
        <v>253</v>
      </c>
      <c r="B55" s="167" t="s">
        <v>567</v>
      </c>
      <c r="C55" s="167" t="s">
        <v>568</v>
      </c>
      <c r="D55" s="21"/>
      <c r="E55" s="22"/>
      <c r="F55" s="23"/>
      <c r="G55" s="23"/>
      <c r="H55" s="23"/>
      <c r="I55" s="23"/>
      <c r="J55" s="23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</row>
    <row r="56" spans="1:23" s="20" customFormat="1" x14ac:dyDescent="0.15">
      <c r="A56" s="167" t="s">
        <v>253</v>
      </c>
      <c r="B56" s="167" t="s">
        <v>569</v>
      </c>
      <c r="C56" s="167" t="s">
        <v>570</v>
      </c>
      <c r="D56" s="21"/>
      <c r="E56" s="22"/>
      <c r="F56" s="23"/>
      <c r="G56" s="23"/>
      <c r="H56" s="23"/>
      <c r="I56" s="23"/>
      <c r="J56" s="23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</row>
    <row r="57" spans="1:23" s="20" customFormat="1" x14ac:dyDescent="0.15">
      <c r="A57" s="167" t="s">
        <v>253</v>
      </c>
      <c r="B57" s="167" t="s">
        <v>571</v>
      </c>
      <c r="C57" s="167" t="s">
        <v>572</v>
      </c>
      <c r="D57" s="21"/>
      <c r="E57" s="22"/>
      <c r="F57" s="23"/>
      <c r="G57" s="23"/>
      <c r="H57" s="23"/>
      <c r="I57" s="23"/>
      <c r="J57" s="23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</row>
    <row r="58" spans="1:23" s="20" customFormat="1" x14ac:dyDescent="0.15">
      <c r="A58" s="167" t="s">
        <v>253</v>
      </c>
      <c r="B58" s="167" t="s">
        <v>577</v>
      </c>
      <c r="C58" s="167" t="s">
        <v>578</v>
      </c>
      <c r="D58" s="21"/>
      <c r="E58" s="22"/>
      <c r="F58" s="23"/>
      <c r="G58" s="23"/>
      <c r="H58" s="23"/>
      <c r="I58" s="23"/>
      <c r="J58" s="23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</row>
    <row r="59" spans="1:23" s="20" customFormat="1" x14ac:dyDescent="0.15">
      <c r="A59" s="167" t="s">
        <v>253</v>
      </c>
      <c r="B59" s="167" t="s">
        <v>579</v>
      </c>
      <c r="C59" s="167" t="s">
        <v>580</v>
      </c>
      <c r="D59" s="21"/>
      <c r="E59" s="22"/>
      <c r="F59" s="23"/>
      <c r="G59" s="23"/>
      <c r="H59" s="23"/>
      <c r="I59" s="23"/>
      <c r="J59" s="23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</row>
    <row r="60" spans="1:23" s="20" customFormat="1" x14ac:dyDescent="0.15">
      <c r="A60" s="167" t="s">
        <v>253</v>
      </c>
      <c r="B60" s="167" t="s">
        <v>585</v>
      </c>
      <c r="C60" s="167" t="s">
        <v>586</v>
      </c>
      <c r="D60" s="21"/>
      <c r="E60" s="22"/>
      <c r="F60" s="23"/>
      <c r="G60" s="23"/>
      <c r="H60" s="23"/>
      <c r="I60" s="23"/>
      <c r="J60" s="23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</row>
    <row r="61" spans="1:23" s="20" customFormat="1" x14ac:dyDescent="0.15">
      <c r="A61" s="167" t="s">
        <v>253</v>
      </c>
      <c r="B61" s="167" t="s">
        <v>591</v>
      </c>
      <c r="C61" s="167" t="s">
        <v>592</v>
      </c>
      <c r="D61" s="21"/>
      <c r="E61" s="22"/>
      <c r="F61" s="23"/>
      <c r="G61" s="23"/>
      <c r="H61" s="23"/>
      <c r="I61" s="23"/>
      <c r="J61" s="23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</row>
    <row r="62" spans="1:23" s="20" customFormat="1" x14ac:dyDescent="0.15">
      <c r="A62" s="167" t="s">
        <v>253</v>
      </c>
      <c r="B62" s="167" t="s">
        <v>593</v>
      </c>
      <c r="C62" s="167" t="s">
        <v>594</v>
      </c>
      <c r="D62" s="21"/>
      <c r="E62" s="22"/>
      <c r="F62" s="23"/>
      <c r="G62" s="23"/>
      <c r="H62" s="23"/>
      <c r="I62" s="23"/>
      <c r="J62" s="23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</row>
    <row r="63" spans="1:23" s="20" customFormat="1" x14ac:dyDescent="0.15">
      <c r="A63" s="167"/>
      <c r="B63" s="186" t="s">
        <v>624</v>
      </c>
      <c r="C63" s="186" t="s">
        <v>625</v>
      </c>
      <c r="D63" s="21">
        <v>4.84</v>
      </c>
      <c r="E63" s="22"/>
      <c r="F63" s="23"/>
      <c r="G63" s="23"/>
      <c r="H63" s="23"/>
      <c r="I63" s="23"/>
      <c r="J63" s="23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</row>
    <row r="64" spans="1:23" s="20" customFormat="1" x14ac:dyDescent="0.15">
      <c r="A64" s="167" t="s">
        <v>253</v>
      </c>
      <c r="B64" s="167" t="s">
        <v>595</v>
      </c>
      <c r="C64" s="167" t="s">
        <v>596</v>
      </c>
      <c r="D64" s="21"/>
      <c r="E64" s="22"/>
      <c r="F64" s="23"/>
      <c r="G64" s="23"/>
      <c r="H64" s="23"/>
      <c r="I64" s="23"/>
      <c r="J64" s="23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</row>
    <row r="65" spans="1:23" s="20" customFormat="1" x14ac:dyDescent="0.15">
      <c r="A65" s="167" t="s">
        <v>253</v>
      </c>
      <c r="B65" s="167" t="s">
        <v>605</v>
      </c>
      <c r="C65" s="167" t="s">
        <v>606</v>
      </c>
      <c r="D65" s="21"/>
      <c r="E65" s="22"/>
      <c r="F65" s="23"/>
      <c r="G65" s="23"/>
      <c r="H65" s="23"/>
      <c r="I65" s="23"/>
      <c r="J65" s="23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</row>
    <row r="66" spans="1:23" s="20" customFormat="1" x14ac:dyDescent="0.15">
      <c r="A66" s="167" t="s">
        <v>253</v>
      </c>
      <c r="B66" s="167" t="s">
        <v>609</v>
      </c>
      <c r="C66" s="167" t="s">
        <v>610</v>
      </c>
      <c r="D66" s="21"/>
      <c r="E66" s="22"/>
      <c r="F66" s="23"/>
      <c r="G66" s="23"/>
      <c r="H66" s="23"/>
      <c r="I66" s="23"/>
      <c r="J66" s="23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</row>
    <row r="67" spans="1:23" s="20" customFormat="1" x14ac:dyDescent="0.15">
      <c r="A67" s="167" t="s">
        <v>253</v>
      </c>
      <c r="B67" s="167" t="s">
        <v>611</v>
      </c>
      <c r="C67" s="167" t="s">
        <v>612</v>
      </c>
      <c r="D67" s="21"/>
      <c r="E67" s="22"/>
      <c r="F67" s="23"/>
      <c r="G67" s="23"/>
      <c r="H67" s="23"/>
      <c r="I67" s="23"/>
      <c r="J67" s="23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</row>
    <row r="68" spans="1:23" s="20" customFormat="1" x14ac:dyDescent="0.15">
      <c r="A68" s="167" t="s">
        <v>253</v>
      </c>
      <c r="B68" s="167" t="s">
        <v>613</v>
      </c>
      <c r="C68" s="167" t="s">
        <v>614</v>
      </c>
      <c r="D68" s="21"/>
      <c r="E68" s="22"/>
      <c r="F68" s="23"/>
      <c r="G68" s="23"/>
      <c r="H68" s="23"/>
      <c r="I68" s="23"/>
      <c r="J68" s="23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</row>
    <row r="69" spans="1:23" s="20" customFormat="1" x14ac:dyDescent="0.15">
      <c r="A69" s="165"/>
      <c r="B69" s="165"/>
      <c r="C69" s="165"/>
      <c r="D69" s="21"/>
      <c r="E69" s="22"/>
      <c r="F69" s="23"/>
      <c r="G69" s="23"/>
      <c r="H69" s="23"/>
      <c r="I69" s="23"/>
      <c r="J69" s="23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</row>
    <row r="70" spans="1:23" x14ac:dyDescent="0.15">
      <c r="B70" s="74" t="s">
        <v>248</v>
      </c>
      <c r="I70" s="126" t="s">
        <v>214</v>
      </c>
    </row>
    <row r="71" spans="1:23" x14ac:dyDescent="0.15">
      <c r="B71" s="126" t="s">
        <v>397</v>
      </c>
      <c r="E71" s="57">
        <v>30000</v>
      </c>
      <c r="I71" s="147" t="s">
        <v>455</v>
      </c>
    </row>
    <row r="72" spans="1:23" x14ac:dyDescent="0.15">
      <c r="B72" s="126" t="s">
        <v>398</v>
      </c>
      <c r="E72" s="57">
        <v>10000</v>
      </c>
      <c r="F72" s="126" t="s">
        <v>400</v>
      </c>
      <c r="G72" s="126" t="s">
        <v>399</v>
      </c>
      <c r="H72" s="126" t="s">
        <v>401</v>
      </c>
      <c r="I72" s="57">
        <v>2013</v>
      </c>
    </row>
    <row r="73" spans="1:23" x14ac:dyDescent="0.15">
      <c r="B73" s="126" t="s">
        <v>120</v>
      </c>
      <c r="E73" s="57">
        <v>10000</v>
      </c>
      <c r="F73" s="126"/>
      <c r="G73" s="126"/>
      <c r="H73" s="126"/>
    </row>
    <row r="74" spans="1:23" x14ac:dyDescent="0.15">
      <c r="B74" s="144" t="s">
        <v>98</v>
      </c>
      <c r="E74" s="57">
        <v>12000</v>
      </c>
    </row>
    <row r="75" spans="1:23" x14ac:dyDescent="0.15">
      <c r="B75" s="73" t="s">
        <v>276</v>
      </c>
      <c r="E75" s="57">
        <v>107</v>
      </c>
    </row>
  </sheetData>
  <hyperlinks>
    <hyperlink ref="A1" location="Main!A1" display="Main" xr:uid="{0503292A-659C-4A72-B97D-834713EC5785}"/>
    <hyperlink ref="B4" r:id="rId1" xr:uid="{8490DBEA-18EF-431F-AAE9-5080FB55647A}"/>
    <hyperlink ref="B6" r:id="rId2" xr:uid="{82160796-EF8E-4F69-8090-C97619BD3BC8}"/>
    <hyperlink ref="B5" r:id="rId3" xr:uid="{2964D309-6110-46D1-A6FF-CEF55CE8C8F6}"/>
    <hyperlink ref="B8" r:id="rId4" xr:uid="{BEBE7C2C-69F7-4F68-A1A3-433A555515CF}"/>
    <hyperlink ref="B11" r:id="rId5" xr:uid="{1647F4E6-0995-4C11-AEA1-85BE3B2789D3}"/>
    <hyperlink ref="B10" r:id="rId6" xr:uid="{11F6BC32-0B71-4C3C-92D4-6F1D15C6FCA5}"/>
    <hyperlink ref="B12" r:id="rId7" xr:uid="{BF5095B8-6956-4116-AD45-B06C94DC5EDF}"/>
    <hyperlink ref="B16" r:id="rId8" xr:uid="{1147CFA9-6647-443A-9626-FE00F78AE9FF}"/>
    <hyperlink ref="B14" r:id="rId9" xr:uid="{EE794379-CBE0-4BE4-963F-4A3EB8F86626}"/>
    <hyperlink ref="B13" r:id="rId10" xr:uid="{6424F2CF-2B61-4808-95C3-62B06E9F6361}"/>
    <hyperlink ref="B3" r:id="rId11" xr:uid="{D0A6A308-9256-4523-8FDF-BCE2AFB11B6E}"/>
    <hyperlink ref="B9" r:id="rId12" xr:uid="{5A1A0BF1-1F9D-453A-8615-32812BE41A68}"/>
    <hyperlink ref="B7" r:id="rId13" xr:uid="{8D7A6B6F-FFD2-4631-8D7D-1F8872005ED8}"/>
    <hyperlink ref="B17" r:id="rId14" xr:uid="{7E0DDDDE-643F-4D04-A9C8-5DCDC34BD7D2}"/>
    <hyperlink ref="B15" r:id="rId15" xr:uid="{C5C4C2F7-8284-467F-B226-D3648D0474B9}"/>
    <hyperlink ref="B42" r:id="rId16" xr:uid="{1913E089-D60B-4075-AB2C-B7B51D7DF108}"/>
    <hyperlink ref="B44" r:id="rId17" xr:uid="{16D30B47-CCE4-4C35-8F34-A4749495953D}"/>
    <hyperlink ref="B41" r:id="rId18" xr:uid="{6BBC6A3D-8C3C-4E31-9B81-B5DA45B7EED5}"/>
    <hyperlink ref="B43" r:id="rId19" xr:uid="{3E26AFD5-6B18-496F-AFD2-64E8C33867DE}"/>
  </hyperlinks>
  <pageMargins left="0.7" right="0.7" top="0.75" bottom="0.75" header="0.3" footer="0.3"/>
  <pageSetup orientation="portrait" horizontalDpi="1200" verticalDpi="1200" r:id="rId2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F58CA-3A5E-4A8C-A323-FDAA45D59D23}">
  <dimension ref="A1:Z59"/>
  <sheetViews>
    <sheetView zoomScale="205" zoomScaleNormal="205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baseColWidth="10" defaultColWidth="9.1640625" defaultRowHeight="13" x14ac:dyDescent="0.15"/>
  <cols>
    <col min="1" max="1" width="5" style="51" bestFit="1" customWidth="1"/>
    <col min="2" max="2" width="12" style="51" customWidth="1"/>
    <col min="3" max="3" width="11.6640625" style="51" customWidth="1"/>
    <col min="4" max="9" width="9.1640625" style="51"/>
    <col min="10" max="10" width="10.83203125" style="51" customWidth="1"/>
    <col min="11" max="16384" width="9.1640625" style="51"/>
  </cols>
  <sheetData>
    <row r="1" spans="1:26" x14ac:dyDescent="0.15">
      <c r="A1" s="5" t="s">
        <v>142</v>
      </c>
    </row>
    <row r="2" spans="1:26" x14ac:dyDescent="0.15">
      <c r="B2" s="13" t="s">
        <v>0</v>
      </c>
      <c r="C2" s="14" t="s">
        <v>1</v>
      </c>
      <c r="D2" s="15" t="s">
        <v>2</v>
      </c>
      <c r="E2" s="16" t="s">
        <v>3</v>
      </c>
      <c r="F2" s="17" t="s">
        <v>4</v>
      </c>
      <c r="G2" s="17" t="s">
        <v>5</v>
      </c>
      <c r="H2" s="17" t="s">
        <v>213</v>
      </c>
      <c r="I2" s="17" t="s">
        <v>6</v>
      </c>
      <c r="J2" s="38" t="s">
        <v>224</v>
      </c>
      <c r="K2" s="18" t="s">
        <v>208</v>
      </c>
      <c r="L2" s="18" t="s">
        <v>212</v>
      </c>
      <c r="M2" s="18" t="s">
        <v>209</v>
      </c>
      <c r="N2" s="18" t="s">
        <v>210</v>
      </c>
      <c r="O2" s="19" t="s">
        <v>211</v>
      </c>
      <c r="P2" s="42" t="s">
        <v>229</v>
      </c>
      <c r="Q2" s="43" t="s">
        <v>230</v>
      </c>
      <c r="R2" s="43" t="s">
        <v>231</v>
      </c>
      <c r="S2" s="19">
        <v>2025</v>
      </c>
      <c r="T2" s="42" t="s">
        <v>228</v>
      </c>
      <c r="U2" s="18">
        <v>2023</v>
      </c>
      <c r="V2" s="18">
        <v>2024</v>
      </c>
      <c r="W2" s="19">
        <v>2025</v>
      </c>
      <c r="X2" s="20" t="s">
        <v>214</v>
      </c>
      <c r="Y2" s="140" t="s">
        <v>420</v>
      </c>
      <c r="Z2" s="140" t="s">
        <v>421</v>
      </c>
    </row>
    <row r="3" spans="1:26" s="20" customFormat="1" x14ac:dyDescent="0.15">
      <c r="A3" s="57"/>
      <c r="B3" s="5" t="s">
        <v>13</v>
      </c>
      <c r="C3" s="20" t="s">
        <v>195</v>
      </c>
      <c r="D3" s="21">
        <v>400</v>
      </c>
      <c r="E3" s="22">
        <f>+D3*[26]Main!$M$3</f>
        <v>1060619.4696</v>
      </c>
      <c r="F3" s="22">
        <f>+[26]Main!$M$5-[26]Main!$M$6</f>
        <v>38382</v>
      </c>
      <c r="G3" s="22">
        <f t="shared" ref="G3:G4" si="0">+E3-F3</f>
        <v>1022237.4696</v>
      </c>
      <c r="H3" s="22">
        <f>+[26]Main!$M$3</f>
        <v>2651.5486740000001</v>
      </c>
      <c r="I3" s="170" t="s">
        <v>615</v>
      </c>
      <c r="J3" s="39">
        <v>45409</v>
      </c>
      <c r="K3" s="27"/>
      <c r="L3" s="28">
        <f>K3/D3-1</f>
        <v>-1</v>
      </c>
      <c r="M3" s="28">
        <f>+[26]Model!$AX$50</f>
        <v>0.08</v>
      </c>
      <c r="N3" s="28">
        <f>+[26]Model!$AX$51</f>
        <v>-0.05</v>
      </c>
      <c r="O3" s="28">
        <f>+[26]Model!$AX$52</f>
        <v>0.02</v>
      </c>
      <c r="P3" s="25"/>
      <c r="Q3" s="24"/>
      <c r="R3" s="24"/>
      <c r="S3" s="26"/>
      <c r="T3" s="25"/>
      <c r="U3" s="24"/>
      <c r="V3" s="24"/>
      <c r="W3" s="26"/>
      <c r="X3" s="20">
        <v>2004</v>
      </c>
      <c r="Y3" s="20">
        <v>3810</v>
      </c>
      <c r="Z3" s="141">
        <f>G3/Y3</f>
        <v>268.30379779527556</v>
      </c>
    </row>
    <row r="4" spans="1:26" s="20" customFormat="1" x14ac:dyDescent="0.15">
      <c r="A4" s="57"/>
      <c r="B4" s="5" t="s">
        <v>15</v>
      </c>
      <c r="C4" s="20" t="s">
        <v>16</v>
      </c>
      <c r="D4" s="21">
        <v>277.39999999999998</v>
      </c>
      <c r="E4" s="22">
        <f>+D4*[27]Main!$L$3*1000/HKD</f>
        <v>341793.77818543144</v>
      </c>
      <c r="F4" s="22">
        <f>([27]Main!$L$5-[27]Main!$L$6)/HKD*1000</f>
        <v>81912.914978725574</v>
      </c>
      <c r="G4" s="22">
        <f t="shared" si="0"/>
        <v>259880.86320670586</v>
      </c>
      <c r="H4" s="22">
        <f>+[27]Main!$L$3*1000</f>
        <v>9672</v>
      </c>
      <c r="I4" s="89" t="s">
        <v>200</v>
      </c>
      <c r="J4" s="39">
        <v>44802</v>
      </c>
      <c r="K4" s="24"/>
      <c r="L4" s="24"/>
      <c r="M4" s="24"/>
      <c r="N4" s="24"/>
      <c r="O4" s="24"/>
      <c r="P4" s="25"/>
      <c r="Q4" s="24"/>
      <c r="R4" s="24"/>
      <c r="S4" s="26"/>
      <c r="T4" s="25"/>
      <c r="U4" s="24"/>
      <c r="V4" s="24"/>
      <c r="W4" s="26"/>
      <c r="X4" s="20">
        <v>1998</v>
      </c>
    </row>
    <row r="5" spans="1:26" s="20" customFormat="1" x14ac:dyDescent="0.15">
      <c r="A5" s="75"/>
      <c r="B5" s="76" t="s">
        <v>281</v>
      </c>
      <c r="C5" s="75" t="s">
        <v>282</v>
      </c>
      <c r="D5" s="21"/>
      <c r="E5" s="22"/>
      <c r="F5" s="22"/>
      <c r="G5" s="22"/>
      <c r="H5" s="22"/>
      <c r="I5" s="23"/>
      <c r="J5" s="23"/>
      <c r="K5" s="24"/>
      <c r="L5" s="24"/>
      <c r="M5" s="24"/>
      <c r="N5" s="24"/>
      <c r="O5" s="24"/>
      <c r="P5" s="25"/>
      <c r="Q5" s="24"/>
      <c r="R5" s="24"/>
      <c r="S5" s="26"/>
      <c r="T5" s="25"/>
      <c r="U5" s="24"/>
      <c r="V5" s="24"/>
      <c r="W5" s="26"/>
      <c r="X5" s="20">
        <v>2011</v>
      </c>
    </row>
    <row r="6" spans="1:26" s="20" customFormat="1" x14ac:dyDescent="0.15">
      <c r="A6" s="103"/>
      <c r="B6" s="103" t="s">
        <v>330</v>
      </c>
      <c r="C6" s="103" t="s">
        <v>331</v>
      </c>
      <c r="D6" s="21"/>
      <c r="E6" s="22"/>
      <c r="F6" s="23"/>
      <c r="G6" s="23"/>
      <c r="H6" s="23"/>
      <c r="I6" s="23"/>
      <c r="J6" s="23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0">
        <v>2010</v>
      </c>
    </row>
    <row r="7" spans="1:26" s="20" customFormat="1" x14ac:dyDescent="0.15">
      <c r="A7" s="83"/>
      <c r="B7" s="108" t="s">
        <v>299</v>
      </c>
      <c r="C7" s="83" t="s">
        <v>300</v>
      </c>
      <c r="D7" s="22">
        <v>193500</v>
      </c>
      <c r="E7" s="22">
        <v>33330</v>
      </c>
      <c r="F7" s="22"/>
      <c r="G7" s="22">
        <f>E7-F7</f>
        <v>33330</v>
      </c>
      <c r="H7" s="22"/>
      <c r="I7" s="23"/>
      <c r="J7" s="39"/>
      <c r="K7" s="24"/>
      <c r="L7" s="24"/>
      <c r="M7" s="24"/>
      <c r="N7" s="24"/>
      <c r="O7" s="26"/>
      <c r="P7" s="25"/>
      <c r="Q7" s="24"/>
      <c r="R7" s="24"/>
      <c r="S7" s="26"/>
      <c r="T7" s="25"/>
      <c r="U7" s="24"/>
      <c r="V7" s="24"/>
      <c r="W7" s="26"/>
      <c r="X7" s="20">
        <v>1999</v>
      </c>
    </row>
    <row r="8" spans="1:26" s="20" customFormat="1" x14ac:dyDescent="0.15">
      <c r="A8" s="109"/>
      <c r="B8" s="108" t="s">
        <v>377</v>
      </c>
      <c r="C8" s="109" t="s">
        <v>378</v>
      </c>
      <c r="D8" s="21">
        <v>12</v>
      </c>
      <c r="E8" s="22">
        <f>+D8*H8</f>
        <v>19357.212852000001</v>
      </c>
      <c r="F8" s="113">
        <f>+[28]Main!$L$5-[28]Main!$L$6</f>
        <v>688.14800000000014</v>
      </c>
      <c r="G8" s="22">
        <f>E8-F8</f>
        <v>18669.064852</v>
      </c>
      <c r="H8" s="22">
        <f>+[28]Main!$L$3</f>
        <v>1613.101071</v>
      </c>
      <c r="I8" s="112" t="s">
        <v>200</v>
      </c>
      <c r="J8" s="39">
        <v>44802</v>
      </c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Y8" s="20">
        <v>375</v>
      </c>
      <c r="Z8" s="141">
        <f>G8/Y8</f>
        <v>49.784172938666664</v>
      </c>
    </row>
    <row r="9" spans="1:26" s="20" customFormat="1" x14ac:dyDescent="0.15">
      <c r="B9" s="75" t="s">
        <v>279</v>
      </c>
      <c r="C9" s="75" t="s">
        <v>280</v>
      </c>
      <c r="D9" s="21"/>
      <c r="E9" s="22"/>
      <c r="F9" s="23"/>
      <c r="G9" s="23"/>
      <c r="H9" s="23"/>
      <c r="I9" s="23"/>
      <c r="J9" s="23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0">
        <v>2008</v>
      </c>
    </row>
    <row r="10" spans="1:26" s="20" customFormat="1" x14ac:dyDescent="0.15">
      <c r="B10" s="75" t="s">
        <v>283</v>
      </c>
      <c r="C10" s="75" t="s">
        <v>284</v>
      </c>
      <c r="D10" s="21"/>
      <c r="E10" s="22"/>
      <c r="F10" s="23"/>
      <c r="G10" s="23"/>
      <c r="H10" s="23"/>
      <c r="I10" s="23"/>
      <c r="J10" s="23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0">
        <v>2009</v>
      </c>
    </row>
    <row r="11" spans="1:26" s="20" customFormat="1" x14ac:dyDescent="0.15">
      <c r="B11" s="140" t="s">
        <v>76</v>
      </c>
      <c r="C11" s="75"/>
      <c r="D11" s="21"/>
      <c r="E11" s="22"/>
      <c r="F11" s="23"/>
      <c r="G11" s="23"/>
      <c r="H11" s="23"/>
      <c r="I11" s="23"/>
      <c r="J11" s="23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</row>
    <row r="12" spans="1:26" s="20" customFormat="1" x14ac:dyDescent="0.15">
      <c r="B12" s="100" t="s">
        <v>319</v>
      </c>
      <c r="C12" s="100" t="s">
        <v>320</v>
      </c>
      <c r="D12" s="21"/>
      <c r="E12" s="22"/>
      <c r="F12" s="23"/>
      <c r="G12" s="23"/>
      <c r="H12" s="23"/>
      <c r="I12" s="23"/>
      <c r="J12" s="23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</row>
    <row r="13" spans="1:26" s="20" customFormat="1" x14ac:dyDescent="0.15">
      <c r="B13" s="91" t="s">
        <v>129</v>
      </c>
      <c r="C13" s="20" t="s">
        <v>130</v>
      </c>
      <c r="D13" s="21">
        <v>32.869999999999997</v>
      </c>
      <c r="E13" s="22">
        <v>6880</v>
      </c>
      <c r="F13" s="23"/>
      <c r="G13" s="23"/>
      <c r="H13" s="23"/>
      <c r="I13" s="23"/>
      <c r="J13" s="23"/>
      <c r="K13" s="24"/>
      <c r="L13" s="24"/>
      <c r="M13" s="24"/>
      <c r="N13" s="24"/>
      <c r="O13" s="26"/>
      <c r="P13" s="25"/>
      <c r="Q13" s="24"/>
      <c r="R13" s="24"/>
      <c r="S13" s="26"/>
      <c r="T13" s="25"/>
      <c r="U13" s="24"/>
      <c r="V13" s="24"/>
      <c r="W13" s="26"/>
    </row>
    <row r="14" spans="1:26" s="20" customFormat="1" x14ac:dyDescent="0.15">
      <c r="B14" s="106" t="s">
        <v>360</v>
      </c>
      <c r="C14" s="183" t="s">
        <v>623</v>
      </c>
      <c r="D14" s="21">
        <v>12.27</v>
      </c>
      <c r="E14" s="22">
        <f>+D14*H14</f>
        <v>2159.42446578</v>
      </c>
      <c r="F14" s="185">
        <f>+[29]Main!$K$5-[29]Main!$K$6</f>
        <v>-240.45199999999997</v>
      </c>
      <c r="G14" s="22">
        <f>+E14-F14</f>
        <v>2399.8764657799998</v>
      </c>
      <c r="H14" s="22">
        <f>+[29]Main!$K$3</f>
        <v>175.99221399999999</v>
      </c>
      <c r="I14" s="184" t="s">
        <v>618</v>
      </c>
      <c r="J14" s="39">
        <v>45552</v>
      </c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0">
        <v>2009</v>
      </c>
    </row>
    <row r="15" spans="1:26" x14ac:dyDescent="0.15">
      <c r="B15" s="145" t="s">
        <v>322</v>
      </c>
      <c r="E15" s="131">
        <v>10000</v>
      </c>
    </row>
    <row r="16" spans="1:26" s="20" customFormat="1" x14ac:dyDescent="0.15">
      <c r="B16" s="177" t="s">
        <v>621</v>
      </c>
      <c r="C16" s="100"/>
      <c r="D16" s="21"/>
      <c r="E16" s="22"/>
      <c r="F16" s="23"/>
      <c r="G16" s="23"/>
      <c r="H16" s="23"/>
      <c r="I16" s="23"/>
      <c r="J16" s="23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</row>
    <row r="17" spans="2:23" s="20" customFormat="1" x14ac:dyDescent="0.15">
      <c r="B17" s="177" t="s">
        <v>622</v>
      </c>
      <c r="C17" s="100"/>
      <c r="D17" s="21"/>
      <c r="E17" s="22"/>
      <c r="F17" s="23"/>
      <c r="G17" s="23"/>
      <c r="H17" s="23"/>
      <c r="I17" s="23"/>
      <c r="J17" s="23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</row>
    <row r="18" spans="2:23" x14ac:dyDescent="0.15">
      <c r="B18" s="100" t="s">
        <v>324</v>
      </c>
      <c r="C18" s="100" t="s">
        <v>325</v>
      </c>
    </row>
    <row r="19" spans="2:23" s="20" customFormat="1" x14ac:dyDescent="0.15">
      <c r="B19" s="5"/>
      <c r="D19" s="21"/>
      <c r="E19" s="22"/>
      <c r="F19" s="22"/>
      <c r="G19" s="22"/>
      <c r="H19" s="22"/>
      <c r="I19" s="23"/>
      <c r="J19" s="23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</row>
    <row r="20" spans="2:23" x14ac:dyDescent="0.15">
      <c r="B20" s="52" t="s">
        <v>248</v>
      </c>
      <c r="F20" s="146" t="s">
        <v>214</v>
      </c>
    </row>
    <row r="21" spans="2:23" x14ac:dyDescent="0.15">
      <c r="B21" s="75" t="s">
        <v>278</v>
      </c>
      <c r="E21" s="131">
        <v>400000</v>
      </c>
    </row>
    <row r="22" spans="2:23" x14ac:dyDescent="0.15">
      <c r="B22" s="51" t="s">
        <v>247</v>
      </c>
      <c r="E22" s="131">
        <v>30000</v>
      </c>
    </row>
    <row r="23" spans="2:23" x14ac:dyDescent="0.15">
      <c r="B23" s="187" t="s">
        <v>628</v>
      </c>
      <c r="C23" s="187" t="s">
        <v>627</v>
      </c>
      <c r="D23" s="21">
        <v>44.5</v>
      </c>
      <c r="E23" s="22">
        <v>34050</v>
      </c>
    </row>
    <row r="24" spans="2:23" x14ac:dyDescent="0.15">
      <c r="B24" s="100" t="s">
        <v>318</v>
      </c>
      <c r="E24" s="131">
        <v>14500</v>
      </c>
      <c r="F24" s="51">
        <v>2015</v>
      </c>
      <c r="H24" s="145" t="s">
        <v>450</v>
      </c>
    </row>
    <row r="25" spans="2:23" x14ac:dyDescent="0.15">
      <c r="B25" s="145" t="s">
        <v>448</v>
      </c>
      <c r="E25" s="131"/>
      <c r="F25" s="51">
        <v>2021</v>
      </c>
      <c r="H25" s="187" t="s">
        <v>629</v>
      </c>
    </row>
    <row r="26" spans="2:23" x14ac:dyDescent="0.15">
      <c r="B26" s="145" t="s">
        <v>449</v>
      </c>
      <c r="E26" s="51">
        <v>1000</v>
      </c>
      <c r="H26" s="145" t="s">
        <v>451</v>
      </c>
    </row>
    <row r="27" spans="2:23" x14ac:dyDescent="0.15">
      <c r="B27" s="51" t="s">
        <v>246</v>
      </c>
      <c r="E27" s="51">
        <v>200</v>
      </c>
    </row>
    <row r="28" spans="2:23" x14ac:dyDescent="0.15">
      <c r="B28" s="100" t="s">
        <v>321</v>
      </c>
    </row>
    <row r="29" spans="2:23" x14ac:dyDescent="0.15">
      <c r="B29" s="100" t="s">
        <v>323</v>
      </c>
    </row>
    <row r="30" spans="2:23" x14ac:dyDescent="0.15">
      <c r="B30" s="100" t="s">
        <v>326</v>
      </c>
    </row>
    <row r="31" spans="2:23" x14ac:dyDescent="0.15">
      <c r="B31" s="100" t="s">
        <v>327</v>
      </c>
    </row>
    <row r="32" spans="2:23" x14ac:dyDescent="0.15">
      <c r="B32" s="100" t="s">
        <v>328</v>
      </c>
    </row>
    <row r="33" spans="2:2" x14ac:dyDescent="0.15">
      <c r="B33" s="106" t="s">
        <v>352</v>
      </c>
    </row>
    <row r="34" spans="2:2" x14ac:dyDescent="0.15">
      <c r="B34" s="51" t="s">
        <v>245</v>
      </c>
    </row>
    <row r="35" spans="2:2" x14ac:dyDescent="0.15">
      <c r="B35" s="106" t="s">
        <v>353</v>
      </c>
    </row>
    <row r="36" spans="2:2" x14ac:dyDescent="0.15">
      <c r="B36" s="132" t="s">
        <v>406</v>
      </c>
    </row>
    <row r="37" spans="2:2" x14ac:dyDescent="0.15">
      <c r="B37" s="106" t="s">
        <v>354</v>
      </c>
    </row>
    <row r="38" spans="2:2" x14ac:dyDescent="0.15">
      <c r="B38" s="106" t="s">
        <v>355</v>
      </c>
    </row>
    <row r="39" spans="2:2" x14ac:dyDescent="0.15">
      <c r="B39" s="106" t="s">
        <v>296</v>
      </c>
    </row>
    <row r="40" spans="2:2" x14ac:dyDescent="0.15">
      <c r="B40" s="106" t="s">
        <v>356</v>
      </c>
    </row>
    <row r="41" spans="2:2" x14ac:dyDescent="0.15">
      <c r="B41" s="106" t="s">
        <v>357</v>
      </c>
    </row>
    <row r="42" spans="2:2" x14ac:dyDescent="0.15">
      <c r="B42" s="106" t="s">
        <v>358</v>
      </c>
    </row>
    <row r="43" spans="2:2" x14ac:dyDescent="0.15">
      <c r="B43" s="106" t="s">
        <v>359</v>
      </c>
    </row>
    <row r="44" spans="2:2" x14ac:dyDescent="0.15">
      <c r="B44" s="106" t="s">
        <v>361</v>
      </c>
    </row>
    <row r="45" spans="2:2" x14ac:dyDescent="0.15">
      <c r="B45" s="106" t="s">
        <v>362</v>
      </c>
    </row>
    <row r="46" spans="2:2" x14ac:dyDescent="0.15">
      <c r="B46" s="106" t="s">
        <v>363</v>
      </c>
    </row>
    <row r="47" spans="2:2" x14ac:dyDescent="0.15">
      <c r="B47" s="106" t="s">
        <v>364</v>
      </c>
    </row>
    <row r="48" spans="2:2" x14ac:dyDescent="0.15">
      <c r="B48" s="106" t="s">
        <v>365</v>
      </c>
    </row>
    <row r="49" spans="2:2" x14ac:dyDescent="0.15">
      <c r="B49" s="106" t="s">
        <v>366</v>
      </c>
    </row>
    <row r="50" spans="2:2" x14ac:dyDescent="0.15">
      <c r="B50" s="106" t="s">
        <v>367</v>
      </c>
    </row>
    <row r="51" spans="2:2" x14ac:dyDescent="0.15">
      <c r="B51" s="106" t="s">
        <v>368</v>
      </c>
    </row>
    <row r="52" spans="2:2" x14ac:dyDescent="0.15">
      <c r="B52" s="106" t="s">
        <v>369</v>
      </c>
    </row>
    <row r="53" spans="2:2" x14ac:dyDescent="0.15">
      <c r="B53" s="106" t="s">
        <v>370</v>
      </c>
    </row>
    <row r="54" spans="2:2" x14ac:dyDescent="0.15">
      <c r="B54" s="106" t="s">
        <v>371</v>
      </c>
    </row>
    <row r="55" spans="2:2" x14ac:dyDescent="0.15">
      <c r="B55" s="106" t="s">
        <v>372</v>
      </c>
    </row>
    <row r="56" spans="2:2" x14ac:dyDescent="0.15">
      <c r="B56" s="106" t="s">
        <v>373</v>
      </c>
    </row>
    <row r="57" spans="2:2" x14ac:dyDescent="0.15">
      <c r="B57" s="187" t="s">
        <v>626</v>
      </c>
    </row>
    <row r="58" spans="2:2" x14ac:dyDescent="0.15">
      <c r="B58" s="187" t="s">
        <v>630</v>
      </c>
    </row>
    <row r="59" spans="2:2" x14ac:dyDescent="0.15">
      <c r="B59" s="187" t="s">
        <v>631</v>
      </c>
    </row>
  </sheetData>
  <hyperlinks>
    <hyperlink ref="B3" r:id="rId1" xr:uid="{06D5809E-72A9-41D7-974F-FA58D1ED15C4}"/>
    <hyperlink ref="B4" r:id="rId2" xr:uid="{29919CCF-0924-4FDD-BCCD-7B5AA19C4B1D}"/>
    <hyperlink ref="A1" location="Main!A1" display="Main" xr:uid="{62A13976-8B3C-42C8-B6D0-AD7B6C4E3241}"/>
    <hyperlink ref="B7" r:id="rId3" xr:uid="{FD70E649-2E6A-4E67-ACA2-AB99C8053558}"/>
    <hyperlink ref="B8" r:id="rId4" xr:uid="{E0C00157-A29D-4089-A301-263D6806A443}"/>
  </hyperlinks>
  <pageMargins left="0.7" right="0.7" top="0.75" bottom="0.75" header="0.3" footer="0.3"/>
  <pageSetup orientation="portrait" horizontalDpi="1200" verticalDpi="1200" r:id="rId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12437-B4E9-44AF-8552-EF0FF979C92B}">
  <dimension ref="A1:X29"/>
  <sheetViews>
    <sheetView tabSelected="1" zoomScale="190" zoomScaleNormal="19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J13" sqref="J13"/>
    </sheetView>
  </sheetViews>
  <sheetFormatPr baseColWidth="10" defaultColWidth="9.1640625" defaultRowHeight="13" x14ac:dyDescent="0.15"/>
  <cols>
    <col min="1" max="1" width="5" style="230" bestFit="1" customWidth="1"/>
    <col min="2" max="2" width="15" style="230" customWidth="1"/>
    <col min="3" max="16384" width="9.1640625" style="230"/>
  </cols>
  <sheetData>
    <row r="1" spans="1:24" x14ac:dyDescent="0.15">
      <c r="A1" s="5" t="s">
        <v>142</v>
      </c>
    </row>
    <row r="2" spans="1:24" x14ac:dyDescent="0.15">
      <c r="A2" s="5"/>
      <c r="B2" s="230" t="s">
        <v>0</v>
      </c>
      <c r="C2" s="230" t="s">
        <v>1</v>
      </c>
      <c r="D2" s="227" t="s">
        <v>2</v>
      </c>
      <c r="E2" s="229" t="s">
        <v>3</v>
      </c>
      <c r="F2" s="227" t="s">
        <v>387</v>
      </c>
      <c r="G2" s="227" t="s">
        <v>5</v>
      </c>
      <c r="H2" s="227" t="s">
        <v>213</v>
      </c>
      <c r="I2" s="227" t="s">
        <v>388</v>
      </c>
      <c r="J2" s="227" t="s">
        <v>224</v>
      </c>
    </row>
    <row r="3" spans="1:24" x14ac:dyDescent="0.15">
      <c r="A3" s="230" t="s">
        <v>253</v>
      </c>
      <c r="B3" s="5" t="s">
        <v>179</v>
      </c>
      <c r="C3" s="230" t="s">
        <v>180</v>
      </c>
      <c r="D3" s="231">
        <v>375.71</v>
      </c>
      <c r="E3" s="229">
        <f>+D3*H3</f>
        <v>57472.452251789997</v>
      </c>
      <c r="F3" s="229">
        <f>+[30]Main!$N$5-[30]Main!$N$6</f>
        <v>1696.7459999999999</v>
      </c>
      <c r="G3" s="229">
        <f t="shared" ref="G3:G8" si="0">E3-F3</f>
        <v>55775.706251789998</v>
      </c>
      <c r="H3" s="229">
        <f>+[30]Main!$N$3</f>
        <v>152.970249</v>
      </c>
      <c r="I3" s="227" t="s">
        <v>14</v>
      </c>
      <c r="J3" s="232">
        <v>44783</v>
      </c>
      <c r="K3" s="233"/>
      <c r="L3" s="233"/>
      <c r="M3" s="233"/>
      <c r="N3" s="233"/>
      <c r="O3" s="233"/>
      <c r="P3" s="234"/>
      <c r="Q3" s="233"/>
      <c r="R3" s="233"/>
      <c r="S3" s="235"/>
      <c r="T3" s="234"/>
      <c r="U3" s="233"/>
      <c r="V3" s="233"/>
      <c r="W3" s="235"/>
    </row>
    <row r="4" spans="1:24" x14ac:dyDescent="0.15">
      <c r="A4" s="230" t="s">
        <v>253</v>
      </c>
      <c r="B4" s="5" t="s">
        <v>177</v>
      </c>
      <c r="C4" s="230" t="s">
        <v>178</v>
      </c>
      <c r="D4" s="231">
        <v>39.74</v>
      </c>
      <c r="E4" s="229">
        <f>+D4*[31]Main!$L$3*EUR</f>
        <v>53089.738980000009</v>
      </c>
      <c r="F4" s="229">
        <f>+([31]Main!$L$5-[31]Main!$L$6)*EUR</f>
        <v>-490.25400000000008</v>
      </c>
      <c r="G4" s="229">
        <f t="shared" si="0"/>
        <v>53579.99298000001</v>
      </c>
      <c r="H4" s="229"/>
      <c r="I4" s="227" t="s">
        <v>200</v>
      </c>
      <c r="J4" s="227"/>
      <c r="K4" s="233"/>
      <c r="L4" s="233"/>
      <c r="M4" s="233"/>
      <c r="N4" s="233"/>
      <c r="O4" s="233"/>
      <c r="P4" s="234"/>
      <c r="Q4" s="233"/>
      <c r="R4" s="233"/>
      <c r="S4" s="235"/>
      <c r="T4" s="234"/>
      <c r="U4" s="233"/>
      <c r="V4" s="233"/>
      <c r="W4" s="235"/>
    </row>
    <row r="5" spans="1:24" x14ac:dyDescent="0.15">
      <c r="A5" s="230" t="s">
        <v>253</v>
      </c>
      <c r="B5" s="5" t="s">
        <v>48</v>
      </c>
      <c r="C5" s="230" t="s">
        <v>49</v>
      </c>
      <c r="D5" s="231">
        <v>186</v>
      </c>
      <c r="E5" s="229">
        <f>+D5*H5</f>
        <v>51584.495999999999</v>
      </c>
      <c r="F5" s="229">
        <f>+[32]Main!$K$5-[32]Main!$K$6</f>
        <v>741.35200000000009</v>
      </c>
      <c r="G5" s="229">
        <f t="shared" si="0"/>
        <v>50843.144</v>
      </c>
      <c r="H5" s="229">
        <f>+[32]Main!$K$3</f>
        <v>277.33600000000001</v>
      </c>
      <c r="I5" s="227" t="s">
        <v>221</v>
      </c>
      <c r="J5" s="227"/>
      <c r="K5" s="233"/>
      <c r="L5" s="233"/>
      <c r="M5" s="233"/>
      <c r="N5" s="233"/>
      <c r="O5" s="233"/>
      <c r="P5" s="234"/>
      <c r="Q5" s="233"/>
      <c r="R5" s="233"/>
      <c r="S5" s="235"/>
      <c r="T5" s="234"/>
      <c r="U5" s="233"/>
      <c r="V5" s="233"/>
      <c r="W5" s="235"/>
    </row>
    <row r="6" spans="1:24" x14ac:dyDescent="0.15">
      <c r="A6" s="230" t="s">
        <v>253</v>
      </c>
      <c r="B6" s="5" t="s">
        <v>46</v>
      </c>
      <c r="C6" s="230" t="s">
        <v>47</v>
      </c>
      <c r="D6" s="231">
        <v>203.73</v>
      </c>
      <c r="E6" s="229">
        <f>+D6*H6</f>
        <v>44264.86632465</v>
      </c>
      <c r="F6" s="229">
        <f>+[33]Main!$L$5-[33]Main!$L$6</f>
        <v>-1005</v>
      </c>
      <c r="G6" s="229">
        <f t="shared" si="0"/>
        <v>45269.86632465</v>
      </c>
      <c r="H6" s="229">
        <f>+[33]Main!$L$3</f>
        <v>217.27220500000001</v>
      </c>
      <c r="I6" s="227" t="s">
        <v>14</v>
      </c>
      <c r="J6" s="227"/>
      <c r="K6" s="233"/>
      <c r="L6" s="233"/>
      <c r="M6" s="233"/>
      <c r="N6" s="233"/>
      <c r="O6" s="233"/>
      <c r="P6" s="234"/>
      <c r="Q6" s="233"/>
      <c r="R6" s="233"/>
      <c r="S6" s="235"/>
      <c r="T6" s="234"/>
      <c r="U6" s="233"/>
      <c r="V6" s="233"/>
      <c r="W6" s="235"/>
      <c r="X6" s="230">
        <v>1982</v>
      </c>
    </row>
    <row r="7" spans="1:24" x14ac:dyDescent="0.15">
      <c r="A7" s="230" t="s">
        <v>253</v>
      </c>
      <c r="B7" s="5" t="s">
        <v>61</v>
      </c>
      <c r="C7" s="230" t="s">
        <v>62</v>
      </c>
      <c r="D7" s="231">
        <v>236.61</v>
      </c>
      <c r="E7" s="229">
        <f>+D7*H7</f>
        <v>20601.316825649999</v>
      </c>
      <c r="F7" s="229">
        <f>+[34]Main!$M$5-[34]Main!$M$6</f>
        <v>-235.76700000000005</v>
      </c>
      <c r="G7" s="229">
        <f t="shared" si="0"/>
        <v>20837.083825649999</v>
      </c>
      <c r="H7" s="229">
        <f>+[34]Main!$M$3</f>
        <v>87.068664999999996</v>
      </c>
      <c r="I7" s="227" t="s">
        <v>200</v>
      </c>
      <c r="J7" s="232">
        <v>44795</v>
      </c>
      <c r="K7" s="233"/>
      <c r="L7" s="233"/>
      <c r="M7" s="233"/>
      <c r="N7" s="233"/>
      <c r="O7" s="233"/>
      <c r="P7" s="234"/>
      <c r="Q7" s="233"/>
      <c r="R7" s="233"/>
      <c r="S7" s="235"/>
      <c r="T7" s="234"/>
      <c r="U7" s="233"/>
      <c r="V7" s="233"/>
      <c r="W7" s="235"/>
    </row>
    <row r="8" spans="1:24" x14ac:dyDescent="0.15">
      <c r="B8" s="87" t="s">
        <v>219</v>
      </c>
      <c r="C8" s="230" t="s">
        <v>220</v>
      </c>
      <c r="D8" s="231">
        <v>122.15</v>
      </c>
      <c r="E8" s="229">
        <f>D8*H8/SEK</f>
        <v>31958.952028771135</v>
      </c>
      <c r="F8" s="229">
        <f>([35]Main!$L$5-[35]Main!$L$6)*EUR</f>
        <v>-3389.8630000000003</v>
      </c>
      <c r="G8" s="229">
        <f t="shared" si="0"/>
        <v>35348.815028771132</v>
      </c>
      <c r="H8" s="229">
        <f>[35]Main!$L$3</f>
        <v>2706.2939999999999</v>
      </c>
      <c r="I8" s="227" t="s">
        <v>382</v>
      </c>
      <c r="J8" s="232">
        <v>45056</v>
      </c>
      <c r="K8" s="233"/>
      <c r="L8" s="233"/>
      <c r="M8" s="233"/>
      <c r="N8" s="233"/>
      <c r="O8" s="235"/>
      <c r="P8" s="234"/>
      <c r="Q8" s="233"/>
      <c r="R8" s="233"/>
      <c r="S8" s="235"/>
      <c r="T8" s="234"/>
      <c r="U8" s="233"/>
      <c r="V8" s="233"/>
      <c r="W8" s="235"/>
      <c r="X8" s="230">
        <v>1992</v>
      </c>
    </row>
    <row r="9" spans="1:24" x14ac:dyDescent="0.15">
      <c r="A9" s="230" t="s">
        <v>253</v>
      </c>
      <c r="B9" s="236" t="s">
        <v>92</v>
      </c>
      <c r="C9" s="230" t="s">
        <v>92</v>
      </c>
      <c r="D9" s="231">
        <v>115.52</v>
      </c>
      <c r="E9" s="229">
        <v>13640</v>
      </c>
    </row>
    <row r="10" spans="1:24" x14ac:dyDescent="0.15">
      <c r="B10" s="230" t="s">
        <v>222</v>
      </c>
      <c r="C10" s="230" t="s">
        <v>223</v>
      </c>
      <c r="D10" s="237">
        <v>31.44</v>
      </c>
      <c r="E10" s="229">
        <v>2220</v>
      </c>
      <c r="F10" s="227"/>
      <c r="G10" s="227"/>
      <c r="H10" s="227"/>
      <c r="I10" s="227"/>
      <c r="J10" s="227"/>
      <c r="K10" s="233"/>
      <c r="L10" s="233"/>
      <c r="M10" s="233"/>
      <c r="N10" s="233"/>
      <c r="O10" s="233"/>
      <c r="P10" s="234"/>
      <c r="Q10" s="233"/>
      <c r="R10" s="233"/>
      <c r="S10" s="235"/>
      <c r="T10" s="234"/>
      <c r="U10" s="233"/>
      <c r="V10" s="233"/>
      <c r="W10" s="235"/>
    </row>
    <row r="11" spans="1:24" x14ac:dyDescent="0.15">
      <c r="B11" s="230" t="s">
        <v>316</v>
      </c>
      <c r="C11" s="230" t="s">
        <v>374</v>
      </c>
      <c r="D11" s="227"/>
      <c r="E11" s="227"/>
      <c r="F11" s="227"/>
      <c r="G11" s="227"/>
      <c r="H11" s="227"/>
      <c r="I11" s="227"/>
      <c r="J11" s="227"/>
    </row>
    <row r="12" spans="1:24" x14ac:dyDescent="0.15">
      <c r="B12" s="230" t="s">
        <v>317</v>
      </c>
      <c r="D12" s="227"/>
      <c r="E12" s="227"/>
      <c r="F12" s="227"/>
      <c r="G12" s="227"/>
      <c r="H12" s="227"/>
      <c r="I12" s="227"/>
      <c r="J12" s="227"/>
    </row>
    <row r="13" spans="1:24" x14ac:dyDescent="0.15">
      <c r="B13" s="5" t="s">
        <v>643</v>
      </c>
      <c r="C13" s="230" t="s">
        <v>644</v>
      </c>
      <c r="D13" s="237">
        <v>12.44</v>
      </c>
      <c r="E13" s="229">
        <f>+D13*H13</f>
        <v>10089.43869988</v>
      </c>
      <c r="F13" s="229">
        <f>+[51]Main!$K$5-[51]Main!$K$6</f>
        <v>1203</v>
      </c>
      <c r="G13" s="229">
        <f>+E13-F13</f>
        <v>8886.4386998800001</v>
      </c>
      <c r="H13" s="229">
        <f>+[51]Main!$K$3</f>
        <v>811.04812700000002</v>
      </c>
      <c r="I13" s="227" t="s">
        <v>618</v>
      </c>
      <c r="J13" s="232">
        <v>45536</v>
      </c>
    </row>
    <row r="14" spans="1:24" x14ac:dyDescent="0.15">
      <c r="A14" s="230" t="s">
        <v>253</v>
      </c>
      <c r="B14" s="230" t="s">
        <v>491</v>
      </c>
      <c r="C14" s="230" t="s">
        <v>107</v>
      </c>
    </row>
    <row r="15" spans="1:24" x14ac:dyDescent="0.15">
      <c r="A15" s="230" t="s">
        <v>253</v>
      </c>
      <c r="B15" s="236" t="s">
        <v>90</v>
      </c>
      <c r="C15" s="230" t="s">
        <v>91</v>
      </c>
      <c r="D15" s="231">
        <v>206.61</v>
      </c>
      <c r="E15" s="229">
        <v>13880</v>
      </c>
    </row>
    <row r="16" spans="1:24" x14ac:dyDescent="0.15">
      <c r="A16" s="230" t="s">
        <v>253</v>
      </c>
      <c r="B16" s="230" t="s">
        <v>443</v>
      </c>
      <c r="C16" s="230" t="s">
        <v>442</v>
      </c>
    </row>
    <row r="17" spans="1:5" x14ac:dyDescent="0.15">
      <c r="A17" s="230" t="s">
        <v>253</v>
      </c>
      <c r="B17" s="230" t="s">
        <v>519</v>
      </c>
      <c r="C17" s="230" t="s">
        <v>520</v>
      </c>
    </row>
    <row r="18" spans="1:5" x14ac:dyDescent="0.15">
      <c r="A18" s="230" t="s">
        <v>253</v>
      </c>
      <c r="B18" s="230" t="s">
        <v>537</v>
      </c>
      <c r="C18" s="230" t="s">
        <v>538</v>
      </c>
    </row>
    <row r="19" spans="1:5" x14ac:dyDescent="0.15">
      <c r="A19" s="230" t="s">
        <v>253</v>
      </c>
      <c r="B19" s="230" t="s">
        <v>553</v>
      </c>
      <c r="C19" s="230" t="s">
        <v>554</v>
      </c>
    </row>
    <row r="20" spans="1:5" x14ac:dyDescent="0.15">
      <c r="A20" s="230" t="s">
        <v>253</v>
      </c>
      <c r="B20" s="230" t="s">
        <v>557</v>
      </c>
      <c r="C20" s="230" t="s">
        <v>558</v>
      </c>
    </row>
    <row r="21" spans="1:5" x14ac:dyDescent="0.15">
      <c r="A21" s="230" t="s">
        <v>253</v>
      </c>
      <c r="B21" s="230" t="s">
        <v>561</v>
      </c>
      <c r="C21" s="230" t="s">
        <v>562</v>
      </c>
    </row>
    <row r="23" spans="1:5" x14ac:dyDescent="0.15">
      <c r="B23" s="74" t="s">
        <v>248</v>
      </c>
    </row>
    <row r="24" spans="1:5" x14ac:dyDescent="0.15">
      <c r="B24" s="230" t="s">
        <v>405</v>
      </c>
      <c r="E24" s="230">
        <v>2400</v>
      </c>
    </row>
    <row r="25" spans="1:5" x14ac:dyDescent="0.15">
      <c r="B25" s="230" t="s">
        <v>384</v>
      </c>
      <c r="E25" s="230">
        <v>1500</v>
      </c>
    </row>
    <row r="26" spans="1:5" x14ac:dyDescent="0.15">
      <c r="B26" s="230" t="s">
        <v>386</v>
      </c>
      <c r="E26" s="230">
        <v>1000</v>
      </c>
    </row>
    <row r="27" spans="1:5" x14ac:dyDescent="0.15">
      <c r="B27" s="230" t="s">
        <v>404</v>
      </c>
      <c r="E27" s="230">
        <v>1000</v>
      </c>
    </row>
    <row r="28" spans="1:5" x14ac:dyDescent="0.15">
      <c r="B28" s="230" t="s">
        <v>375</v>
      </c>
    </row>
    <row r="29" spans="1:5" x14ac:dyDescent="0.15">
      <c r="B29" s="230" t="s">
        <v>385</v>
      </c>
    </row>
  </sheetData>
  <hyperlinks>
    <hyperlink ref="B4" r:id="rId1" xr:uid="{A7E983F7-BC7A-4B3D-8444-6070EF708DDF}"/>
    <hyperlink ref="B6" r:id="rId2" xr:uid="{C691107C-F03A-4EB9-887D-F480D084DC80}"/>
    <hyperlink ref="B5" r:id="rId3" xr:uid="{C9E770CD-C0F9-437F-A1F8-A5EC0DD0B08B}"/>
    <hyperlink ref="B3" r:id="rId4" xr:uid="{8CA64543-CFB9-4EFA-93C4-C766402037C3}"/>
    <hyperlink ref="A1" location="Main!A1" display="Main" xr:uid="{69B9600D-1FE1-4411-8DDE-BF8E78812291}"/>
    <hyperlink ref="B7" r:id="rId5" xr:uid="{3FA63595-4D83-4815-90B6-28C534796235}"/>
    <hyperlink ref="B8" r:id="rId6" xr:uid="{B1E63D77-7B2A-465F-96ED-98ACEF7D4A6C}"/>
    <hyperlink ref="B13" r:id="rId7" xr:uid="{6CDF4A4B-3F94-2342-8F42-9030F0904307}"/>
  </hyperlinks>
  <pageMargins left="0.7" right="0.7" top="0.75" bottom="0.75" header="0.3" footer="0.3"/>
  <pageSetup orientation="portrait" horizontalDpi="1200" verticalDpi="1200" r:id="rId8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C990C-C1C5-4FE2-B554-717099EBE596}">
  <dimension ref="A1:AA41"/>
  <sheetViews>
    <sheetView zoomScale="175" zoomScaleNormal="175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I5" sqref="I5"/>
    </sheetView>
  </sheetViews>
  <sheetFormatPr baseColWidth="10" defaultColWidth="9.1640625" defaultRowHeight="13" x14ac:dyDescent="0.15"/>
  <cols>
    <col min="1" max="1" width="5" style="10" bestFit="1" customWidth="1"/>
    <col min="2" max="2" width="13.6640625" style="10" customWidth="1"/>
    <col min="3" max="3" width="9.1640625" style="10"/>
    <col min="4" max="4" width="10" style="10" bestFit="1" customWidth="1"/>
    <col min="5" max="5" width="9.83203125" style="10" customWidth="1"/>
    <col min="6" max="9" width="9.1640625" style="10"/>
    <col min="10" max="10" width="10.33203125" style="10" customWidth="1"/>
    <col min="11" max="16384" width="9.1640625" style="10"/>
  </cols>
  <sheetData>
    <row r="1" spans="1:27" x14ac:dyDescent="0.15">
      <c r="A1" s="5" t="s">
        <v>142</v>
      </c>
    </row>
    <row r="2" spans="1:27" x14ac:dyDescent="0.15">
      <c r="B2" s="13" t="s">
        <v>0</v>
      </c>
      <c r="C2" s="14" t="s">
        <v>1</v>
      </c>
      <c r="D2" s="15" t="s">
        <v>2</v>
      </c>
      <c r="E2" s="16" t="s">
        <v>3</v>
      </c>
      <c r="F2" s="17" t="s">
        <v>4</v>
      </c>
      <c r="G2" s="17" t="s">
        <v>5</v>
      </c>
      <c r="H2" s="17" t="s">
        <v>213</v>
      </c>
      <c r="I2" s="17" t="s">
        <v>6</v>
      </c>
      <c r="J2" s="38" t="s">
        <v>224</v>
      </c>
      <c r="K2" s="18" t="s">
        <v>208</v>
      </c>
      <c r="L2" s="18" t="s">
        <v>212</v>
      </c>
      <c r="M2" s="18" t="s">
        <v>209</v>
      </c>
      <c r="N2" s="18" t="s">
        <v>210</v>
      </c>
      <c r="O2" s="19" t="s">
        <v>211</v>
      </c>
      <c r="P2" s="42" t="s">
        <v>229</v>
      </c>
      <c r="Q2" s="44" t="s">
        <v>230</v>
      </c>
      <c r="R2" s="44" t="s">
        <v>231</v>
      </c>
      <c r="S2" s="19">
        <v>2025</v>
      </c>
      <c r="T2" s="42" t="s">
        <v>228</v>
      </c>
      <c r="U2" s="18">
        <v>2023</v>
      </c>
      <c r="V2" s="18">
        <v>2024</v>
      </c>
      <c r="W2" s="19">
        <v>2025</v>
      </c>
      <c r="X2" s="45" t="s">
        <v>214</v>
      </c>
      <c r="Y2" s="140" t="s">
        <v>422</v>
      </c>
    </row>
    <row r="3" spans="1:27" x14ac:dyDescent="0.15">
      <c r="A3" s="152" t="s">
        <v>253</v>
      </c>
      <c r="B3" s="5" t="s">
        <v>7</v>
      </c>
      <c r="C3" s="20" t="s">
        <v>8</v>
      </c>
      <c r="D3" s="21">
        <v>426.78</v>
      </c>
      <c r="E3" s="22">
        <f>D3*[2]Main!$L$3</f>
        <v>3187619.82</v>
      </c>
      <c r="F3" s="22">
        <f>[2]Main!$L$5-[2]Main!$L$6</f>
        <v>38513</v>
      </c>
      <c r="G3" s="22">
        <f>+E3-F3</f>
        <v>3149106.82</v>
      </c>
      <c r="H3" s="22">
        <f>+[2]Main!$L$3</f>
        <v>7469</v>
      </c>
      <c r="I3" s="23" t="s">
        <v>14</v>
      </c>
      <c r="J3" s="54">
        <v>45152</v>
      </c>
      <c r="M3" s="179">
        <f>+[2]Model!$BT$48</f>
        <v>7.0000000000000007E-2</v>
      </c>
      <c r="AA3" s="149" t="s">
        <v>468</v>
      </c>
    </row>
    <row r="4" spans="1:27" x14ac:dyDescent="0.15">
      <c r="A4" s="57"/>
      <c r="B4" s="5" t="s">
        <v>15</v>
      </c>
      <c r="C4" s="20" t="s">
        <v>16</v>
      </c>
      <c r="D4" s="21">
        <v>391.4</v>
      </c>
      <c r="E4" s="22">
        <f>+D4*[27]Main!$L$3*1000/HKD</f>
        <v>482256.9746999924</v>
      </c>
      <c r="F4" s="22">
        <f>([27]Main!$L$5-[27]Main!$L$6)/HKD*1000</f>
        <v>81912.914978725574</v>
      </c>
      <c r="G4" s="22">
        <f>+E4-F4</f>
        <v>400344.05972126685</v>
      </c>
      <c r="H4" s="22"/>
      <c r="I4" s="23" t="s">
        <v>14</v>
      </c>
      <c r="M4" s="180"/>
    </row>
    <row r="5" spans="1:27" s="20" customFormat="1" x14ac:dyDescent="0.15">
      <c r="A5" s="152" t="s">
        <v>253</v>
      </c>
      <c r="B5" s="5" t="s">
        <v>19</v>
      </c>
      <c r="C5" s="20" t="s">
        <v>20</v>
      </c>
      <c r="D5" s="21">
        <v>532</v>
      </c>
      <c r="E5" s="22">
        <f>+D5*[36]Main!$N$4</f>
        <v>238336</v>
      </c>
      <c r="F5" s="22">
        <f>+[36]Main!$N$6-[36]Main!$N$7</f>
        <v>1888</v>
      </c>
      <c r="G5" s="22">
        <f t="shared" ref="G5:G8" si="0">+E5-F5</f>
        <v>236448</v>
      </c>
      <c r="H5" s="22">
        <f>+[36]Main!$N$4</f>
        <v>448</v>
      </c>
      <c r="I5" s="182" t="s">
        <v>618</v>
      </c>
      <c r="J5" s="39">
        <v>45548</v>
      </c>
      <c r="K5" s="24"/>
      <c r="L5" s="24"/>
      <c r="M5" s="181">
        <f>+[36]Model!$AP$36</f>
        <v>0.08</v>
      </c>
      <c r="N5" s="28">
        <f>+[36]Model!$AP$34</f>
        <v>0.01</v>
      </c>
      <c r="O5" s="28">
        <f>+[36]Model!$AP$35</f>
        <v>0.03</v>
      </c>
      <c r="P5" s="25"/>
      <c r="Q5" s="24"/>
      <c r="R5" s="24"/>
      <c r="S5" s="26"/>
      <c r="T5" s="25"/>
      <c r="U5" s="24"/>
      <c r="V5" s="24"/>
      <c r="W5" s="26"/>
      <c r="X5" s="20">
        <v>1982</v>
      </c>
    </row>
    <row r="6" spans="1:27" s="20" customFormat="1" x14ac:dyDescent="0.15">
      <c r="A6" s="67"/>
      <c r="B6" s="5" t="s">
        <v>259</v>
      </c>
      <c r="C6" s="67" t="s">
        <v>260</v>
      </c>
      <c r="D6" s="119">
        <v>12025</v>
      </c>
      <c r="E6" s="22">
        <f>D6*H6/JPY</f>
        <v>108755.68776016941</v>
      </c>
      <c r="F6" s="22">
        <f>([37]Main!$O$7-[37]Main!$O$8)/JPY</f>
        <v>3147.411085956328</v>
      </c>
      <c r="G6" s="22">
        <f t="shared" si="0"/>
        <v>105608.27667421309</v>
      </c>
      <c r="H6" s="22">
        <f>[37]Main!$O$4</f>
        <v>1238.413</v>
      </c>
      <c r="I6" s="120" t="s">
        <v>382</v>
      </c>
      <c r="J6" s="39">
        <v>44994</v>
      </c>
      <c r="K6" s="24"/>
      <c r="L6" s="24"/>
      <c r="M6" s="181"/>
      <c r="N6" s="24"/>
      <c r="O6" s="24"/>
      <c r="P6" s="24"/>
      <c r="Q6" s="24"/>
      <c r="R6" s="24"/>
      <c r="S6" s="24"/>
      <c r="T6" s="24"/>
      <c r="U6" s="24"/>
      <c r="V6" s="24"/>
      <c r="W6" s="24"/>
    </row>
    <row r="7" spans="1:27" s="20" customFormat="1" x14ac:dyDescent="0.15">
      <c r="A7" s="118"/>
      <c r="B7" s="5" t="s">
        <v>259</v>
      </c>
      <c r="C7" s="118" t="s">
        <v>383</v>
      </c>
      <c r="D7" s="21">
        <v>87.8</v>
      </c>
      <c r="E7" s="22">
        <f>D7*H7</f>
        <v>108732.6614</v>
      </c>
      <c r="F7" s="22">
        <f>([37]Main!$O$7-[37]Main!$O$8)/JPY</f>
        <v>3147.411085956328</v>
      </c>
      <c r="G7" s="22">
        <f t="shared" si="0"/>
        <v>105585.25031404367</v>
      </c>
      <c r="H7" s="22">
        <f>[37]Main!$O$4</f>
        <v>1238.413</v>
      </c>
      <c r="I7" s="120" t="s">
        <v>382</v>
      </c>
      <c r="J7" s="39">
        <v>44994</v>
      </c>
      <c r="K7" s="24"/>
      <c r="L7" s="24"/>
      <c r="M7" s="181"/>
      <c r="N7" s="24"/>
      <c r="O7" s="24"/>
      <c r="P7" s="24"/>
      <c r="Q7" s="24"/>
      <c r="R7" s="24"/>
      <c r="S7" s="24"/>
      <c r="T7" s="24"/>
      <c r="U7" s="24"/>
      <c r="V7" s="24"/>
      <c r="W7" s="24"/>
    </row>
    <row r="8" spans="1:27" s="20" customFormat="1" x14ac:dyDescent="0.15">
      <c r="A8" s="68"/>
      <c r="B8" s="68" t="s">
        <v>263</v>
      </c>
      <c r="C8" s="68" t="s">
        <v>264</v>
      </c>
      <c r="D8" s="21">
        <v>327</v>
      </c>
      <c r="E8" s="22">
        <v>145680</v>
      </c>
      <c r="F8" s="22"/>
      <c r="G8" s="22">
        <f t="shared" si="0"/>
        <v>145680</v>
      </c>
      <c r="H8" s="22"/>
      <c r="I8" s="23"/>
      <c r="J8" s="23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</row>
    <row r="9" spans="1:27" x14ac:dyDescent="0.15">
      <c r="A9" s="69"/>
      <c r="B9" s="10" t="s">
        <v>171</v>
      </c>
      <c r="C9" s="41" t="s">
        <v>232</v>
      </c>
      <c r="D9" s="46">
        <v>59910</v>
      </c>
      <c r="E9" s="46" cm="1">
        <f t="array" ref="E9">6975000/JPY</f>
        <v>50938.435697071494</v>
      </c>
    </row>
    <row r="10" spans="1:27" x14ac:dyDescent="0.15">
      <c r="A10" s="70"/>
      <c r="B10" s="70" t="s">
        <v>267</v>
      </c>
      <c r="C10" s="70" t="s">
        <v>268</v>
      </c>
      <c r="D10" s="46"/>
      <c r="E10" s="46"/>
    </row>
    <row r="11" spans="1:27" x14ac:dyDescent="0.15">
      <c r="A11" s="77"/>
      <c r="B11" s="77" t="s">
        <v>285</v>
      </c>
      <c r="C11" s="77" t="s">
        <v>286</v>
      </c>
      <c r="D11" s="46"/>
      <c r="E11" s="46"/>
    </row>
    <row r="12" spans="1:27" x14ac:dyDescent="0.15">
      <c r="A12" s="77"/>
      <c r="B12" s="5" t="s">
        <v>165</v>
      </c>
      <c r="C12" s="10" t="s">
        <v>166</v>
      </c>
      <c r="D12" s="226">
        <v>142</v>
      </c>
      <c r="E12" s="46">
        <f>+D12*H12</f>
        <v>37516.390202000002</v>
      </c>
      <c r="F12" s="46">
        <f>+[38]Main!$N$5-[38]Main!$N$6</f>
        <v>884</v>
      </c>
      <c r="G12" s="46">
        <f>+E12-F12</f>
        <v>36632.390202000002</v>
      </c>
      <c r="H12" s="46">
        <f>+[38]Main!$N$3</f>
        <v>264.19993099999999</v>
      </c>
      <c r="I12" s="227" t="s">
        <v>618</v>
      </c>
      <c r="J12" s="54">
        <v>45568</v>
      </c>
      <c r="X12" s="10">
        <v>1982</v>
      </c>
    </row>
    <row r="13" spans="1:27" s="1" customFormat="1" x14ac:dyDescent="0.15">
      <c r="B13" s="5" t="s">
        <v>76</v>
      </c>
      <c r="C13" s="1" t="s">
        <v>77</v>
      </c>
      <c r="D13" s="2">
        <v>37.76</v>
      </c>
      <c r="E13" s="3">
        <f>D13*H13</f>
        <v>22849.913459200001</v>
      </c>
      <c r="F13" s="3">
        <f>[39]Main!$L$5-[39]Main!$L$6</f>
        <v>1988</v>
      </c>
      <c r="G13" s="3">
        <f>+E13-F13</f>
        <v>20861.913459200001</v>
      </c>
      <c r="H13" s="3">
        <f>[39]Main!$L$3</f>
        <v>605.13542000000007</v>
      </c>
      <c r="I13" s="4" t="s">
        <v>382</v>
      </c>
      <c r="J13" s="117">
        <v>44987</v>
      </c>
      <c r="X13" s="1">
        <v>2004</v>
      </c>
      <c r="Y13" s="1">
        <v>56</v>
      </c>
      <c r="Z13" s="142">
        <f>G13/Y13</f>
        <v>372.53416891428571</v>
      </c>
    </row>
    <row r="14" spans="1:27" s="1" customFormat="1" x14ac:dyDescent="0.15">
      <c r="B14" s="104" t="s">
        <v>332</v>
      </c>
      <c r="C14" s="1" t="s">
        <v>333</v>
      </c>
      <c r="D14" s="2"/>
      <c r="E14" s="3"/>
      <c r="F14" s="3"/>
      <c r="G14" s="3"/>
      <c r="H14" s="4"/>
      <c r="I14" s="4"/>
    </row>
    <row r="15" spans="1:27" x14ac:dyDescent="0.15">
      <c r="B15" s="10" t="s">
        <v>167</v>
      </c>
      <c r="C15" s="10" t="s">
        <v>168</v>
      </c>
      <c r="D15" s="10">
        <v>127.74</v>
      </c>
      <c r="E15" s="46">
        <v>21290</v>
      </c>
    </row>
    <row r="16" spans="1:27" s="1" customFormat="1" x14ac:dyDescent="0.15">
      <c r="A16" s="1" t="s">
        <v>253</v>
      </c>
      <c r="B16" s="1" t="s">
        <v>87</v>
      </c>
      <c r="C16" s="1" t="s">
        <v>88</v>
      </c>
      <c r="D16" s="2">
        <v>45.8</v>
      </c>
      <c r="E16" s="3">
        <v>14330</v>
      </c>
      <c r="F16" s="4"/>
      <c r="G16" s="4"/>
      <c r="H16" s="4"/>
    </row>
    <row r="17" spans="2:26" s="1" customFormat="1" x14ac:dyDescent="0.15">
      <c r="B17" s="1" t="s">
        <v>469</v>
      </c>
      <c r="C17" s="1" t="s">
        <v>470</v>
      </c>
      <c r="D17" s="2"/>
      <c r="E17" s="3"/>
      <c r="F17" s="4"/>
      <c r="G17" s="4"/>
      <c r="H17" s="4"/>
    </row>
    <row r="18" spans="2:26" s="1" customFormat="1" x14ac:dyDescent="0.15">
      <c r="B18" s="1" t="s">
        <v>475</v>
      </c>
      <c r="D18" s="2"/>
      <c r="E18" s="3"/>
      <c r="F18" s="4"/>
      <c r="G18" s="4"/>
      <c r="H18" s="4"/>
    </row>
    <row r="19" spans="2:26" s="1" customFormat="1" x14ac:dyDescent="0.15">
      <c r="B19" s="1" t="s">
        <v>477</v>
      </c>
      <c r="C19" s="1" t="s">
        <v>478</v>
      </c>
      <c r="D19" s="2"/>
      <c r="E19" s="3"/>
      <c r="F19" s="4"/>
      <c r="G19" s="4"/>
      <c r="H19" s="4"/>
    </row>
    <row r="20" spans="2:26" s="1" customFormat="1" x14ac:dyDescent="0.15">
      <c r="B20" s="1" t="s">
        <v>251</v>
      </c>
      <c r="C20" s="1" t="s">
        <v>252</v>
      </c>
      <c r="D20" s="2"/>
      <c r="E20" s="3"/>
      <c r="F20" s="4"/>
      <c r="G20" s="4"/>
      <c r="H20" s="4"/>
    </row>
    <row r="21" spans="2:26" s="20" customFormat="1" x14ac:dyDescent="0.15">
      <c r="B21" s="87" t="s">
        <v>74</v>
      </c>
      <c r="C21" s="20" t="s">
        <v>75</v>
      </c>
      <c r="D21" s="21">
        <v>102.23</v>
      </c>
      <c r="E21" s="22">
        <f>+D21*[40]Main!$K$3</f>
        <v>20147.20788088</v>
      </c>
      <c r="F21" s="22">
        <f>+[40]Main!$K$5-[40]Main!$K$6</f>
        <v>3155</v>
      </c>
      <c r="G21" s="22">
        <f>E21-F21</f>
        <v>16992.20788088</v>
      </c>
      <c r="H21" s="22"/>
      <c r="I21" s="23" t="s">
        <v>14</v>
      </c>
      <c r="J21" s="23"/>
      <c r="K21" s="24"/>
      <c r="L21" s="24"/>
      <c r="M21" s="24"/>
      <c r="N21" s="24"/>
      <c r="O21" s="26"/>
      <c r="P21" s="25"/>
      <c r="Q21" s="24"/>
      <c r="R21" s="24"/>
      <c r="S21" s="26"/>
      <c r="T21" s="25"/>
      <c r="U21" s="24"/>
      <c r="V21" s="24"/>
      <c r="W21" s="26"/>
    </row>
    <row r="22" spans="2:26" s="20" customFormat="1" x14ac:dyDescent="0.15">
      <c r="B22" s="53" t="s">
        <v>250</v>
      </c>
      <c r="D22" s="21"/>
      <c r="E22" s="22"/>
      <c r="F22" s="23"/>
      <c r="G22" s="23"/>
      <c r="H22" s="23"/>
      <c r="I22" s="23"/>
      <c r="J22" s="23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</row>
    <row r="23" spans="2:26" s="20" customFormat="1" x14ac:dyDescent="0.15">
      <c r="B23" s="150" t="s">
        <v>481</v>
      </c>
      <c r="C23" s="150" t="s">
        <v>482</v>
      </c>
      <c r="D23" s="21"/>
      <c r="E23" s="22"/>
      <c r="F23" s="23"/>
      <c r="G23" s="23"/>
      <c r="H23" s="23"/>
      <c r="I23" s="23"/>
      <c r="J23" s="23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</row>
    <row r="24" spans="2:26" s="20" customFormat="1" x14ac:dyDescent="0.15">
      <c r="D24" s="21"/>
      <c r="E24" s="22"/>
      <c r="F24" s="23"/>
      <c r="G24" s="23"/>
      <c r="H24" s="23"/>
      <c r="I24" s="23"/>
      <c r="J24" s="23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</row>
    <row r="25" spans="2:26" s="20" customFormat="1" x14ac:dyDescent="0.15">
      <c r="D25" s="21"/>
      <c r="E25" s="22"/>
      <c r="F25" s="23"/>
      <c r="G25" s="23"/>
      <c r="H25" s="23"/>
      <c r="I25" s="23"/>
      <c r="J25" s="23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</row>
    <row r="26" spans="2:26" x14ac:dyDescent="0.15">
      <c r="B26" s="1" t="s">
        <v>54</v>
      </c>
      <c r="C26" s="1"/>
      <c r="D26" s="2"/>
      <c r="E26" s="3">
        <v>31500</v>
      </c>
      <c r="G26" s="46">
        <f>E26</f>
        <v>31500</v>
      </c>
      <c r="Y26" s="10">
        <v>270</v>
      </c>
      <c r="Z26" s="142">
        <f>G26/Y26</f>
        <v>116.66666666666667</v>
      </c>
    </row>
    <row r="27" spans="2:26" s="20" customFormat="1" x14ac:dyDescent="0.15">
      <c r="B27" s="20" t="s">
        <v>57</v>
      </c>
      <c r="D27" s="21"/>
      <c r="E27" s="22">
        <v>27000</v>
      </c>
      <c r="F27" s="23"/>
      <c r="G27" s="23"/>
      <c r="H27" s="23"/>
      <c r="I27" s="23"/>
      <c r="J27" s="23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</row>
    <row r="28" spans="2:26" s="20" customFormat="1" x14ac:dyDescent="0.15">
      <c r="B28" s="20" t="s">
        <v>108</v>
      </c>
      <c r="D28" s="21"/>
      <c r="E28" s="22">
        <v>10000</v>
      </c>
      <c r="F28" s="23"/>
      <c r="G28" s="23"/>
      <c r="H28" s="23"/>
      <c r="I28" s="23"/>
      <c r="J28" s="23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</row>
    <row r="29" spans="2:26" x14ac:dyDescent="0.15">
      <c r="B29" s="51" t="s">
        <v>249</v>
      </c>
    </row>
    <row r="30" spans="2:26" x14ac:dyDescent="0.15">
      <c r="B30" s="126" t="s">
        <v>402</v>
      </c>
    </row>
    <row r="31" spans="2:26" x14ac:dyDescent="0.15">
      <c r="B31" s="149" t="s">
        <v>465</v>
      </c>
    </row>
    <row r="32" spans="2:26" x14ac:dyDescent="0.15">
      <c r="B32" s="145" t="s">
        <v>446</v>
      </c>
      <c r="E32" s="10">
        <v>100</v>
      </c>
      <c r="H32" s="145" t="s">
        <v>447</v>
      </c>
    </row>
    <row r="33" spans="2:10" x14ac:dyDescent="0.15">
      <c r="B33" s="149" t="s">
        <v>466</v>
      </c>
      <c r="H33" s="145"/>
      <c r="J33" s="149" t="s">
        <v>467</v>
      </c>
    </row>
    <row r="34" spans="2:10" x14ac:dyDescent="0.15">
      <c r="B34" s="149" t="s">
        <v>471</v>
      </c>
      <c r="H34" s="145"/>
      <c r="J34" s="149"/>
    </row>
    <row r="35" spans="2:10" x14ac:dyDescent="0.15">
      <c r="B35" s="149" t="s">
        <v>472</v>
      </c>
      <c r="H35" s="145"/>
      <c r="J35" s="149"/>
    </row>
    <row r="36" spans="2:10" x14ac:dyDescent="0.15">
      <c r="B36" s="149" t="s">
        <v>473</v>
      </c>
    </row>
    <row r="37" spans="2:10" x14ac:dyDescent="0.15">
      <c r="B37" s="149" t="s">
        <v>479</v>
      </c>
      <c r="J37" s="149" t="s">
        <v>480</v>
      </c>
    </row>
    <row r="38" spans="2:10" x14ac:dyDescent="0.15">
      <c r="B38" s="149" t="s">
        <v>474</v>
      </c>
    </row>
    <row r="39" spans="2:10" x14ac:dyDescent="0.15">
      <c r="B39" s="149" t="s">
        <v>476</v>
      </c>
    </row>
    <row r="40" spans="2:10" x14ac:dyDescent="0.15">
      <c r="B40" s="149"/>
    </row>
    <row r="41" spans="2:10" x14ac:dyDescent="0.15">
      <c r="B41" s="149" t="s">
        <v>464</v>
      </c>
    </row>
  </sheetData>
  <hyperlinks>
    <hyperlink ref="A1" location="Main!A1" display="Main" xr:uid="{B2E999A0-B9C6-426F-B868-4B47C66D3C76}"/>
    <hyperlink ref="B13" r:id="rId1" xr:uid="{4D4AAA00-BFE8-4498-9D01-136889AF20D4}"/>
    <hyperlink ref="B3" r:id="rId2" xr:uid="{3976EBF1-944B-4446-8A82-A83B8F045357}"/>
    <hyperlink ref="B4" r:id="rId3" xr:uid="{F038AE55-03C6-4C11-AB9A-E55BDED9EAEB}"/>
    <hyperlink ref="B12" r:id="rId4" xr:uid="{7C332E55-E10B-4AF1-A314-5F96A0E9060B}"/>
    <hyperlink ref="B5" r:id="rId5" xr:uid="{D15C9016-D909-4B61-8E61-89DF546A9452}"/>
    <hyperlink ref="B21" r:id="rId6" xr:uid="{B43B07AD-918B-4E3C-B6FF-2D0A1726D08C}"/>
    <hyperlink ref="B6" r:id="rId7" xr:uid="{C317DCAB-F486-4C03-A390-844EB230A084}"/>
    <hyperlink ref="B7" r:id="rId8" xr:uid="{B27274A8-24B6-4DB9-826D-7802A0C1EEB1}"/>
  </hyperlinks>
  <pageMargins left="0.7" right="0.7" top="0.75" bottom="0.75" header="0.3" footer="0.3"/>
  <pageSetup orientation="portrait" r:id="rId9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5841C-1187-4786-8CDA-18459BF1140B}">
  <dimension ref="A1:X45"/>
  <sheetViews>
    <sheetView zoomScale="175" zoomScaleNormal="175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D7" sqref="D7"/>
    </sheetView>
  </sheetViews>
  <sheetFormatPr baseColWidth="10" defaultColWidth="9.1640625" defaultRowHeight="13" x14ac:dyDescent="0.15"/>
  <cols>
    <col min="1" max="1" width="5" style="207" bestFit="1" customWidth="1"/>
    <col min="2" max="2" width="18.33203125" style="207" customWidth="1"/>
    <col min="3" max="3" width="10.5" style="207" bestFit="1" customWidth="1"/>
    <col min="4" max="9" width="9.1640625" style="208"/>
    <col min="10" max="16384" width="9.1640625" style="207"/>
  </cols>
  <sheetData>
    <row r="1" spans="1:24" x14ac:dyDescent="0.15">
      <c r="A1" s="5" t="s">
        <v>142</v>
      </c>
    </row>
    <row r="2" spans="1:24" x14ac:dyDescent="0.15">
      <c r="B2" s="209" t="s">
        <v>0</v>
      </c>
      <c r="C2" s="210" t="s">
        <v>1</v>
      </c>
      <c r="D2" s="211" t="s">
        <v>2</v>
      </c>
      <c r="E2" s="212" t="s">
        <v>3</v>
      </c>
      <c r="F2" s="213" t="s">
        <v>4</v>
      </c>
      <c r="G2" s="213" t="s">
        <v>5</v>
      </c>
      <c r="H2" s="213" t="s">
        <v>213</v>
      </c>
      <c r="I2" s="213" t="s">
        <v>6</v>
      </c>
      <c r="J2" s="213" t="s">
        <v>224</v>
      </c>
      <c r="K2" s="214" t="s">
        <v>208</v>
      </c>
      <c r="L2" s="214" t="s">
        <v>212</v>
      </c>
      <c r="M2" s="214" t="s">
        <v>209</v>
      </c>
      <c r="N2" s="214" t="s">
        <v>210</v>
      </c>
      <c r="O2" s="215" t="s">
        <v>211</v>
      </c>
      <c r="P2" s="216" t="s">
        <v>229</v>
      </c>
      <c r="Q2" s="214" t="s">
        <v>230</v>
      </c>
      <c r="R2" s="214" t="s">
        <v>231</v>
      </c>
      <c r="S2" s="215">
        <v>2025</v>
      </c>
      <c r="T2" s="216" t="s">
        <v>228</v>
      </c>
      <c r="U2" s="214">
        <v>2023</v>
      </c>
      <c r="V2" s="214">
        <v>2024</v>
      </c>
      <c r="W2" s="215">
        <v>2025</v>
      </c>
      <c r="X2" s="217" t="s">
        <v>214</v>
      </c>
    </row>
    <row r="3" spans="1:24" s="218" customFormat="1" x14ac:dyDescent="0.15">
      <c r="B3" s="218" t="s">
        <v>162</v>
      </c>
      <c r="C3" s="218" t="s">
        <v>163</v>
      </c>
      <c r="D3" s="219">
        <v>206.8</v>
      </c>
      <c r="E3" s="206">
        <v>427830</v>
      </c>
      <c r="F3" s="206"/>
      <c r="G3" s="206"/>
      <c r="H3" s="206"/>
      <c r="I3" s="206"/>
    </row>
    <row r="4" spans="1:24" s="218" customFormat="1" x14ac:dyDescent="0.15">
      <c r="B4" s="218" t="s">
        <v>164</v>
      </c>
      <c r="C4" s="218" t="s">
        <v>315</v>
      </c>
      <c r="D4" s="219">
        <v>340.89</v>
      </c>
      <c r="E4" s="206">
        <v>329430</v>
      </c>
      <c r="F4" s="206"/>
      <c r="G4" s="206"/>
      <c r="H4" s="206"/>
      <c r="I4" s="206"/>
    </row>
    <row r="5" spans="1:24" s="218" customFormat="1" x14ac:dyDescent="0.15">
      <c r="B5" s="218" t="s">
        <v>257</v>
      </c>
      <c r="C5" s="218" t="s">
        <v>258</v>
      </c>
      <c r="D5" s="219"/>
      <c r="E5" s="206"/>
      <c r="F5" s="206"/>
      <c r="G5" s="206"/>
      <c r="H5" s="206"/>
      <c r="I5" s="206"/>
      <c r="O5" s="207"/>
      <c r="P5" s="207"/>
    </row>
    <row r="6" spans="1:24" s="218" customFormat="1" x14ac:dyDescent="0.15">
      <c r="B6" s="218" t="s">
        <v>261</v>
      </c>
      <c r="C6" s="218" t="s">
        <v>262</v>
      </c>
      <c r="D6" s="219"/>
      <c r="E6" s="206"/>
      <c r="F6" s="206"/>
      <c r="G6" s="206"/>
      <c r="H6" s="206"/>
      <c r="I6" s="206"/>
      <c r="O6" s="207"/>
      <c r="P6" s="207"/>
    </row>
    <row r="7" spans="1:24" x14ac:dyDescent="0.15">
      <c r="A7" s="207" t="s">
        <v>253</v>
      </c>
      <c r="B7" s="108" t="s">
        <v>26</v>
      </c>
      <c r="C7" s="207" t="s">
        <v>27</v>
      </c>
      <c r="D7" s="220">
        <v>413.72</v>
      </c>
      <c r="E7" s="206">
        <f>+D7*H7</f>
        <v>116615.20633988002</v>
      </c>
      <c r="F7" s="206">
        <f>[41]Main!$L$5-[41]Main!$L$6</f>
        <v>-2851</v>
      </c>
      <c r="G7" s="206">
        <f>E7-F7</f>
        <v>119466.20633988002</v>
      </c>
      <c r="H7" s="206">
        <f>+[41]Main!$L$3</f>
        <v>281.86987900000003</v>
      </c>
      <c r="I7" s="208" t="s">
        <v>200</v>
      </c>
      <c r="J7" s="221">
        <v>44830</v>
      </c>
      <c r="K7" s="222"/>
      <c r="L7" s="222"/>
      <c r="M7" s="222"/>
      <c r="N7" s="222"/>
      <c r="Q7" s="222"/>
      <c r="R7" s="222"/>
      <c r="S7" s="223"/>
      <c r="T7" s="224"/>
      <c r="U7" s="222"/>
      <c r="V7" s="222"/>
      <c r="W7" s="223"/>
      <c r="X7" s="207">
        <v>1984</v>
      </c>
    </row>
    <row r="8" spans="1:24" s="218" customFormat="1" x14ac:dyDescent="0.15">
      <c r="B8" s="139" t="s">
        <v>31</v>
      </c>
      <c r="C8" s="218" t="s">
        <v>32</v>
      </c>
      <c r="D8" s="219">
        <v>72</v>
      </c>
      <c r="E8" s="206">
        <f>D8*H8</f>
        <v>75384</v>
      </c>
      <c r="F8" s="206">
        <f>[42]Main!$M$5-[42]Main!$M$6</f>
        <v>8542</v>
      </c>
      <c r="G8" s="206">
        <f>E8-F8</f>
        <v>66842</v>
      </c>
      <c r="H8" s="206">
        <f>[42]Main!$M$3</f>
        <v>1047</v>
      </c>
      <c r="I8" s="206" t="s">
        <v>618</v>
      </c>
      <c r="J8" s="221">
        <v>45566</v>
      </c>
      <c r="O8" s="207"/>
      <c r="P8" s="207"/>
    </row>
    <row r="9" spans="1:24" x14ac:dyDescent="0.15">
      <c r="B9" s="207" t="s">
        <v>265</v>
      </c>
      <c r="C9" s="207" t="s">
        <v>266</v>
      </c>
    </row>
    <row r="10" spans="1:24" x14ac:dyDescent="0.15">
      <c r="B10" s="207" t="s">
        <v>269</v>
      </c>
      <c r="C10" s="207" t="s">
        <v>270</v>
      </c>
    </row>
    <row r="11" spans="1:24" s="218" customFormat="1" x14ac:dyDescent="0.15">
      <c r="B11" s="218" t="s">
        <v>243</v>
      </c>
      <c r="C11" s="218" t="s">
        <v>161</v>
      </c>
      <c r="D11" s="219">
        <v>64.25</v>
      </c>
      <c r="E11" s="206">
        <v>41870</v>
      </c>
      <c r="F11" s="206"/>
      <c r="G11" s="206"/>
      <c r="H11" s="206"/>
      <c r="I11" s="206"/>
      <c r="O11" s="207"/>
      <c r="P11" s="207"/>
    </row>
    <row r="12" spans="1:24" s="218" customFormat="1" x14ac:dyDescent="0.15">
      <c r="B12" s="218" t="s">
        <v>271</v>
      </c>
      <c r="C12" s="218" t="s">
        <v>272</v>
      </c>
      <c r="D12" s="219"/>
      <c r="E12" s="206"/>
      <c r="F12" s="206"/>
      <c r="G12" s="206"/>
      <c r="H12" s="206"/>
      <c r="I12" s="206"/>
      <c r="O12" s="207"/>
      <c r="P12" s="207"/>
    </row>
    <row r="13" spans="1:24" s="218" customFormat="1" x14ac:dyDescent="0.15">
      <c r="B13" s="139" t="s">
        <v>635</v>
      </c>
      <c r="C13" s="218" t="s">
        <v>636</v>
      </c>
      <c r="D13" s="219">
        <v>22.7</v>
      </c>
      <c r="E13" s="206">
        <f>+D13*H13</f>
        <v>20079.375799999998</v>
      </c>
      <c r="F13" s="206">
        <f>+[43]Main!$L$5-[43]Main!$L$6</f>
        <v>7251</v>
      </c>
      <c r="G13" s="206">
        <f>+E13-F13</f>
        <v>12828.375799999998</v>
      </c>
      <c r="H13" s="206">
        <f>+[43]Main!$L$3</f>
        <v>884.55399999999997</v>
      </c>
      <c r="I13" s="206" t="s">
        <v>618</v>
      </c>
      <c r="J13" s="221">
        <v>45559</v>
      </c>
      <c r="O13" s="207"/>
      <c r="P13" s="207"/>
    </row>
    <row r="14" spans="1:24" s="218" customFormat="1" x14ac:dyDescent="0.15">
      <c r="B14" s="218" t="s">
        <v>273</v>
      </c>
      <c r="C14" s="218" t="s">
        <v>274</v>
      </c>
      <c r="D14" s="219"/>
      <c r="E14" s="206"/>
      <c r="F14" s="206"/>
      <c r="G14" s="206"/>
      <c r="H14" s="206"/>
      <c r="I14" s="206"/>
      <c r="O14" s="207"/>
      <c r="P14" s="207"/>
    </row>
    <row r="15" spans="1:24" s="218" customFormat="1" x14ac:dyDescent="0.15">
      <c r="B15" s="218" t="s">
        <v>289</v>
      </c>
      <c r="C15" s="218" t="s">
        <v>289</v>
      </c>
      <c r="D15" s="219"/>
      <c r="E15" s="206"/>
      <c r="F15" s="206"/>
      <c r="G15" s="206"/>
      <c r="H15" s="206"/>
      <c r="I15" s="206"/>
      <c r="O15" s="207"/>
      <c r="P15" s="207"/>
    </row>
    <row r="16" spans="1:24" s="218" customFormat="1" x14ac:dyDescent="0.15">
      <c r="B16" s="218" t="s">
        <v>290</v>
      </c>
      <c r="C16" s="218" t="s">
        <v>291</v>
      </c>
      <c r="D16" s="219"/>
      <c r="E16" s="206"/>
      <c r="F16" s="206"/>
      <c r="G16" s="206"/>
      <c r="H16" s="206"/>
      <c r="I16" s="206"/>
      <c r="O16" s="207"/>
      <c r="P16" s="207"/>
    </row>
    <row r="17" spans="1:23" s="218" customFormat="1" x14ac:dyDescent="0.15">
      <c r="B17" s="218" t="s">
        <v>294</v>
      </c>
      <c r="C17" s="218" t="s">
        <v>295</v>
      </c>
      <c r="D17" s="219"/>
      <c r="E17" s="206"/>
      <c r="F17" s="206"/>
      <c r="G17" s="206"/>
      <c r="H17" s="206"/>
      <c r="I17" s="206"/>
      <c r="O17" s="207"/>
      <c r="P17" s="207"/>
    </row>
    <row r="18" spans="1:23" s="218" customFormat="1" x14ac:dyDescent="0.15">
      <c r="B18" s="139" t="s">
        <v>641</v>
      </c>
      <c r="C18" s="228" t="s">
        <v>642</v>
      </c>
      <c r="D18" s="219">
        <v>27.5</v>
      </c>
      <c r="E18" s="206">
        <f>+D18*H18</f>
        <v>14729</v>
      </c>
      <c r="F18" s="206">
        <f>[50]Main!$K$5-[50]Main!$K$6</f>
        <v>1115</v>
      </c>
      <c r="G18" s="206">
        <f>+E18-F18</f>
        <v>13614</v>
      </c>
      <c r="H18" s="206">
        <f>+[50]Main!$K$3</f>
        <v>535.6</v>
      </c>
      <c r="I18" s="229" t="s">
        <v>618</v>
      </c>
      <c r="J18" s="221">
        <v>45568</v>
      </c>
      <c r="O18" s="207"/>
      <c r="P18" s="207"/>
    </row>
    <row r="19" spans="1:23" s="218" customFormat="1" x14ac:dyDescent="0.15">
      <c r="B19" s="218" t="s">
        <v>297</v>
      </c>
      <c r="C19" s="218" t="s">
        <v>298</v>
      </c>
      <c r="D19" s="219"/>
      <c r="E19" s="206"/>
      <c r="F19" s="206"/>
      <c r="G19" s="206"/>
      <c r="H19" s="206"/>
      <c r="I19" s="206"/>
      <c r="O19" s="207"/>
      <c r="P19" s="207"/>
    </row>
    <row r="20" spans="1:23" s="218" customFormat="1" x14ac:dyDescent="0.15">
      <c r="B20" s="218" t="s">
        <v>307</v>
      </c>
      <c r="C20" s="218" t="s">
        <v>308</v>
      </c>
      <c r="D20" s="219"/>
      <c r="E20" s="206"/>
      <c r="F20" s="206"/>
      <c r="G20" s="206"/>
      <c r="H20" s="206"/>
      <c r="I20" s="206"/>
      <c r="O20" s="207"/>
      <c r="P20" s="207"/>
    </row>
    <row r="21" spans="1:23" s="218" customFormat="1" x14ac:dyDescent="0.15">
      <c r="B21" s="218" t="s">
        <v>70</v>
      </c>
      <c r="C21" s="218" t="s">
        <v>71</v>
      </c>
      <c r="D21" s="219">
        <v>68.930000000000007</v>
      </c>
      <c r="E21" s="206">
        <v>18053</v>
      </c>
      <c r="F21" s="206"/>
      <c r="G21" s="206"/>
      <c r="H21" s="206"/>
      <c r="I21" s="206"/>
      <c r="O21" s="207"/>
      <c r="P21" s="207"/>
    </row>
    <row r="22" spans="1:23" s="218" customFormat="1" x14ac:dyDescent="0.15">
      <c r="A22" s="218" t="s">
        <v>253</v>
      </c>
      <c r="B22" s="218" t="s">
        <v>82</v>
      </c>
      <c r="C22" s="218" t="s">
        <v>83</v>
      </c>
      <c r="D22" s="219">
        <v>58.75</v>
      </c>
      <c r="E22" s="206">
        <v>14980</v>
      </c>
      <c r="F22" s="206"/>
      <c r="G22" s="206"/>
      <c r="H22" s="206"/>
      <c r="I22" s="206"/>
      <c r="O22" s="207"/>
      <c r="P22" s="207"/>
    </row>
    <row r="23" spans="1:23" s="218" customFormat="1" x14ac:dyDescent="0.15">
      <c r="A23" s="218" t="s">
        <v>253</v>
      </c>
      <c r="B23" s="218" t="s">
        <v>103</v>
      </c>
      <c r="C23" s="218" t="s">
        <v>104</v>
      </c>
      <c r="D23" s="219">
        <v>184.44</v>
      </c>
      <c r="E23" s="206">
        <v>10400</v>
      </c>
      <c r="F23" s="206"/>
      <c r="G23" s="206"/>
      <c r="H23" s="206"/>
      <c r="I23" s="206"/>
      <c r="O23" s="207"/>
      <c r="P23" s="207"/>
    </row>
    <row r="24" spans="1:23" x14ac:dyDescent="0.15">
      <c r="B24" s="225" t="s">
        <v>301</v>
      </c>
      <c r="C24" s="207" t="s">
        <v>302</v>
      </c>
      <c r="D24" s="220">
        <v>175.2</v>
      </c>
      <c r="E24" s="206">
        <v>27500</v>
      </c>
      <c r="F24" s="206"/>
      <c r="G24" s="206"/>
      <c r="H24" s="206"/>
      <c r="J24" s="208"/>
      <c r="K24" s="222"/>
      <c r="L24" s="222"/>
      <c r="M24" s="222"/>
      <c r="N24" s="222"/>
      <c r="Q24" s="222"/>
      <c r="R24" s="222"/>
      <c r="S24" s="223"/>
      <c r="T24" s="224"/>
      <c r="U24" s="222"/>
      <c r="V24" s="222"/>
      <c r="W24" s="223"/>
    </row>
    <row r="25" spans="1:23" x14ac:dyDescent="0.15">
      <c r="A25" s="207" t="s">
        <v>253</v>
      </c>
      <c r="B25" s="225" t="s">
        <v>64</v>
      </c>
      <c r="C25" s="207" t="s">
        <v>65</v>
      </c>
      <c r="D25" s="220">
        <v>312</v>
      </c>
      <c r="E25" s="206">
        <v>19090</v>
      </c>
    </row>
    <row r="26" spans="1:23" x14ac:dyDescent="0.15">
      <c r="A26" s="207" t="s">
        <v>253</v>
      </c>
      <c r="B26" s="207" t="s">
        <v>427</v>
      </c>
      <c r="C26" s="207" t="s">
        <v>428</v>
      </c>
    </row>
    <row r="27" spans="1:23" x14ac:dyDescent="0.15">
      <c r="A27" s="207" t="s">
        <v>253</v>
      </c>
      <c r="B27" s="207" t="s">
        <v>433</v>
      </c>
      <c r="C27" s="207" t="s">
        <v>434</v>
      </c>
    </row>
    <row r="28" spans="1:23" x14ac:dyDescent="0.15">
      <c r="A28" s="207" t="s">
        <v>253</v>
      </c>
      <c r="B28" s="207" t="s">
        <v>489</v>
      </c>
      <c r="C28" s="207" t="s">
        <v>490</v>
      </c>
    </row>
    <row r="29" spans="1:23" x14ac:dyDescent="0.15">
      <c r="A29" s="207" t="s">
        <v>253</v>
      </c>
      <c r="B29" s="207" t="s">
        <v>521</v>
      </c>
      <c r="C29" s="207" t="s">
        <v>522</v>
      </c>
    </row>
    <row r="30" spans="1:23" x14ac:dyDescent="0.15">
      <c r="A30" s="207" t="s">
        <v>253</v>
      </c>
      <c r="B30" s="207" t="s">
        <v>545</v>
      </c>
      <c r="C30" s="207" t="s">
        <v>546</v>
      </c>
    </row>
    <row r="31" spans="1:23" x14ac:dyDescent="0.15">
      <c r="A31" s="207" t="s">
        <v>253</v>
      </c>
      <c r="B31" s="207" t="s">
        <v>575</v>
      </c>
      <c r="C31" s="207" t="s">
        <v>576</v>
      </c>
    </row>
    <row r="32" spans="1:23" x14ac:dyDescent="0.15">
      <c r="A32" s="207" t="s">
        <v>253</v>
      </c>
      <c r="B32" s="207" t="s">
        <v>589</v>
      </c>
      <c r="C32" s="207" t="s">
        <v>590</v>
      </c>
    </row>
    <row r="33" spans="1:9" x14ac:dyDescent="0.15">
      <c r="A33" s="207" t="s">
        <v>253</v>
      </c>
      <c r="B33" s="207" t="s">
        <v>597</v>
      </c>
      <c r="C33" s="207" t="s">
        <v>598</v>
      </c>
    </row>
    <row r="34" spans="1:9" x14ac:dyDescent="0.15">
      <c r="A34" s="207" t="s">
        <v>253</v>
      </c>
      <c r="B34" s="207" t="s">
        <v>599</v>
      </c>
      <c r="C34" s="207" t="s">
        <v>600</v>
      </c>
    </row>
    <row r="35" spans="1:9" x14ac:dyDescent="0.15">
      <c r="A35" s="207" t="s">
        <v>253</v>
      </c>
      <c r="B35" s="207" t="s">
        <v>601</v>
      </c>
      <c r="C35" s="207" t="s">
        <v>602</v>
      </c>
    </row>
    <row r="36" spans="1:9" x14ac:dyDescent="0.15">
      <c r="A36" s="207" t="s">
        <v>253</v>
      </c>
      <c r="B36" s="207" t="s">
        <v>607</v>
      </c>
      <c r="C36" s="207" t="s">
        <v>608</v>
      </c>
    </row>
    <row r="38" spans="1:9" s="218" customFormat="1" x14ac:dyDescent="0.15">
      <c r="B38" s="49" t="s">
        <v>33</v>
      </c>
      <c r="C38" s="49" t="s">
        <v>150</v>
      </c>
      <c r="D38" s="50">
        <v>0</v>
      </c>
      <c r="E38" s="9">
        <v>100000</v>
      </c>
      <c r="F38" s="206"/>
      <c r="G38" s="206"/>
      <c r="H38" s="206"/>
      <c r="I38" s="206"/>
    </row>
    <row r="39" spans="1:9" x14ac:dyDescent="0.15">
      <c r="B39" s="127" t="s">
        <v>58</v>
      </c>
      <c r="C39" s="127"/>
      <c r="D39" s="128">
        <v>0</v>
      </c>
      <c r="E39" s="129">
        <v>26000</v>
      </c>
    </row>
    <row r="40" spans="1:9" x14ac:dyDescent="0.15">
      <c r="B40" s="218" t="s">
        <v>86</v>
      </c>
      <c r="C40" s="218"/>
      <c r="D40" s="50">
        <v>0</v>
      </c>
      <c r="E40" s="206">
        <v>15000</v>
      </c>
    </row>
    <row r="41" spans="1:9" x14ac:dyDescent="0.15">
      <c r="B41" s="207" t="s">
        <v>242</v>
      </c>
      <c r="D41" s="50">
        <v>0</v>
      </c>
      <c r="E41" s="208">
        <v>75</v>
      </c>
    </row>
    <row r="42" spans="1:9" x14ac:dyDescent="0.15">
      <c r="B42" s="207" t="s">
        <v>244</v>
      </c>
      <c r="D42" s="50">
        <v>0</v>
      </c>
    </row>
    <row r="43" spans="1:9" x14ac:dyDescent="0.15">
      <c r="B43" s="207" t="s">
        <v>275</v>
      </c>
      <c r="E43" s="208">
        <v>424</v>
      </c>
    </row>
    <row r="44" spans="1:9" x14ac:dyDescent="0.15">
      <c r="B44" s="207" t="s">
        <v>277</v>
      </c>
      <c r="E44" s="208">
        <v>159.5</v>
      </c>
    </row>
    <row r="45" spans="1:9" x14ac:dyDescent="0.15">
      <c r="B45" s="207" t="s">
        <v>403</v>
      </c>
    </row>
  </sheetData>
  <hyperlinks>
    <hyperlink ref="A1" location="Main!A1" display="Main" xr:uid="{A1A6C7BE-B827-4E66-8B30-A4C4FF1A4224}"/>
    <hyperlink ref="B7" r:id="rId1" xr:uid="{B2FAC7EC-CB56-42A3-96CC-14E909698321}"/>
    <hyperlink ref="B8" r:id="rId2" xr:uid="{B88BB985-A6BE-418A-A3AF-D32B8C4FDEDC}"/>
    <hyperlink ref="B13" r:id="rId3" xr:uid="{23C18DFD-2B8B-4983-8229-C64F85CE48F2}"/>
    <hyperlink ref="B18" r:id="rId4" xr:uid="{F1C931BF-B9CF-3E4A-9BE3-0E0BCF9428FD}"/>
  </hyperlinks>
  <pageMargins left="0.7" right="0.7" top="0.75" bottom="0.75" header="0.3" footer="0.3"/>
  <legacyDrawing r:id="rId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EDE09-CAB5-40D0-A45D-B13186189FA6}">
  <dimension ref="A1:X5"/>
  <sheetViews>
    <sheetView zoomScale="190" zoomScaleNormal="19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baseColWidth="10" defaultColWidth="9.1640625" defaultRowHeight="13" x14ac:dyDescent="0.15"/>
  <cols>
    <col min="1" max="1" width="5.5" style="152" bestFit="1" customWidth="1"/>
    <col min="2" max="2" width="11.5" style="152" bestFit="1" customWidth="1"/>
    <col min="3" max="16384" width="9.1640625" style="152"/>
  </cols>
  <sheetData>
    <row r="1" spans="1:24" x14ac:dyDescent="0.15">
      <c r="A1" s="152" t="s">
        <v>142</v>
      </c>
    </row>
    <row r="2" spans="1:24" x14ac:dyDescent="0.15">
      <c r="B2" s="154" t="s">
        <v>0</v>
      </c>
      <c r="C2" s="155" t="s">
        <v>1</v>
      </c>
      <c r="D2" s="156" t="s">
        <v>2</v>
      </c>
      <c r="E2" s="157" t="s">
        <v>3</v>
      </c>
      <c r="F2" s="158" t="s">
        <v>4</v>
      </c>
      <c r="G2" s="158" t="s">
        <v>5</v>
      </c>
      <c r="H2" s="158" t="s">
        <v>213</v>
      </c>
      <c r="I2" s="158" t="s">
        <v>6</v>
      </c>
      <c r="J2" s="158" t="s">
        <v>224</v>
      </c>
      <c r="K2" s="159" t="s">
        <v>208</v>
      </c>
      <c r="L2" s="159" t="s">
        <v>212</v>
      </c>
      <c r="M2" s="159" t="s">
        <v>209</v>
      </c>
      <c r="N2" s="159" t="s">
        <v>210</v>
      </c>
      <c r="O2" s="160" t="s">
        <v>211</v>
      </c>
      <c r="P2" s="161" t="s">
        <v>229</v>
      </c>
      <c r="Q2" s="162" t="s">
        <v>230</v>
      </c>
      <c r="R2" s="162" t="s">
        <v>231</v>
      </c>
      <c r="S2" s="160">
        <v>2025</v>
      </c>
      <c r="T2" s="161" t="s">
        <v>228</v>
      </c>
      <c r="U2" s="159">
        <v>2023</v>
      </c>
      <c r="V2" s="159">
        <v>2024</v>
      </c>
      <c r="W2" s="160">
        <v>2025</v>
      </c>
      <c r="X2" s="152" t="s">
        <v>214</v>
      </c>
    </row>
    <row r="3" spans="1:24" x14ac:dyDescent="0.15">
      <c r="B3" s="153" t="s">
        <v>143</v>
      </c>
      <c r="C3" s="152" t="s">
        <v>144</v>
      </c>
      <c r="D3" s="163">
        <v>26.99</v>
      </c>
      <c r="E3" s="164">
        <v>1400</v>
      </c>
    </row>
    <row r="4" spans="1:24" x14ac:dyDescent="0.15">
      <c r="A4" s="152" t="s">
        <v>253</v>
      </c>
      <c r="B4" s="153" t="s">
        <v>533</v>
      </c>
      <c r="C4" s="152" t="s">
        <v>534</v>
      </c>
      <c r="D4" s="163"/>
      <c r="E4" s="164"/>
    </row>
    <row r="5" spans="1:24" x14ac:dyDescent="0.15">
      <c r="A5" s="152" t="s">
        <v>253</v>
      </c>
      <c r="B5" s="124" t="s">
        <v>394</v>
      </c>
      <c r="C5" s="152" t="s">
        <v>516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EF4EB-ECD2-418F-8A42-9502B535E912}">
  <dimension ref="A1:X36"/>
  <sheetViews>
    <sheetView zoomScale="175" zoomScaleNormal="175" workbookViewId="0">
      <pane xSplit="2" ySplit="2" topLeftCell="I3" activePane="bottomRight" state="frozen"/>
      <selection pane="topRight" activeCell="C1" sqref="C1"/>
      <selection pane="bottomLeft" activeCell="A3" sqref="A3"/>
      <selection pane="bottomRight" activeCell="B2" sqref="B2:X2"/>
    </sheetView>
  </sheetViews>
  <sheetFormatPr baseColWidth="10" defaultColWidth="9.1640625" defaultRowHeight="13" x14ac:dyDescent="0.15"/>
  <cols>
    <col min="1" max="1" width="5" style="10" bestFit="1" customWidth="1"/>
    <col min="2" max="2" width="11.83203125" style="10" customWidth="1"/>
    <col min="3" max="9" width="9.1640625" style="10"/>
    <col min="10" max="10" width="9.33203125" style="10" customWidth="1"/>
    <col min="11" max="16384" width="9.1640625" style="10"/>
  </cols>
  <sheetData>
    <row r="1" spans="1:24" x14ac:dyDescent="0.15">
      <c r="A1" s="5" t="s">
        <v>142</v>
      </c>
    </row>
    <row r="2" spans="1:24" s="57" customFormat="1" x14ac:dyDescent="0.15">
      <c r="B2" s="58" t="s">
        <v>0</v>
      </c>
      <c r="C2" s="59" t="s">
        <v>1</v>
      </c>
      <c r="D2" s="60" t="s">
        <v>2</v>
      </c>
      <c r="E2" s="61" t="s">
        <v>3</v>
      </c>
      <c r="F2" s="62" t="s">
        <v>4</v>
      </c>
      <c r="G2" s="62" t="s">
        <v>5</v>
      </c>
      <c r="H2" s="62" t="s">
        <v>213</v>
      </c>
      <c r="I2" s="62" t="s">
        <v>6</v>
      </c>
      <c r="J2" s="62" t="s">
        <v>224</v>
      </c>
      <c r="K2" s="63" t="s">
        <v>208</v>
      </c>
      <c r="L2" s="63" t="s">
        <v>212</v>
      </c>
      <c r="M2" s="63" t="s">
        <v>209</v>
      </c>
      <c r="N2" s="63" t="s">
        <v>210</v>
      </c>
      <c r="O2" s="64" t="s">
        <v>211</v>
      </c>
      <c r="P2" s="65" t="s">
        <v>229</v>
      </c>
      <c r="Q2" s="66" t="s">
        <v>230</v>
      </c>
      <c r="R2" s="66" t="s">
        <v>231</v>
      </c>
      <c r="S2" s="64">
        <v>2025</v>
      </c>
      <c r="T2" s="65" t="s">
        <v>228</v>
      </c>
      <c r="U2" s="63">
        <v>2023</v>
      </c>
      <c r="V2" s="63">
        <v>2024</v>
      </c>
      <c r="W2" s="64">
        <v>2025</v>
      </c>
      <c r="X2" s="57" t="s">
        <v>214</v>
      </c>
    </row>
    <row r="3" spans="1:24" x14ac:dyDescent="0.15">
      <c r="A3" s="172" t="s">
        <v>253</v>
      </c>
      <c r="B3" s="5" t="s">
        <v>11</v>
      </c>
      <c r="C3" s="1" t="s">
        <v>12</v>
      </c>
      <c r="D3" s="2">
        <v>167.9</v>
      </c>
      <c r="E3" s="3">
        <f>+D3*H3</f>
        <v>1747272.7429785002</v>
      </c>
      <c r="F3" s="3">
        <f>[7]Main!$K$5-[7]Main!$K$6</f>
        <v>27440</v>
      </c>
      <c r="G3" s="3">
        <f>+E3-F3</f>
        <v>1719832.7429785002</v>
      </c>
      <c r="H3" s="46">
        <f>+[7]Main!$K$3</f>
        <v>10406.627415000001</v>
      </c>
      <c r="I3" s="4" t="s">
        <v>615</v>
      </c>
      <c r="J3" s="54">
        <v>45506</v>
      </c>
    </row>
    <row r="4" spans="1:24" s="20" customFormat="1" x14ac:dyDescent="0.15">
      <c r="A4" s="172" t="s">
        <v>253</v>
      </c>
      <c r="B4" s="5" t="s">
        <v>17</v>
      </c>
      <c r="C4" s="20" t="s">
        <v>18</v>
      </c>
      <c r="D4" s="21">
        <v>95.21</v>
      </c>
      <c r="E4" s="22">
        <f>+D4*H4</f>
        <v>233204.99374999999</v>
      </c>
      <c r="F4" s="22" cm="1">
        <f t="array" ref="F4">([44]Main!$O$5-[44]Main!$O$6)/RMB</f>
        <v>121948.96142433234</v>
      </c>
      <c r="G4" s="22">
        <f>+E4-F4</f>
        <v>111256.03232566765</v>
      </c>
      <c r="H4" s="22">
        <f>+[44]Main!$L$3</f>
        <v>2449.375</v>
      </c>
      <c r="I4" s="196" t="s">
        <v>618</v>
      </c>
      <c r="J4" s="54">
        <v>45559</v>
      </c>
      <c r="K4" s="24"/>
      <c r="L4" s="24"/>
      <c r="M4" s="24"/>
      <c r="N4" s="24"/>
      <c r="O4" s="24"/>
      <c r="P4" s="25"/>
      <c r="Q4" s="24"/>
      <c r="R4" s="24"/>
      <c r="S4" s="26"/>
      <c r="T4" s="25"/>
      <c r="U4" s="24"/>
      <c r="V4" s="24"/>
      <c r="W4" s="26"/>
    </row>
    <row r="5" spans="1:24" x14ac:dyDescent="0.15">
      <c r="A5" s="172" t="s">
        <v>253</v>
      </c>
      <c r="B5" s="5" t="s">
        <v>17</v>
      </c>
      <c r="C5" s="197" t="s">
        <v>637</v>
      </c>
      <c r="D5" s="198">
        <v>92</v>
      </c>
      <c r="E5" s="3">
        <f>+D5*H5/HKD</f>
        <v>229654.2587072282</v>
      </c>
      <c r="F5" s="3" cm="1">
        <f t="array" ref="F5">([44]Main!$O$5-[44]Main!$O$6)/RMB</f>
        <v>121948.96142433234</v>
      </c>
      <c r="G5" s="3">
        <f>+E5-F5</f>
        <v>107705.29728289586</v>
      </c>
      <c r="H5" s="46">
        <f>+[44]Main!$O$3</f>
        <v>19595</v>
      </c>
      <c r="I5" s="4" t="s">
        <v>618</v>
      </c>
      <c r="J5" s="54">
        <f>+J4</f>
        <v>45559</v>
      </c>
    </row>
    <row r="6" spans="1:24" x14ac:dyDescent="0.15">
      <c r="A6" s="67"/>
      <c r="B6" s="1" t="s">
        <v>28</v>
      </c>
      <c r="C6" s="1" t="s">
        <v>28</v>
      </c>
      <c r="D6" s="2">
        <v>65.180000000000007</v>
      </c>
      <c r="E6" s="3">
        <v>101795</v>
      </c>
    </row>
    <row r="7" spans="1:24" x14ac:dyDescent="0.15">
      <c r="A7" s="67"/>
      <c r="B7" s="67" t="s">
        <v>254</v>
      </c>
      <c r="C7" s="67" t="s">
        <v>255</v>
      </c>
    </row>
    <row r="8" spans="1:24" x14ac:dyDescent="0.15">
      <c r="A8" s="172" t="s">
        <v>253</v>
      </c>
      <c r="B8" s="11" t="s">
        <v>198</v>
      </c>
      <c r="C8" s="11" t="s">
        <v>199</v>
      </c>
    </row>
    <row r="9" spans="1:24" x14ac:dyDescent="0.15">
      <c r="A9" s="172" t="s">
        <v>253</v>
      </c>
      <c r="B9" s="5" t="s">
        <v>34</v>
      </c>
      <c r="C9" s="10" t="s">
        <v>35</v>
      </c>
      <c r="D9" s="10">
        <v>116.42</v>
      </c>
      <c r="E9" s="46">
        <f>+D9*H9</f>
        <v>73714.487644859997</v>
      </c>
      <c r="F9" s="46">
        <f>+[45]Main!$L$5-[45]Main!$L$6</f>
        <v>7643.4470000000001</v>
      </c>
      <c r="G9" s="22">
        <f>E9-F9</f>
        <v>66071.040644859997</v>
      </c>
      <c r="H9" s="46">
        <f>+[45]Main!$L$3</f>
        <v>633.17718300000001</v>
      </c>
      <c r="I9" s="116" t="s">
        <v>351</v>
      </c>
      <c r="J9" s="54">
        <v>44971</v>
      </c>
    </row>
    <row r="10" spans="1:24" x14ac:dyDescent="0.15">
      <c r="A10" s="172" t="s">
        <v>253</v>
      </c>
      <c r="B10" s="11" t="s">
        <v>196</v>
      </c>
      <c r="C10" s="11" t="s">
        <v>197</v>
      </c>
    </row>
    <row r="11" spans="1:24" x14ac:dyDescent="0.15">
      <c r="A11" s="77"/>
      <c r="B11" s="77" t="s">
        <v>285</v>
      </c>
      <c r="C11" s="77" t="s">
        <v>286</v>
      </c>
    </row>
    <row r="12" spans="1:24" x14ac:dyDescent="0.15">
      <c r="A12" s="172" t="s">
        <v>253</v>
      </c>
      <c r="B12" s="10" t="s">
        <v>42</v>
      </c>
      <c r="C12" s="10" t="s">
        <v>43</v>
      </c>
    </row>
    <row r="13" spans="1:24" s="20" customFormat="1" x14ac:dyDescent="0.15">
      <c r="A13" s="152" t="s">
        <v>253</v>
      </c>
      <c r="B13" s="5" t="s">
        <v>36</v>
      </c>
      <c r="C13" s="20" t="s">
        <v>37</v>
      </c>
      <c r="D13" s="21">
        <v>36.71</v>
      </c>
      <c r="E13" s="22">
        <f>+D13*[46]Main!$M$3</f>
        <v>46254.6</v>
      </c>
      <c r="F13" s="22">
        <f>+[46]Main!$M$5-[46]Main!$M$6</f>
        <v>6335.1410000000005</v>
      </c>
      <c r="G13" s="22">
        <f t="shared" ref="G13" si="0">E13-F13</f>
        <v>39919.458999999995</v>
      </c>
      <c r="H13" s="22"/>
      <c r="I13" s="23" t="s">
        <v>14</v>
      </c>
      <c r="J13" s="23"/>
      <c r="K13" s="24"/>
      <c r="L13" s="24"/>
      <c r="M13" s="24"/>
      <c r="N13" s="24"/>
      <c r="O13" s="24"/>
      <c r="P13" s="25"/>
      <c r="Q13" s="24"/>
      <c r="R13" s="24"/>
      <c r="S13" s="26"/>
      <c r="T13" s="25"/>
      <c r="U13" s="24"/>
      <c r="V13" s="24"/>
      <c r="W13" s="26"/>
    </row>
    <row r="14" spans="1:24" s="20" customFormat="1" x14ac:dyDescent="0.15">
      <c r="A14" s="77"/>
      <c r="B14" s="77" t="s">
        <v>287</v>
      </c>
      <c r="C14" s="77" t="s">
        <v>288</v>
      </c>
      <c r="D14" s="21"/>
      <c r="E14" s="22"/>
      <c r="F14" s="22"/>
      <c r="G14" s="22"/>
      <c r="H14" s="22"/>
      <c r="I14" s="23"/>
      <c r="J14" s="23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</row>
    <row r="15" spans="1:24" x14ac:dyDescent="0.15">
      <c r="A15" s="84"/>
      <c r="B15" s="1" t="s">
        <v>59</v>
      </c>
      <c r="C15" s="1" t="s">
        <v>60</v>
      </c>
      <c r="D15" s="2">
        <v>71.66</v>
      </c>
      <c r="E15" s="3">
        <v>25171</v>
      </c>
    </row>
    <row r="16" spans="1:24" x14ac:dyDescent="0.15">
      <c r="A16" s="84"/>
      <c r="B16" s="84" t="s">
        <v>303</v>
      </c>
      <c r="C16" s="84" t="s">
        <v>304</v>
      </c>
    </row>
    <row r="17" spans="1:23" x14ac:dyDescent="0.15">
      <c r="A17" s="84"/>
      <c r="B17" s="84" t="s">
        <v>305</v>
      </c>
      <c r="C17" s="84" t="s">
        <v>306</v>
      </c>
    </row>
    <row r="18" spans="1:23" x14ac:dyDescent="0.15">
      <c r="A18" s="85"/>
      <c r="B18" s="85" t="s">
        <v>309</v>
      </c>
      <c r="C18" s="85" t="s">
        <v>310</v>
      </c>
    </row>
    <row r="19" spans="1:23" x14ac:dyDescent="0.15">
      <c r="A19" s="86"/>
      <c r="B19" s="86" t="s">
        <v>311</v>
      </c>
      <c r="C19" s="86" t="s">
        <v>312</v>
      </c>
    </row>
    <row r="20" spans="1:23" x14ac:dyDescent="0.15">
      <c r="A20" s="102"/>
      <c r="B20" s="10" t="s">
        <v>157</v>
      </c>
      <c r="C20" s="10" t="s">
        <v>158</v>
      </c>
    </row>
    <row r="21" spans="1:23" x14ac:dyDescent="0.15">
      <c r="B21" s="1" t="s">
        <v>96</v>
      </c>
      <c r="C21" s="1" t="s">
        <v>97</v>
      </c>
      <c r="D21" s="2">
        <v>2.5099999999999998</v>
      </c>
      <c r="E21" s="3">
        <v>12580</v>
      </c>
    </row>
    <row r="22" spans="1:23" x14ac:dyDescent="0.15">
      <c r="B22" s="10" t="s">
        <v>159</v>
      </c>
      <c r="C22" s="10" t="s">
        <v>160</v>
      </c>
    </row>
    <row r="23" spans="1:23" s="20" customFormat="1" x14ac:dyDescent="0.15">
      <c r="B23" s="20" t="s">
        <v>131</v>
      </c>
      <c r="C23" s="20" t="s">
        <v>132</v>
      </c>
      <c r="D23" s="21">
        <v>17.63</v>
      </c>
      <c r="E23" s="22">
        <v>6480</v>
      </c>
      <c r="F23" s="23"/>
      <c r="G23" s="23"/>
      <c r="H23" s="23"/>
      <c r="I23" s="23"/>
      <c r="J23" s="23"/>
      <c r="K23" s="24"/>
      <c r="L23" s="24"/>
      <c r="M23" s="24"/>
      <c r="N23" s="24"/>
      <c r="O23" s="24"/>
      <c r="P23" s="25"/>
      <c r="Q23" s="24"/>
      <c r="R23" s="24"/>
      <c r="S23" s="26"/>
      <c r="T23" s="25"/>
      <c r="U23" s="24"/>
      <c r="V23" s="24"/>
      <c r="W23" s="26"/>
    </row>
    <row r="24" spans="1:23" x14ac:dyDescent="0.15">
      <c r="B24" s="5" t="s">
        <v>379</v>
      </c>
      <c r="C24" s="111" t="s">
        <v>380</v>
      </c>
      <c r="D24" s="10">
        <v>8.86</v>
      </c>
      <c r="E24" s="46">
        <f>+D24*H24</f>
        <v>963.51364147999993</v>
      </c>
      <c r="F24" s="46">
        <f>+[47]Main!$K$5-[47]Main!$K$6</f>
        <v>-1163.2909999999999</v>
      </c>
      <c r="G24" s="46">
        <f>+E24-F24</f>
        <v>2126.8046414800001</v>
      </c>
      <c r="H24" s="46">
        <f>+[47]Main!$K$3</f>
        <v>108.748718</v>
      </c>
      <c r="I24" s="115" t="s">
        <v>351</v>
      </c>
      <c r="J24" s="54">
        <v>44965</v>
      </c>
    </row>
    <row r="25" spans="1:23" x14ac:dyDescent="0.15">
      <c r="B25" s="5" t="s">
        <v>632</v>
      </c>
      <c r="C25" s="193" t="s">
        <v>633</v>
      </c>
      <c r="D25" s="10">
        <v>1.77</v>
      </c>
      <c r="E25" s="46">
        <f>+D25*H25</f>
        <v>183.49568582999999</v>
      </c>
      <c r="F25" s="46">
        <f>+[48]Main!$K$5-[48]Main!$K$6</f>
        <v>4.47199999999998</v>
      </c>
      <c r="G25" s="46">
        <f>+E25-F25</f>
        <v>179.02368583000001</v>
      </c>
      <c r="H25" s="46">
        <f>+[48]Main!$K$3</f>
        <v>103.66987899999999</v>
      </c>
      <c r="I25" s="194" t="s">
        <v>634</v>
      </c>
      <c r="J25" s="54">
        <v>45556</v>
      </c>
    </row>
    <row r="26" spans="1:23" x14ac:dyDescent="0.15">
      <c r="B26" s="114" t="s">
        <v>381</v>
      </c>
    </row>
    <row r="27" spans="1:23" x14ac:dyDescent="0.15">
      <c r="B27" s="152" t="s">
        <v>512</v>
      </c>
      <c r="C27" s="152" t="s">
        <v>513</v>
      </c>
    </row>
    <row r="28" spans="1:23" x14ac:dyDescent="0.15">
      <c r="B28" s="167" t="s">
        <v>555</v>
      </c>
      <c r="C28" s="167" t="s">
        <v>556</v>
      </c>
    </row>
    <row r="29" spans="1:23" x14ac:dyDescent="0.15">
      <c r="B29" s="167" t="s">
        <v>563</v>
      </c>
      <c r="C29" s="167" t="s">
        <v>564</v>
      </c>
    </row>
    <row r="30" spans="1:23" x14ac:dyDescent="0.15">
      <c r="B30" s="173" t="s">
        <v>617</v>
      </c>
      <c r="C30" s="173" t="s">
        <v>616</v>
      </c>
    </row>
    <row r="31" spans="1:23" x14ac:dyDescent="0.15">
      <c r="B31" s="167"/>
      <c r="C31" s="167"/>
    </row>
    <row r="33" spans="2:12" x14ac:dyDescent="0.15">
      <c r="B33" s="1" t="s">
        <v>115</v>
      </c>
      <c r="C33" s="1"/>
      <c r="D33" s="2"/>
      <c r="E33" s="3">
        <v>8333</v>
      </c>
    </row>
    <row r="34" spans="2:12" x14ac:dyDescent="0.15">
      <c r="B34" s="20" t="s">
        <v>63</v>
      </c>
      <c r="C34" s="20"/>
      <c r="D34" s="21"/>
      <c r="E34" s="22">
        <v>22000</v>
      </c>
    </row>
    <row r="35" spans="2:12" x14ac:dyDescent="0.15">
      <c r="B35" s="20" t="s">
        <v>55</v>
      </c>
      <c r="C35" s="20"/>
      <c r="D35" s="21"/>
      <c r="E35" s="22">
        <v>30000</v>
      </c>
    </row>
    <row r="36" spans="2:12" x14ac:dyDescent="0.15">
      <c r="B36" s="147" t="s">
        <v>453</v>
      </c>
      <c r="L36" s="147" t="s">
        <v>454</v>
      </c>
    </row>
  </sheetData>
  <hyperlinks>
    <hyperlink ref="A1" location="Main!A1" display="Main" xr:uid="{5E6A4119-6CB3-4DE8-85D8-71624588AB5F}"/>
    <hyperlink ref="B5" r:id="rId1" xr:uid="{1DBE1AD0-E144-4B11-A369-C38208461D50}"/>
    <hyperlink ref="B3" r:id="rId2" xr:uid="{9E979F32-3FB9-4155-8C38-6368365757C8}"/>
    <hyperlink ref="B13" r:id="rId3" xr:uid="{7B3BF246-9F57-4E65-999A-345E6DC43A15}"/>
    <hyperlink ref="B4" r:id="rId4" xr:uid="{EBAD1208-6B7E-4686-85C8-90DFDB7B9D36}"/>
    <hyperlink ref="B9" r:id="rId5" xr:uid="{0E4A8717-CB7F-480C-A1D1-B315F728D1CA}"/>
    <hyperlink ref="B24" r:id="rId6" xr:uid="{E112D5EE-DF74-4C8E-8A8A-40FA1E1DA6A2}"/>
    <hyperlink ref="B25" r:id="rId7" xr:uid="{803C9F9C-5FB9-4D21-9B63-E7586C7DD545}"/>
  </hyperlinks>
  <pageMargins left="0.7" right="0.7" top="0.75" bottom="0.75" header="0.3" footer="0.3"/>
  <pageSetup orientation="portrait" r:id="rId8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07CF4-895A-4CDE-92B2-BF34D258BE21}">
  <dimension ref="A1:X17"/>
  <sheetViews>
    <sheetView zoomScale="190" zoomScaleNormal="19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J9" sqref="J9"/>
    </sheetView>
  </sheetViews>
  <sheetFormatPr baseColWidth="10" defaultColWidth="9.1640625" defaultRowHeight="13" x14ac:dyDescent="0.15"/>
  <cols>
    <col min="1" max="1" width="5" style="10" bestFit="1" customWidth="1"/>
    <col min="2" max="2" width="17" style="10" bestFit="1" customWidth="1"/>
    <col min="3" max="9" width="9.1640625" style="10"/>
    <col min="10" max="10" width="9.1640625" style="55"/>
    <col min="11" max="16384" width="9.1640625" style="10"/>
  </cols>
  <sheetData>
    <row r="1" spans="1:24" x14ac:dyDescent="0.15">
      <c r="A1" s="5" t="s">
        <v>142</v>
      </c>
    </row>
    <row r="2" spans="1:24" x14ac:dyDescent="0.15">
      <c r="B2" s="58" t="s">
        <v>0</v>
      </c>
      <c r="C2" s="59" t="s">
        <v>1</v>
      </c>
      <c r="D2" s="60" t="s">
        <v>2</v>
      </c>
      <c r="E2" s="61" t="s">
        <v>3</v>
      </c>
      <c r="F2" s="62" t="s">
        <v>4</v>
      </c>
      <c r="G2" s="62" t="s">
        <v>5</v>
      </c>
      <c r="H2" s="62" t="s">
        <v>213</v>
      </c>
      <c r="I2" s="62" t="s">
        <v>6</v>
      </c>
      <c r="J2" s="62" t="s">
        <v>224</v>
      </c>
      <c r="K2" s="63" t="s">
        <v>208</v>
      </c>
      <c r="L2" s="63" t="s">
        <v>212</v>
      </c>
      <c r="M2" s="63" t="s">
        <v>209</v>
      </c>
      <c r="N2" s="63" t="s">
        <v>210</v>
      </c>
      <c r="O2" s="64" t="s">
        <v>211</v>
      </c>
      <c r="P2" s="65" t="s">
        <v>229</v>
      </c>
      <c r="Q2" s="66" t="s">
        <v>230</v>
      </c>
      <c r="R2" s="66" t="s">
        <v>231</v>
      </c>
      <c r="S2" s="64">
        <v>2025</v>
      </c>
      <c r="T2" s="65" t="s">
        <v>228</v>
      </c>
      <c r="U2" s="63">
        <v>2023</v>
      </c>
      <c r="V2" s="63">
        <v>2024</v>
      </c>
      <c r="W2" s="64">
        <v>2025</v>
      </c>
      <c r="X2" s="57" t="s">
        <v>214</v>
      </c>
    </row>
    <row r="3" spans="1:24" x14ac:dyDescent="0.15">
      <c r="A3" s="71" t="s">
        <v>253</v>
      </c>
      <c r="B3" s="10" t="s">
        <v>151</v>
      </c>
      <c r="C3" s="10" t="s">
        <v>152</v>
      </c>
    </row>
    <row r="4" spans="1:24" x14ac:dyDescent="0.15">
      <c r="A4" s="152" t="s">
        <v>253</v>
      </c>
      <c r="B4" s="10" t="s">
        <v>156</v>
      </c>
      <c r="C4" s="10" t="s">
        <v>155</v>
      </c>
    </row>
    <row r="5" spans="1:24" x14ac:dyDescent="0.15">
      <c r="A5" s="152" t="s">
        <v>253</v>
      </c>
      <c r="B5" s="10" t="s">
        <v>153</v>
      </c>
      <c r="C5" s="10" t="s">
        <v>154</v>
      </c>
    </row>
    <row r="6" spans="1:24" x14ac:dyDescent="0.15">
      <c r="A6" s="79"/>
      <c r="B6" s="79" t="s">
        <v>292</v>
      </c>
      <c r="C6" s="79" t="s">
        <v>293</v>
      </c>
    </row>
    <row r="7" spans="1:24" x14ac:dyDescent="0.15">
      <c r="A7" s="152" t="s">
        <v>253</v>
      </c>
      <c r="B7" s="20" t="s">
        <v>181</v>
      </c>
      <c r="C7" s="20" t="s">
        <v>182</v>
      </c>
      <c r="D7" s="21">
        <v>181.71</v>
      </c>
      <c r="E7" s="22">
        <v>25220</v>
      </c>
    </row>
    <row r="8" spans="1:24" s="1" customFormat="1" x14ac:dyDescent="0.15">
      <c r="A8" s="1" t="s">
        <v>253</v>
      </c>
      <c r="B8" s="1" t="s">
        <v>80</v>
      </c>
      <c r="C8" s="1" t="s">
        <v>81</v>
      </c>
      <c r="D8" s="2">
        <v>128.05000000000001</v>
      </c>
      <c r="E8" s="3">
        <v>16470</v>
      </c>
      <c r="F8" s="4"/>
      <c r="G8" s="4"/>
      <c r="H8" s="4"/>
      <c r="J8" s="4"/>
    </row>
    <row r="9" spans="1:24" x14ac:dyDescent="0.15">
      <c r="A9" s="152" t="s">
        <v>253</v>
      </c>
      <c r="B9" s="5" t="s">
        <v>189</v>
      </c>
      <c r="C9" s="10" t="s">
        <v>190</v>
      </c>
      <c r="D9" s="10">
        <v>83.39</v>
      </c>
      <c r="E9" s="46">
        <f>+D9*H9</f>
        <v>28494.590988259999</v>
      </c>
      <c r="F9" s="46">
        <f>+[49]Main!$N$5-[49]Main!$N$6</f>
        <v>472.05500000000006</v>
      </c>
      <c r="G9" s="46">
        <f>+E9-F9</f>
        <v>28022.535988259999</v>
      </c>
      <c r="H9" s="46">
        <f>+[49]Main!$N$3</f>
        <v>341.70273399999996</v>
      </c>
      <c r="I9" s="200" t="s">
        <v>618</v>
      </c>
      <c r="J9" s="201">
        <v>45561</v>
      </c>
    </row>
    <row r="10" spans="1:24" x14ac:dyDescent="0.15">
      <c r="A10" s="152" t="s">
        <v>253</v>
      </c>
      <c r="B10" s="144" t="s">
        <v>435</v>
      </c>
      <c r="C10" s="144" t="s">
        <v>436</v>
      </c>
    </row>
    <row r="11" spans="1:24" x14ac:dyDescent="0.15">
      <c r="A11" s="152" t="s">
        <v>253</v>
      </c>
      <c r="B11" s="152" t="s">
        <v>94</v>
      </c>
      <c r="C11" s="152" t="s">
        <v>95</v>
      </c>
    </row>
    <row r="12" spans="1:24" x14ac:dyDescent="0.15">
      <c r="A12" s="152" t="s">
        <v>253</v>
      </c>
      <c r="B12" s="152" t="s">
        <v>506</v>
      </c>
      <c r="C12" s="152" t="s">
        <v>507</v>
      </c>
    </row>
    <row r="13" spans="1:24" x14ac:dyDescent="0.15">
      <c r="A13" s="152" t="s">
        <v>253</v>
      </c>
      <c r="B13" s="152" t="s">
        <v>535</v>
      </c>
      <c r="C13" s="152" t="s">
        <v>536</v>
      </c>
    </row>
    <row r="14" spans="1:24" x14ac:dyDescent="0.15">
      <c r="A14" s="152" t="s">
        <v>253</v>
      </c>
      <c r="B14" s="152" t="s">
        <v>541</v>
      </c>
      <c r="C14" s="152" t="s">
        <v>542</v>
      </c>
    </row>
    <row r="15" spans="1:24" x14ac:dyDescent="0.15">
      <c r="A15" s="167" t="s">
        <v>253</v>
      </c>
      <c r="B15" s="167" t="s">
        <v>559</v>
      </c>
      <c r="C15" s="167" t="s">
        <v>560</v>
      </c>
    </row>
    <row r="16" spans="1:24" x14ac:dyDescent="0.15">
      <c r="A16" s="167" t="s">
        <v>253</v>
      </c>
      <c r="B16" s="167" t="s">
        <v>573</v>
      </c>
      <c r="C16" s="167" t="s">
        <v>574</v>
      </c>
    </row>
    <row r="17" spans="1:3" x14ac:dyDescent="0.15">
      <c r="A17" s="167" t="s">
        <v>253</v>
      </c>
      <c r="B17" s="167" t="s">
        <v>603</v>
      </c>
      <c r="C17" s="167" t="s">
        <v>604</v>
      </c>
    </row>
  </sheetData>
  <hyperlinks>
    <hyperlink ref="A1" location="Main!A1" display="Main" xr:uid="{8911E9A3-ACF0-4B55-98BB-1EFB77BE02DE}"/>
    <hyperlink ref="B9" r:id="rId1" xr:uid="{E631AFBD-2204-44CC-85D1-53FBF27BF681}"/>
  </hyperlinks>
  <pageMargins left="0.7" right="0.7" top="0.75" bottom="0.75" header="0.3" footer="0.3"/>
  <pageSetup paperSize="9" orientation="portrait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50321-4AE5-45B4-8FB8-F8D64CF71E0E}">
  <dimension ref="A1:C7"/>
  <sheetViews>
    <sheetView workbookViewId="0"/>
  </sheetViews>
  <sheetFormatPr baseColWidth="10" defaultColWidth="9.1640625" defaultRowHeight="13" x14ac:dyDescent="0.15"/>
  <cols>
    <col min="1" max="1" width="5" style="40" bestFit="1" customWidth="1"/>
    <col min="2" max="16384" width="9.1640625" style="40"/>
  </cols>
  <sheetData>
    <row r="1" spans="1:3" x14ac:dyDescent="0.15">
      <c r="A1" s="5" t="s">
        <v>142</v>
      </c>
    </row>
    <row r="2" spans="1:3" x14ac:dyDescent="0.15">
      <c r="B2" s="40" t="s">
        <v>146</v>
      </c>
      <c r="C2" s="40">
        <v>7.8498000000000001</v>
      </c>
    </row>
    <row r="3" spans="1:3" x14ac:dyDescent="0.15">
      <c r="B3" s="40" t="s">
        <v>147</v>
      </c>
      <c r="C3" s="40">
        <v>6.74</v>
      </c>
    </row>
    <row r="4" spans="1:3" x14ac:dyDescent="0.15">
      <c r="B4" s="40" t="s">
        <v>207</v>
      </c>
      <c r="C4" s="40">
        <v>1.01</v>
      </c>
    </row>
    <row r="5" spans="1:3" x14ac:dyDescent="0.15">
      <c r="B5" s="40" t="s">
        <v>225</v>
      </c>
      <c r="C5" s="40">
        <v>10.3437</v>
      </c>
    </row>
    <row r="6" spans="1:3" x14ac:dyDescent="0.15">
      <c r="B6" s="41" t="s">
        <v>233</v>
      </c>
      <c r="C6" s="40">
        <v>136.93</v>
      </c>
    </row>
    <row r="7" spans="1:3" x14ac:dyDescent="0.15">
      <c r="B7" s="41" t="s">
        <v>234</v>
      </c>
      <c r="C7" s="40">
        <v>1.2991999999999999</v>
      </c>
    </row>
  </sheetData>
  <hyperlinks>
    <hyperlink ref="A1" location="Main!A1" display="Main" xr:uid="{CA8672F6-BB57-4BF8-83E1-A8CF0133433F}"/>
  </hyperlinks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5831F-FB2E-134D-9E1A-7188BFBB74B9}">
  <dimension ref="A1:G11"/>
  <sheetViews>
    <sheetView zoomScaleNormal="100" zoomScaleSheetLayoutView="10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D12" sqref="D12"/>
    </sheetView>
  </sheetViews>
  <sheetFormatPr baseColWidth="10" defaultColWidth="9.1640625" defaultRowHeight="13" x14ac:dyDescent="0.15"/>
  <cols>
    <col min="1" max="1" width="5" style="6" bestFit="1" customWidth="1"/>
    <col min="2" max="2" width="19.6640625" style="6" bestFit="1" customWidth="1"/>
    <col min="3" max="3" width="9.1640625" style="7"/>
    <col min="4" max="16384" width="9.1640625" style="6"/>
  </cols>
  <sheetData>
    <row r="1" spans="1:7" x14ac:dyDescent="0.15">
      <c r="A1" s="5" t="s">
        <v>142</v>
      </c>
    </row>
    <row r="2" spans="1:7" x14ac:dyDescent="0.15">
      <c r="B2" s="6" t="s">
        <v>0</v>
      </c>
      <c r="C2" s="7" t="s">
        <v>145</v>
      </c>
      <c r="D2" s="12" t="s">
        <v>203</v>
      </c>
      <c r="E2" s="41" t="s">
        <v>214</v>
      </c>
      <c r="F2" s="41" t="s">
        <v>236</v>
      </c>
      <c r="G2" s="47" t="s">
        <v>240</v>
      </c>
    </row>
    <row r="3" spans="1:7" x14ac:dyDescent="0.15">
      <c r="B3" s="8" t="s">
        <v>33</v>
      </c>
      <c r="C3" s="7">
        <v>100000</v>
      </c>
      <c r="D3" s="12" t="s">
        <v>204</v>
      </c>
    </row>
    <row r="4" spans="1:7" x14ac:dyDescent="0.15">
      <c r="B4" s="6" t="s">
        <v>86</v>
      </c>
      <c r="C4" s="7">
        <v>15000</v>
      </c>
      <c r="D4" s="12" t="s">
        <v>204</v>
      </c>
    </row>
    <row r="5" spans="1:7" x14ac:dyDescent="0.15">
      <c r="B5" s="6" t="s">
        <v>120</v>
      </c>
      <c r="C5" s="7">
        <v>8000</v>
      </c>
      <c r="D5" s="12" t="s">
        <v>205</v>
      </c>
    </row>
    <row r="6" spans="1:7" x14ac:dyDescent="0.15">
      <c r="B6" s="6" t="s">
        <v>140</v>
      </c>
      <c r="D6" s="12" t="s">
        <v>206</v>
      </c>
    </row>
    <row r="7" spans="1:7" x14ac:dyDescent="0.15">
      <c r="B7" s="6" t="s">
        <v>141</v>
      </c>
      <c r="D7" s="12" t="s">
        <v>206</v>
      </c>
    </row>
    <row r="8" spans="1:7" x14ac:dyDescent="0.15">
      <c r="B8" s="12" t="s">
        <v>201</v>
      </c>
      <c r="D8" s="12" t="s">
        <v>202</v>
      </c>
    </row>
    <row r="9" spans="1:7" x14ac:dyDescent="0.15">
      <c r="B9" s="41" t="s">
        <v>235</v>
      </c>
      <c r="D9" s="41" t="s">
        <v>204</v>
      </c>
      <c r="E9" s="6">
        <v>2021</v>
      </c>
      <c r="F9" s="41" t="s">
        <v>237</v>
      </c>
      <c r="G9" s="47" t="s">
        <v>241</v>
      </c>
    </row>
    <row r="10" spans="1:7" x14ac:dyDescent="0.15">
      <c r="B10" s="47" t="s">
        <v>238</v>
      </c>
      <c r="D10" s="47" t="s">
        <v>239</v>
      </c>
      <c r="E10" s="6">
        <v>2021</v>
      </c>
      <c r="G10" s="47" t="s">
        <v>241</v>
      </c>
    </row>
    <row r="11" spans="1:7" x14ac:dyDescent="0.15">
      <c r="B11" s="123" t="s">
        <v>391</v>
      </c>
      <c r="D11" s="123" t="s">
        <v>392</v>
      </c>
    </row>
  </sheetData>
  <hyperlinks>
    <hyperlink ref="A1" location="Main!A1" display="Main" xr:uid="{F0FD3AE8-EA92-47CC-9713-F9163090CCA8}"/>
  </hyperlink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16</vt:i4>
      </vt:variant>
      <vt:variant>
        <vt:lpstr>Named Ranges</vt:lpstr>
      </vt:variant>
      <vt:variant>
        <vt:i4>6</vt:i4>
      </vt:variant>
    </vt:vector>
  </HeadingPairs>
  <TitlesOfParts>
    <vt:vector size="22" baseType="lpstr">
      <vt:lpstr>Acquisitions</vt:lpstr>
      <vt:lpstr>People</vt:lpstr>
      <vt:lpstr>Glossary</vt:lpstr>
      <vt:lpstr>Revenue</vt:lpstr>
      <vt:lpstr>Historical</vt:lpstr>
      <vt:lpstr>Main</vt:lpstr>
      <vt:lpstr>Enterprise-Cloud</vt:lpstr>
      <vt:lpstr>Social-Dating</vt:lpstr>
      <vt:lpstr>Simulation-Technical Design</vt:lpstr>
      <vt:lpstr>Media-Games-Design</vt:lpstr>
      <vt:lpstr>Fintech</vt:lpstr>
      <vt:lpstr>Healthcare</vt:lpstr>
      <vt:lpstr>Ecommerce</vt:lpstr>
      <vt:lpstr>Security</vt:lpstr>
      <vt:lpstr>FX</vt:lpstr>
      <vt:lpstr>Private</vt:lpstr>
      <vt:lpstr>CAD</vt:lpstr>
      <vt:lpstr>EUR</vt:lpstr>
      <vt:lpstr>HKD</vt:lpstr>
      <vt:lpstr>JPY</vt:lpstr>
      <vt:lpstr>RMB</vt:lpstr>
      <vt:lpstr>SEK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2022-07-14T18:55:24Z</dcterms:created>
  <dcterms:modified xsi:type="dcterms:W3CDTF">2024-10-03T19:06:34Z</dcterms:modified>
  <cp:category/>
  <cp:contentStatus/>
</cp:coreProperties>
</file>