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F4E72548-4A3C-49E5-87FF-8331B8715767}" xr6:coauthVersionLast="47" xr6:coauthVersionMax="47" xr10:uidLastSave="{00000000-0000-0000-0000-000000000000}"/>
  <bookViews>
    <workbookView xWindow="11250" yWindow="4360" windowWidth="26500" windowHeight="15380" xr2:uid="{98D8347A-DFA4-427C-8784-96E5573B433C}"/>
  </bookViews>
  <sheets>
    <sheet name="Semiconductors" sheetId="1" r:id="rId1"/>
    <sheet name="Networking" sheetId="3" r:id="rId2"/>
    <sheet name="Electronics-Computers" sheetId="2" r:id="rId3"/>
    <sheet name="FX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H8" i="1"/>
  <c r="E8" i="1" s="1"/>
  <c r="G8" i="1" s="1"/>
  <c r="F10" i="1" l="1"/>
  <c r="H10" i="1"/>
  <c r="E10" i="1" s="1"/>
  <c r="G10" i="1" l="1"/>
  <c r="F35" i="1" l="1"/>
  <c r="H35" i="1"/>
  <c r="E35" i="1" s="1"/>
  <c r="G35" i="1" l="1"/>
  <c r="F34" i="1"/>
  <c r="H34" i="1"/>
  <c r="E34" i="1" s="1"/>
  <c r="G34" i="1" l="1"/>
  <c r="F18" i="1"/>
  <c r="H18" i="1"/>
  <c r="E18" i="1" s="1"/>
  <c r="G18" i="1" l="1"/>
  <c r="F17" i="1" l="1"/>
  <c r="H17" i="1"/>
  <c r="E17" i="1" s="1"/>
  <c r="G17" i="1" s="1"/>
  <c r="F18" i="2"/>
  <c r="H18" i="2"/>
  <c r="E18" i="2" s="1"/>
  <c r="G18" i="2" s="1"/>
  <c r="F17" i="2"/>
  <c r="H17" i="2"/>
  <c r="E17" i="2" s="1"/>
  <c r="F6" i="1"/>
  <c r="H6" i="1"/>
  <c r="E6" i="1" s="1"/>
  <c r="G17" i="2" l="1"/>
  <c r="G6" i="1"/>
  <c r="F5" i="1"/>
  <c r="H5" i="1"/>
  <c r="E5" i="1" s="1"/>
  <c r="F4" i="1"/>
  <c r="H4" i="1"/>
  <c r="E4" i="1" s="1"/>
  <c r="G4" i="1" l="1"/>
  <c r="G5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<sst xmlns="http://schemas.openxmlformats.org/spreadsheetml/2006/main" count="228" uniqueCount="142">
  <si>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</si>
  <si>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</si>
  <si>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</si>
  <si>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</si>
  <si>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</si>
  <si>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</si>
  <si>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</si>
  <si>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</si>
  <si>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</si>
  <si>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</si>
  <si>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</si>
  <si>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</si>
  <si>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</si>
  <si>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</si>
  <si>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</si>
  <si>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</si>
  <si>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</si>
  <si>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</si>
  <si>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</si>
  <si>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</si>
  <si>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</si>
  <si>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</si>
  <si>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</si>
  <si>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</si>
  <si>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</si>
  <si>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</si>
  <si>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</si>
  <si>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</si>
  <si>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</si>
  <si>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</si>
  <si>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</si>
  <si>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</si>
  <si>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</si>
  <si>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</si>
  <si>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</si>
  <si>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</si>
  <si>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</si>
  <si>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</si>
  <si>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</si>
  <si>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</si>
  <si>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</si>
  <si>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</si>
  <si>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</si>
  <si>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</si>
  <si>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</si>
  <si>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</si>
  <si>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</si>
  <si>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</si>
  <si>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</si>
  <si>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</si>
  <si>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</si>
  <si>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</si>
  <si>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</si>
  <si>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</si>
  <si>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</si>
  <si>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</si>
  <si>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</si>
  <si>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</si>
  <si>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</si>
  <si>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</si>
  <si>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</si>
  <si>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</si>
  <si>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</si>
  <si>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</si>
  <si>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</si>
  <si>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</si>
  <si>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</si>
  <si>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</si>
  <si>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</si>
  <si>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</si>
  <si>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</si>
  <si>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</si>
  <si>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</si>
  <si>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</si>
  <si>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</si>
  <si>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</si>
  <si>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</si>
  <si>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</si>
  <si>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</si>
  <si>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</si>
  <si>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</si>
  <si>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</si>
  <si>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</si>
  <si>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</si>
  <si>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</si>
  <si>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</si>
  <si>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</si>
  <si>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</si>
  <si>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</si>
  <si>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</si>
  <si>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</si>
  <si>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</si>
  <si>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</si>
  <si>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</si>
  <si>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</si>
  <si>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</si>
  <si>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</si>
  <si>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</si>
  <si>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</si>
  <si>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</si>
  <si>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</si>
  <si>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</si>
  <si>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</si>
  <si>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</si>
  <si>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</si>
  <si>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</si>
  <si>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</si>
  <si>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</si>
  <si>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</si>
  <si>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</si>
  <si>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</si>
  <si>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</si>
  <si>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</si>
  <si>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</si>
  <si>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</si>
  <si>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</si>
  <si>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</si>
  <si>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</si>
  <si>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</si>
  <si>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Q123</t>
  </si>
  <si>
    <t>ARM Holdings</t>
  </si>
  <si>
    <t>ARM</t>
  </si>
  <si>
    <t>Q224</t>
  </si>
  <si>
    <t>Q124</t>
  </si>
  <si>
    <t>NTD/TWD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</si>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</sst>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24600</v>
          </cell>
        </row>
        <row r="5">
          <cell r="K5">
            <v>31438</v>
          </cell>
        </row>
        <row r="6">
          <cell r="K6">
            <v>9710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206.61099999999999</v>
          </cell>
        </row>
        <row r="5">
          <cell r="J5">
            <v>455.93000000000006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191.243492</v>
          </cell>
        </row>
        <row r="5">
          <cell r="L5">
            <v>100.476</v>
          </cell>
        </row>
        <row r="6">
          <cell r="L6">
            <v>16.405999999999999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0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8.81640625" defaultRowHeight="12.5" x14ac:dyDescent="0.25"/>
  <cols>
    <col min="1" max="1" width="2.453125" customWidth="1"/>
    <col min="2" max="2" width="17.7265625" bestFit="1" customWidth="1"/>
    <col min="3" max="3" width="11" customWidth="1"/>
    <col min="4" max="4" width="9.1796875" style="3"/>
    <col min="5" max="5" width="9.54296875" style="3" bestFit="1" customWidth="1"/>
    <col min="6" max="6" width="9.1796875" style="3"/>
    <col min="7" max="7" width="9.54296875" style="3" bestFit="1" customWidth="1"/>
    <col min="8" max="9" width="9.1796875" style="3"/>
    <col min="10" max="10" width="9.81640625" style="3" customWidth="1"/>
  </cols>
  <sheetData>
    <row r="2" spans="1:11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5">
      <c r="A3" t="s">
        <v>46</v>
      </c>
      <c r="B3" s="1" t="s">
        <v>2</v>
      </c>
      <c r="C3" t="s">
        <v>3</v>
      </c>
      <c r="D3" s="4">
        <v>120</v>
      </c>
      <c r="E3" s="6">
        <f>+D3*H3</f>
        <v>2952000</v>
      </c>
      <c r="F3" s="6">
        <f>+[1]Main!$K$5-[1]Main!$K$6</f>
        <v>21728</v>
      </c>
      <c r="G3" s="6">
        <f>+E3-F3</f>
        <v>2930272</v>
      </c>
      <c r="H3" s="6">
        <f>+[1]Main!$K$3</f>
        <v>24600</v>
      </c>
      <c r="I3" s="3" t="s">
        <v>123</v>
      </c>
      <c r="J3" s="10">
        <v>45532</v>
      </c>
      <c r="K3">
        <v>1993</v>
      </c>
    </row>
    <row r="4" spans="1:11" x14ac:dyDescent="0.25">
      <c r="A4" t="s">
        <v>46</v>
      </c>
      <c r="B4" s="1" t="s">
        <v>11</v>
      </c>
      <c r="C4" t="s">
        <v>12</v>
      </c>
      <c r="D4" s="4">
        <v>189.3</v>
      </c>
      <c r="E4" s="6">
        <f>+D4*H4/5</f>
        <v>981747.66000000015</v>
      </c>
      <c r="F4" s="6">
        <f>+[2]Main!$J$7-[2]Main!$J$8</f>
        <v>36949</v>
      </c>
      <c r="G4" s="6">
        <f>+E4-F4</f>
        <v>944798.66000000015</v>
      </c>
      <c r="H4" s="6">
        <f>+[2]Main!$J$4</f>
        <v>25931</v>
      </c>
      <c r="I4" s="3" t="s">
        <v>122</v>
      </c>
      <c r="J4" s="10">
        <v>45532</v>
      </c>
    </row>
    <row r="5" spans="1:11" x14ac:dyDescent="0.25">
      <c r="A5" t="s">
        <v>46</v>
      </c>
      <c r="B5" s="1" t="s">
        <v>11</v>
      </c>
      <c r="C5" t="s">
        <v>22</v>
      </c>
      <c r="D5" s="4">
        <v>1045</v>
      </c>
      <c r="E5" s="6">
        <f>+D5*H5/FX!C2</f>
        <v>842858.3203732504</v>
      </c>
      <c r="F5" s="6">
        <f>+[2]Main!$J$7-[2]Main!$J$8</f>
        <v>36949</v>
      </c>
      <c r="G5" s="6">
        <f>+E5-F5</f>
        <v>805909.3203732504</v>
      </c>
      <c r="H5" s="6">
        <f>+[2]Main!$J$4</f>
        <v>25931</v>
      </c>
      <c r="I5" s="3" t="s">
        <v>122</v>
      </c>
      <c r="J5" s="10">
        <v>45532</v>
      </c>
    </row>
    <row r="6" spans="1:11" x14ac:dyDescent="0.25">
      <c r="A6" t="s">
        <v>46</v>
      </c>
      <c r="B6" s="1" t="s">
        <v>24</v>
      </c>
      <c r="C6" t="s">
        <v>26</v>
      </c>
      <c r="D6" s="4">
        <v>154</v>
      </c>
      <c r="E6" s="6">
        <f>+D6*H6</f>
        <v>719268.71678200003</v>
      </c>
      <c r="F6" s="6">
        <f>+[3]Main!$J$5-[3]Main!$J$6</f>
        <v>-61604</v>
      </c>
      <c r="G6" s="6">
        <f>+E6-F6</f>
        <v>780872.71678200003</v>
      </c>
      <c r="H6" s="6">
        <f>+[3]Main!$J$3</f>
        <v>4670.5760829999999</v>
      </c>
      <c r="I6" s="3" t="s">
        <v>122</v>
      </c>
      <c r="J6" s="10">
        <v>45581</v>
      </c>
    </row>
    <row r="7" spans="1:11" x14ac:dyDescent="0.25">
      <c r="A7" t="s">
        <v>46</v>
      </c>
      <c r="B7" t="s">
        <v>14</v>
      </c>
      <c r="C7" t="s">
        <v>23</v>
      </c>
    </row>
    <row r="8" spans="1:11" x14ac:dyDescent="0.25">
      <c r="A8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+[15]Main!$L$5-[15]Main!$L$6</f>
        <v>1413.0000000000009</v>
      </c>
      <c r="G8" s="6">
        <f>+E8-F8</f>
        <v>268047.93</v>
      </c>
      <c r="H8" s="6">
        <f>+[15]Main!$L$3</f>
        <v>393.5</v>
      </c>
      <c r="I8" s="3" t="s">
        <v>122</v>
      </c>
      <c r="J8" s="10">
        <v>45581</v>
      </c>
    </row>
    <row r="9" spans="1:11" x14ac:dyDescent="0.25">
      <c r="A9" t="s">
        <v>46</v>
      </c>
      <c r="B9" s="1" t="s">
        <v>8</v>
      </c>
      <c r="C9" t="s">
        <v>8</v>
      </c>
      <c r="D9" s="4">
        <v>130</v>
      </c>
      <c r="E9" s="6">
        <f>+D9*H9</f>
        <v>210340</v>
      </c>
      <c r="F9" s="6">
        <f>+[5]Main!$M$5-[5]Main!$M$6</f>
        <v>3388</v>
      </c>
      <c r="G9" s="6">
        <f>+E9-F9</f>
        <v>206952</v>
      </c>
      <c r="H9" s="6">
        <f>+[5]Main!$M$3</f>
        <v>1618</v>
      </c>
      <c r="I9" s="3" t="s">
        <v>118</v>
      </c>
      <c r="J9" s="10">
        <v>45507</v>
      </c>
      <c r="K9">
        <v>1969</v>
      </c>
    </row>
    <row r="10" spans="1:11" x14ac:dyDescent="0.25">
      <c r="A10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+[4]Main!$L$5-[4]Main!$L$6</f>
        <v>-1522</v>
      </c>
      <c r="G10" s="6">
        <f>+E10-F10</f>
        <v>192617.56</v>
      </c>
      <c r="H10" s="6">
        <f>+[4]Main!$L$3</f>
        <v>1114</v>
      </c>
      <c r="I10" s="3" t="s">
        <v>122</v>
      </c>
      <c r="J10" s="10">
        <v>45581</v>
      </c>
    </row>
    <row r="11" spans="1:11" x14ac:dyDescent="0.25">
      <c r="A11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+[6]Main!$K$5-[6]Main!$K$6</f>
        <v>1153</v>
      </c>
      <c r="G11" s="6">
        <f>+E11-F11</f>
        <v>153442.76542208</v>
      </c>
      <c r="H11" s="6">
        <f>+[6]Main!$K$3</f>
        <v>907.57171200000005</v>
      </c>
      <c r="I11" s="3" t="s">
        <v>116</v>
      </c>
      <c r="J11" s="10">
        <v>44946</v>
      </c>
    </row>
    <row r="12" spans="1:11" x14ac:dyDescent="0.25">
      <c r="A12" t="s">
        <v>46</v>
      </c>
      <c r="B12" s="1" t="s">
        <v>6</v>
      </c>
      <c r="C12" t="s">
        <v>7</v>
      </c>
      <c r="D12" s="4">
        <v>21</v>
      </c>
      <c r="E12" s="6">
        <f>+D12*H12</f>
        <v>89607</v>
      </c>
      <c r="F12" s="6">
        <f>+[7]Main!$L$5-[7]Main!$L$6</f>
        <v>-17932</v>
      </c>
      <c r="G12" s="6">
        <f>+E12-F12</f>
        <v>107539</v>
      </c>
      <c r="H12" s="6">
        <f>+[7]Main!$L$3</f>
        <v>4267</v>
      </c>
      <c r="I12" s="3" t="s">
        <v>122</v>
      </c>
      <c r="J12" s="10">
        <v>45507</v>
      </c>
    </row>
    <row r="13" spans="1:11" x14ac:dyDescent="0.25">
      <c r="A13" t="s">
        <v>46</v>
      </c>
      <c r="B13" t="s">
        <v>31</v>
      </c>
      <c r="C13" t="s">
        <v>32</v>
      </c>
    </row>
    <row r="14" spans="1:11" x14ac:dyDescent="0.25">
      <c r="A14" t="s">
        <v>46</v>
      </c>
      <c r="B14" t="s">
        <v>120</v>
      </c>
      <c r="C14" t="s">
        <v>121</v>
      </c>
    </row>
    <row r="15" spans="1:11" x14ac:dyDescent="0.25">
      <c r="A15" t="s">
        <v>46</v>
      </c>
      <c r="B15" t="s">
        <v>33</v>
      </c>
      <c r="C15" t="s">
        <v>34</v>
      </c>
    </row>
    <row r="16" spans="1:11" x14ac:dyDescent="0.25">
      <c r="A16" t="s">
        <v>46</v>
      </c>
      <c r="B16" t="s">
        <v>47</v>
      </c>
      <c r="C16" t="s">
        <v>48</v>
      </c>
    </row>
    <row r="17" spans="1:10" x14ac:dyDescent="0.25">
      <c r="A17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+[8]Main!$J$5-[8]Main!$J$6</f>
        <v>-4104</v>
      </c>
      <c r="G17" s="6">
        <f>+E17-F17</f>
        <v>103389.65233004</v>
      </c>
      <c r="H17" s="6">
        <f>+[8]Main!$J$3</f>
        <v>1108.841326</v>
      </c>
      <c r="I17" s="3" t="s">
        <v>122</v>
      </c>
      <c r="J17" s="10">
        <v>45554</v>
      </c>
    </row>
    <row r="18" spans="1:10" x14ac:dyDescent="0.25">
      <c r="A18" t="s">
        <v>46</v>
      </c>
      <c r="B18" s="1" t="s">
        <v>136</v>
      </c>
      <c r="C18" t="s">
        <v>137</v>
      </c>
      <c r="D18" s="4">
        <v>461.61</v>
      </c>
      <c r="E18" s="6">
        <f>+D18*H18</f>
        <v>29543.040000000001</v>
      </c>
      <c r="F18" s="6">
        <f>+[9]Main!$M$5-[9]Main!$M$6</f>
        <v>-504</v>
      </c>
      <c r="G18" s="6">
        <f>+E18-F18</f>
        <v>30047.040000000001</v>
      </c>
      <c r="H18" s="6">
        <f>+[9]Main!$M$3</f>
        <v>64</v>
      </c>
      <c r="I18" s="3" t="s">
        <v>122</v>
      </c>
      <c r="J18" s="10">
        <v>45560</v>
      </c>
    </row>
    <row r="19" spans="1:10" x14ac:dyDescent="0.25">
      <c r="A19" t="s">
        <v>46</v>
      </c>
      <c r="B19" t="s">
        <v>49</v>
      </c>
      <c r="C19" t="s">
        <v>50</v>
      </c>
    </row>
    <row r="20" spans="1:10" x14ac:dyDescent="0.25">
      <c r="A20" t="s">
        <v>46</v>
      </c>
      <c r="B20" t="s">
        <v>53</v>
      </c>
      <c r="C20" t="s">
        <v>54</v>
      </c>
    </row>
    <row r="21" spans="1:10" x14ac:dyDescent="0.25">
      <c r="A21" t="s">
        <v>46</v>
      </c>
      <c r="B21" t="s">
        <v>55</v>
      </c>
      <c r="C21" t="s">
        <v>56</v>
      </c>
    </row>
    <row r="22" spans="1:10" x14ac:dyDescent="0.25">
      <c r="A22" t="s">
        <v>46</v>
      </c>
      <c r="B22" t="s">
        <v>57</v>
      </c>
      <c r="C22" t="s">
        <v>58</v>
      </c>
    </row>
    <row r="23" spans="1:10" x14ac:dyDescent="0.25">
      <c r="A23" t="s">
        <v>46</v>
      </c>
      <c r="B23" t="s">
        <v>61</v>
      </c>
      <c r="C23" t="s">
        <v>62</v>
      </c>
    </row>
    <row r="24" spans="1:10" x14ac:dyDescent="0.25">
      <c r="A24" t="s">
        <v>46</v>
      </c>
      <c r="B24" t="s">
        <v>70</v>
      </c>
      <c r="C24" t="s">
        <v>71</v>
      </c>
    </row>
    <row r="25" spans="1:10" x14ac:dyDescent="0.25">
      <c r="A25" t="s">
        <v>46</v>
      </c>
      <c r="B25" t="s">
        <v>79</v>
      </c>
      <c r="C25" t="s">
        <v>80</v>
      </c>
    </row>
    <row r="26" spans="1:10" x14ac:dyDescent="0.25">
      <c r="A26" t="s">
        <v>46</v>
      </c>
      <c r="B26" t="s">
        <v>81</v>
      </c>
      <c r="C26" t="s">
        <v>82</v>
      </c>
    </row>
    <row r="27" spans="1:10" x14ac:dyDescent="0.25">
      <c r="A27" t="s">
        <v>46</v>
      </c>
      <c r="B27" t="s">
        <v>83</v>
      </c>
      <c r="C27" t="s">
        <v>84</v>
      </c>
    </row>
    <row r="28" spans="1:10" x14ac:dyDescent="0.25">
      <c r="A28" t="s">
        <v>46</v>
      </c>
      <c r="B28" t="s">
        <v>89</v>
      </c>
      <c r="C28" t="s">
        <v>90</v>
      </c>
    </row>
    <row r="29" spans="1:10" x14ac:dyDescent="0.25">
      <c r="A29" t="s">
        <v>46</v>
      </c>
      <c r="B29" t="s">
        <v>93</v>
      </c>
      <c r="C29" t="s">
        <v>94</v>
      </c>
    </row>
    <row r="30" spans="1:10" x14ac:dyDescent="0.25">
      <c r="A30" t="s">
        <v>46</v>
      </c>
      <c r="B30" t="s">
        <v>99</v>
      </c>
      <c r="C30" t="s">
        <v>100</v>
      </c>
    </row>
    <row r="31" spans="1:10" x14ac:dyDescent="0.25">
      <c r="A31" t="s">
        <v>46</v>
      </c>
      <c r="B31" t="s">
        <v>105</v>
      </c>
      <c r="C31" t="s">
        <v>106</v>
      </c>
    </row>
    <row r="32" spans="1:10" x14ac:dyDescent="0.25">
      <c r="A32" t="s">
        <v>46</v>
      </c>
      <c r="B32" t="s">
        <v>109</v>
      </c>
      <c r="C32" t="s">
        <v>110</v>
      </c>
    </row>
    <row r="33" spans="1:10" x14ac:dyDescent="0.25">
      <c r="A33" t="s">
        <v>46</v>
      </c>
      <c r="B33" t="s">
        <v>111</v>
      </c>
      <c r="C33" t="s">
        <v>112</v>
      </c>
    </row>
    <row r="34" spans="1:10" x14ac:dyDescent="0.25">
      <c r="B34" s="1" t="s">
        <v>138</v>
      </c>
      <c r="C34" t="s">
        <v>139</v>
      </c>
      <c r="D34" s="4">
        <v>112</v>
      </c>
      <c r="E34" s="6">
        <f>+D34*H34</f>
        <v>15167.281808</v>
      </c>
      <c r="F34" s="6">
        <f>+[10]Main!$J$5-[10]Main!$J$6</f>
        <v>446.97199999999998</v>
      </c>
      <c r="G34" s="6">
        <f>+E34-F34</f>
        <v>14720.309808</v>
      </c>
      <c r="H34" s="6">
        <f>+[10]Main!$J$3</f>
        <v>135.42215899999999</v>
      </c>
      <c r="I34" s="3" t="s">
        <v>122</v>
      </c>
      <c r="J34" s="10">
        <v>45561</v>
      </c>
    </row>
    <row r="35" spans="1:10" x14ac:dyDescent="0.25">
      <c r="B35" s="1" t="s">
        <v>140</v>
      </c>
      <c r="C35" t="s">
        <v>141</v>
      </c>
      <c r="D35" s="4">
        <v>13</v>
      </c>
      <c r="E35" s="6">
        <f>+D35*H35</f>
        <v>10543.625651</v>
      </c>
      <c r="F35" s="6">
        <f>+[11]Main!$K$5-[11]Main!$K$6</f>
        <v>1203</v>
      </c>
      <c r="G35" s="6">
        <f>+E35-F35</f>
        <v>9340.6256510000003</v>
      </c>
      <c r="H35" s="6">
        <f>+[11]Main!$K$3</f>
        <v>811.04812700000002</v>
      </c>
      <c r="I35" s="3" t="s">
        <v>122</v>
      </c>
      <c r="J35" s="10">
        <v>45561</v>
      </c>
    </row>
    <row r="38" spans="1:10" x14ac:dyDescent="0.25">
      <c r="B38" t="s">
        <v>63</v>
      </c>
    </row>
    <row r="39" spans="1:10" x14ac:dyDescent="0.25">
      <c r="B39" t="s">
        <v>107</v>
      </c>
    </row>
    <row r="40" spans="1:10" x14ac:dyDescent="0.25">
      <c r="B40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4" r:id="rId5" xr:uid="{D5C26AF1-ADC4-4E03-9D8B-12F3C24C324B}"/>
    <hyperlink ref="B5" r:id="rId6" xr:uid="{DD4F0CC9-D485-4053-9B41-DE6F39511946}"/>
    <hyperlink ref="B6" r:id="rId7" xr:uid="{05815C98-BE17-4CF3-942D-C5BFAB80DA80}"/>
    <hyperlink ref="B17" r:id="rId8" xr:uid="{37FE970B-81E9-4AF7-98E1-474982CC16D7}"/>
    <hyperlink ref="B18" r:id="rId9" xr:uid="{CF0C3BE9-553F-4E6A-8F72-3B6D86F868FC}"/>
    <hyperlink ref="B34" r:id="rId10" xr:uid="{35D78F35-BD1B-401F-9830-193EF147D21A}"/>
    <hyperlink ref="B35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1640625" defaultRowHeight="12.5" x14ac:dyDescent="0.25"/>
  <cols>
    <col min="1" max="1" width="2" bestFit="1" customWidth="1"/>
    <col min="4" max="5" width="9.1796875" style="11"/>
  </cols>
  <sheetData>
    <row r="2" spans="1:11" x14ac:dyDescent="0.25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5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5">
      <c r="A4" t="s">
        <v>46</v>
      </c>
      <c r="B4" t="s">
        <v>77</v>
      </c>
      <c r="C4" t="s">
        <v>78</v>
      </c>
    </row>
    <row r="5" spans="1:11" x14ac:dyDescent="0.25">
      <c r="A5" t="s">
        <v>46</v>
      </c>
      <c r="B5" t="s">
        <v>75</v>
      </c>
      <c r="C5" t="s">
        <v>76</v>
      </c>
    </row>
    <row r="6" spans="1:11" x14ac:dyDescent="0.25">
      <c r="A6" t="s">
        <v>46</v>
      </c>
      <c r="B6" t="s">
        <v>72</v>
      </c>
      <c r="C6" t="s">
        <v>73</v>
      </c>
    </row>
    <row r="7" spans="1:11" x14ac:dyDescent="0.25">
      <c r="A7" t="s">
        <v>46</v>
      </c>
      <c r="B7" t="s">
        <v>87</v>
      </c>
      <c r="C7" t="s">
        <v>88</v>
      </c>
    </row>
    <row r="8" spans="1:11" x14ac:dyDescent="0.25">
      <c r="A8" t="s">
        <v>46</v>
      </c>
      <c r="B8" t="s">
        <v>103</v>
      </c>
      <c r="C8" t="s">
        <v>104</v>
      </c>
    </row>
    <row r="9" spans="1:11" x14ac:dyDescent="0.25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1" sqref="B21"/>
    </sheetView>
  </sheetViews>
  <sheetFormatPr defaultColWidth="8.81640625" defaultRowHeight="12.5" x14ac:dyDescent="0.25"/>
  <cols>
    <col min="1" max="1" width="5" bestFit="1" customWidth="1"/>
    <col min="2" max="2" width="15.1796875" bestFit="1" customWidth="1"/>
    <col min="3" max="3" width="10.7265625" customWidth="1"/>
    <col min="4" max="4" width="9.1796875" style="3"/>
    <col min="5" max="5" width="10.453125" style="3" customWidth="1"/>
    <col min="6" max="6" width="9.26953125" style="3" customWidth="1"/>
    <col min="7" max="7" width="10" style="3" customWidth="1"/>
    <col min="8" max="8" width="9.1796875" style="3"/>
    <col min="9" max="9" width="9.7265625" style="3" customWidth="1"/>
    <col min="10" max="10" width="9.453125" bestFit="1" customWidth="1"/>
  </cols>
  <sheetData>
    <row r="1" spans="1:16" x14ac:dyDescent="0.25">
      <c r="A1" t="s">
        <v>133</v>
      </c>
    </row>
    <row r="2" spans="1:16" x14ac:dyDescent="0.25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5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+[12]Main!$O$5-[12]Main!$O$6</f>
        <v>56718</v>
      </c>
      <c r="G3" s="6">
        <f>+E3-F3</f>
        <v>2558353.94</v>
      </c>
      <c r="H3" s="6">
        <f>+[12]Main!$O$3</f>
        <v>15847</v>
      </c>
      <c r="I3" s="3" t="s">
        <v>119</v>
      </c>
      <c r="J3" s="5">
        <v>45050</v>
      </c>
      <c r="K3" s="2">
        <f>[12]Model!$BU$39</f>
        <v>162.69801432678935</v>
      </c>
      <c r="L3" s="7">
        <f>+K3/D3-1</f>
        <v>-1.4070934875837215E-2</v>
      </c>
      <c r="M3" s="8">
        <f>+[12]Model!$BU$36</f>
        <v>7.4999999999999997E-2</v>
      </c>
      <c r="N3" s="8">
        <f>+[12]Model!$BU$37</f>
        <v>-0.01</v>
      </c>
      <c r="O3" s="8">
        <v>0</v>
      </c>
      <c r="P3">
        <v>1977</v>
      </c>
    </row>
    <row r="4" spans="1:16" x14ac:dyDescent="0.25">
      <c r="A4" t="s">
        <v>46</v>
      </c>
      <c r="B4" t="s">
        <v>14</v>
      </c>
      <c r="C4" t="s">
        <v>23</v>
      </c>
    </row>
    <row r="5" spans="1:16" x14ac:dyDescent="0.25">
      <c r="A5" t="s">
        <v>46</v>
      </c>
      <c r="B5" t="s">
        <v>51</v>
      </c>
      <c r="C5" t="s">
        <v>52</v>
      </c>
    </row>
    <row r="6" spans="1:16" x14ac:dyDescent="0.25">
      <c r="A6" t="s">
        <v>46</v>
      </c>
      <c r="B6" t="s">
        <v>59</v>
      </c>
      <c r="C6" t="s">
        <v>60</v>
      </c>
    </row>
    <row r="7" spans="1:16" x14ac:dyDescent="0.25">
      <c r="A7" t="s">
        <v>46</v>
      </c>
      <c r="B7" t="s">
        <v>66</v>
      </c>
      <c r="C7" t="s">
        <v>67</v>
      </c>
    </row>
    <row r="8" spans="1:16" x14ac:dyDescent="0.25">
      <c r="A8" t="s">
        <v>46</v>
      </c>
      <c r="B8" t="s">
        <v>68</v>
      </c>
      <c r="C8" t="s">
        <v>69</v>
      </c>
    </row>
    <row r="9" spans="1:16" x14ac:dyDescent="0.25">
      <c r="A9" t="s">
        <v>46</v>
      </c>
      <c r="B9" t="s">
        <v>18</v>
      </c>
      <c r="C9" t="s">
        <v>74</v>
      </c>
    </row>
    <row r="10" spans="1:16" x14ac:dyDescent="0.25">
      <c r="A10" t="s">
        <v>46</v>
      </c>
      <c r="B10" t="s">
        <v>20</v>
      </c>
      <c r="C10" t="s">
        <v>85</v>
      </c>
    </row>
    <row r="11" spans="1:16" x14ac:dyDescent="0.25">
      <c r="A11" t="s">
        <v>46</v>
      </c>
      <c r="B11" t="s">
        <v>19</v>
      </c>
      <c r="C11" t="s">
        <v>86</v>
      </c>
    </row>
    <row r="12" spans="1:16" x14ac:dyDescent="0.25">
      <c r="A12" t="s">
        <v>46</v>
      </c>
      <c r="B12" t="s">
        <v>91</v>
      </c>
      <c r="C12" t="s">
        <v>92</v>
      </c>
    </row>
    <row r="13" spans="1:16" x14ac:dyDescent="0.25">
      <c r="A13" t="s">
        <v>46</v>
      </c>
      <c r="B13" t="s">
        <v>95</v>
      </c>
      <c r="C13" t="s">
        <v>96</v>
      </c>
    </row>
    <row r="14" spans="1:16" x14ac:dyDescent="0.25">
      <c r="A14" t="s">
        <v>46</v>
      </c>
      <c r="B14" t="s">
        <v>97</v>
      </c>
      <c r="C14" t="s">
        <v>98</v>
      </c>
    </row>
    <row r="15" spans="1:16" x14ac:dyDescent="0.25">
      <c r="A15" t="s">
        <v>46</v>
      </c>
      <c r="B15" t="s">
        <v>101</v>
      </c>
      <c r="C15" t="s">
        <v>102</v>
      </c>
    </row>
    <row r="16" spans="1:16" x14ac:dyDescent="0.25">
      <c r="B16" t="s">
        <v>21</v>
      </c>
    </row>
    <row r="17" spans="2:10" x14ac:dyDescent="0.25">
      <c r="B17" s="1" t="s">
        <v>125</v>
      </c>
      <c r="C17" t="s">
        <v>127</v>
      </c>
      <c r="D17" s="4">
        <v>7</v>
      </c>
      <c r="E17" s="6">
        <f>+D17*H17</f>
        <v>1446.277</v>
      </c>
      <c r="F17" s="6">
        <f>+[13]Main!$J$5-[13]Main!$J$6</f>
        <v>455.93000000000006</v>
      </c>
      <c r="G17" s="6">
        <f>+E17-F17</f>
        <v>990.34699999999998</v>
      </c>
      <c r="H17" s="6">
        <f>+[13]Main!$J$3</f>
        <v>206.61099999999999</v>
      </c>
      <c r="I17" s="3" t="s">
        <v>132</v>
      </c>
      <c r="J17" s="5">
        <v>45534</v>
      </c>
    </row>
    <row r="18" spans="2:10" x14ac:dyDescent="0.25">
      <c r="B18" t="s">
        <v>126</v>
      </c>
      <c r="C18" t="s">
        <v>130</v>
      </c>
      <c r="D18" s="3">
        <v>0.87</v>
      </c>
      <c r="E18" s="6">
        <f>+D18*H18</f>
        <v>166.38183803999999</v>
      </c>
      <c r="F18" s="6">
        <f>+[14]Main!$L$5-[14]Main!$L$6</f>
        <v>84.07</v>
      </c>
      <c r="G18" s="6">
        <f>+E18-F18</f>
        <v>82.311838039999998</v>
      </c>
      <c r="H18" s="6">
        <f>+[14]Main!$L$3</f>
        <v>191.243492</v>
      </c>
      <c r="I18" s="3" t="s">
        <v>122</v>
      </c>
      <c r="J18" s="5">
        <v>45534</v>
      </c>
    </row>
    <row r="19" spans="2:10" x14ac:dyDescent="0.25">
      <c r="B19" t="s">
        <v>129</v>
      </c>
      <c r="C19" t="s">
        <v>128</v>
      </c>
    </row>
    <row r="20" spans="2:10" x14ac:dyDescent="0.25">
      <c r="B20" t="s">
        <v>131</v>
      </c>
      <c r="C20" t="s">
        <v>131</v>
      </c>
    </row>
    <row r="21" spans="2:10" x14ac:dyDescent="0.25">
      <c r="B21" s="1" t="s">
        <v>134</v>
      </c>
      <c r="C21" t="s">
        <v>135</v>
      </c>
      <c r="D21" s="3">
        <v>101.64</v>
      </c>
    </row>
    <row r="26" spans="2:10" ht="13" x14ac:dyDescent="0.3">
      <c r="B26" s="9" t="s">
        <v>63</v>
      </c>
    </row>
    <row r="27" spans="2:10" x14ac:dyDescent="0.25">
      <c r="B27" t="s">
        <v>65</v>
      </c>
      <c r="E27" s="3">
        <v>200</v>
      </c>
    </row>
    <row r="28" spans="2:10" x14ac:dyDescent="0.25">
      <c r="B28" t="s">
        <v>64</v>
      </c>
      <c r="E28" s="3">
        <v>150</v>
      </c>
    </row>
    <row r="29" spans="2:10" x14ac:dyDescent="0.25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D2" sqref="D2"/>
    </sheetView>
  </sheetViews>
  <sheetFormatPr defaultRowHeight="12.5" x14ac:dyDescent="0.25"/>
  <cols>
    <col min="2" max="2" width="10.1796875" customWidth="1"/>
  </cols>
  <sheetData>
    <row r="2" spans="2:3" x14ac:dyDescent="0.25">
      <c r="B2" t="s">
        <v>124</v>
      </c>
      <c r="C2">
        <v>32.15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Semiconductors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2024-10-16T23:09:16Z</dcterms:modified>
</cp:coreProperties>
</file>