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531A476E-ADF6-4F4B-AB42-552693577F03}" xr6:coauthVersionLast="47" xr6:coauthVersionMax="47" xr10:uidLastSave="{00000000-0000-0000-0000-000000000000}"/>
  <bookViews>
    <workbookView xWindow="11250" yWindow="4360" windowWidth="26500" windowHeight="15380" xr2:uid="{04FE48EC-24E3-4318-82CA-AE691D8B8F65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0" i="2" l="1"/>
  <c r="AE5" i="2"/>
  <c r="AA5" i="2"/>
  <c r="AE9" i="2"/>
  <c r="AA9" i="2"/>
  <c r="AF95" i="2"/>
  <c r="AF94" i="2"/>
  <c r="AF93" i="2"/>
  <c r="AF92" i="2"/>
  <c r="AF91" i="2"/>
  <c r="AF90" i="2"/>
  <c r="AF89" i="2"/>
  <c r="AF88" i="2"/>
  <c r="AF87" i="2"/>
  <c r="AF80" i="2"/>
  <c r="AE85" i="2"/>
  <c r="AF85" i="2"/>
  <c r="AF84" i="2"/>
  <c r="AF83" i="2"/>
  <c r="AF82" i="2"/>
  <c r="AF81" i="2"/>
  <c r="AF76" i="2"/>
  <c r="AF75" i="2"/>
  <c r="AF74" i="2"/>
  <c r="AF73" i="2"/>
  <c r="AF72" i="2"/>
  <c r="AF71" i="2"/>
  <c r="AE90" i="2"/>
  <c r="AE93" i="2" s="1"/>
  <c r="AE77" i="2"/>
  <c r="AF77" i="2" s="1"/>
  <c r="AE80" i="2"/>
  <c r="AE48" i="2"/>
  <c r="AA40" i="2"/>
  <c r="AA36" i="2"/>
  <c r="AA32" i="2"/>
  <c r="AA37" i="2" s="1"/>
  <c r="AA39" i="2" s="1"/>
  <c r="AE40" i="2"/>
  <c r="AE36" i="2"/>
  <c r="AE32" i="2"/>
  <c r="AE67" i="2"/>
  <c r="AE62" i="2"/>
  <c r="AE68" i="2" s="1"/>
  <c r="AE50" i="2"/>
  <c r="AE56" i="2"/>
  <c r="AF48" i="2"/>
  <c r="AB40" i="2"/>
  <c r="AB36" i="2"/>
  <c r="AB32" i="2"/>
  <c r="AH45" i="2"/>
  <c r="AG45" i="2"/>
  <c r="AF45" i="2"/>
  <c r="AE45" i="2"/>
  <c r="AD45" i="2"/>
  <c r="AC45" i="2"/>
  <c r="AB45" i="2"/>
  <c r="AA45" i="2"/>
  <c r="Z45" i="2"/>
  <c r="Y45" i="2"/>
  <c r="AF40" i="2"/>
  <c r="AH36" i="2"/>
  <c r="AG36" i="2"/>
  <c r="AF36" i="2"/>
  <c r="AD36" i="2"/>
  <c r="AC36" i="2"/>
  <c r="Z36" i="2"/>
  <c r="Y36" i="2"/>
  <c r="AF67" i="2"/>
  <c r="AF62" i="2"/>
  <c r="AF68" i="2" s="1"/>
  <c r="AF56" i="2"/>
  <c r="AF58" i="2"/>
  <c r="AH32" i="2"/>
  <c r="AG32" i="2"/>
  <c r="AF32" i="2"/>
  <c r="AD32" i="2"/>
  <c r="AC32" i="2"/>
  <c r="Z32" i="2"/>
  <c r="Y32" i="2"/>
  <c r="D81" i="2"/>
  <c r="E81" i="2" s="1"/>
  <c r="W48" i="2"/>
  <c r="S40" i="2"/>
  <c r="S45" i="2"/>
  <c r="S36" i="2"/>
  <c r="S32" i="2"/>
  <c r="W45" i="2"/>
  <c r="W40" i="2"/>
  <c r="W36" i="2"/>
  <c r="W32" i="2"/>
  <c r="W67" i="2"/>
  <c r="W62" i="2"/>
  <c r="W56" i="2"/>
  <c r="W50" i="2"/>
  <c r="W58" i="2" s="1"/>
  <c r="X67" i="2"/>
  <c r="X62" i="2"/>
  <c r="X56" i="2"/>
  <c r="X50" i="2"/>
  <c r="AF78" i="2" l="1"/>
  <c r="AE78" i="2"/>
  <c r="AE95" i="2" s="1"/>
  <c r="AF47" i="2"/>
  <c r="AH37" i="2"/>
  <c r="AA41" i="2"/>
  <c r="AA42" i="2" s="1"/>
  <c r="AE47" i="2"/>
  <c r="AE58" i="2"/>
  <c r="Y37" i="2"/>
  <c r="Z37" i="2"/>
  <c r="AC37" i="2"/>
  <c r="AD37" i="2"/>
  <c r="AF37" i="2"/>
  <c r="AF39" i="2" s="1"/>
  <c r="AG37" i="2"/>
  <c r="AE37" i="2"/>
  <c r="AE39" i="2" s="1"/>
  <c r="AE41" i="2" s="1"/>
  <c r="AB37" i="2"/>
  <c r="AB39" i="2" s="1"/>
  <c r="AB41" i="2" s="1"/>
  <c r="AB42" i="2" s="1"/>
  <c r="AF41" i="2"/>
  <c r="X58" i="2"/>
  <c r="X68" i="2"/>
  <c r="S37" i="2"/>
  <c r="S39" i="2" s="1"/>
  <c r="S41" i="2" s="1"/>
  <c r="S42" i="2" s="1"/>
  <c r="W47" i="2"/>
  <c r="W37" i="2"/>
  <c r="W39" i="2" s="1"/>
  <c r="W41" i="2" s="1"/>
  <c r="W42" i="2" s="1"/>
  <c r="W68" i="2"/>
  <c r="AF42" i="2" l="1"/>
  <c r="AF70" i="2"/>
  <c r="AE42" i="2"/>
  <c r="AE70" i="2"/>
  <c r="X9" i="2"/>
  <c r="W9" i="2"/>
  <c r="V9" i="2"/>
  <c r="T9" i="2"/>
  <c r="X5" i="2"/>
  <c r="W5" i="2"/>
  <c r="V5" i="2"/>
  <c r="T5" i="2"/>
  <c r="M4" i="1"/>
  <c r="M7" i="1" s="1"/>
  <c r="X48" i="2"/>
  <c r="X45" i="2"/>
  <c r="T45" i="2"/>
  <c r="T26" i="2"/>
  <c r="X26" i="2"/>
  <c r="T36" i="2"/>
  <c r="X36" i="2"/>
  <c r="T32" i="2"/>
  <c r="X32" i="2"/>
  <c r="X37" i="2" l="1"/>
  <c r="X39" i="2" s="1"/>
  <c r="X41" i="2" s="1"/>
  <c r="X42" i="2" s="1"/>
  <c r="X47" i="2"/>
  <c r="T37" i="2"/>
  <c r="T39" i="2" s="1"/>
  <c r="T41" i="2" s="1"/>
  <c r="T42" i="2" s="1"/>
</calcChain>
</file>

<file path=xl/sharedStrings.xml><?xml version="1.0" encoding="utf-8"?>
<sst xmlns="http://schemas.openxmlformats.org/spreadsheetml/2006/main" count="125" uniqueCount="114">
  <si>
    <t>Price</t>
  </si>
  <si>
    <t>Shares</t>
  </si>
  <si>
    <t>MC</t>
  </si>
  <si>
    <t>Cash</t>
  </si>
  <si>
    <t>Debt</t>
  </si>
  <si>
    <t>EV</t>
  </si>
  <si>
    <t>Main</t>
  </si>
  <si>
    <t>Premiums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</si>
  <si>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</si>
  <si>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</si>
  <si>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</si>
  <si>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</si>
  <si>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</si>
  <si>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</si>
  <si>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</si>
  <si>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</si>
  <si>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</si>
  <si>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</si>
  <si>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</si>
  <si>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</si>
  <si>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Products</t>
  </si>
  <si>
    <t>Investment</t>
  </si>
  <si>
    <t>Services</t>
  </si>
  <si>
    <t>Revenue</t>
  </si>
  <si>
    <t>Medical</t>
  </si>
  <si>
    <t>Operating</t>
  </si>
  <si>
    <t>COPS</t>
  </si>
  <si>
    <t>OpEx</t>
  </si>
  <si>
    <t>Pretax</t>
  </si>
  <si>
    <t>Interest</t>
  </si>
  <si>
    <t>OpInc</t>
  </si>
  <si>
    <t>Taxes</t>
  </si>
  <si>
    <t>Net Income</t>
  </si>
  <si>
    <t>EPS</t>
  </si>
  <si>
    <t>Premiums-Medical</t>
  </si>
  <si>
    <t>MLR</t>
  </si>
  <si>
    <t>Revenue y/y</t>
  </si>
  <si>
    <t>Premiums y/y</t>
  </si>
  <si>
    <t>E&amp;I Domestic</t>
  </si>
  <si>
    <t>E&amp;I Global</t>
  </si>
  <si>
    <t>Medicare &amp; Retirement</t>
  </si>
  <si>
    <t>Community &amp; State</t>
  </si>
  <si>
    <t>Optum</t>
  </si>
  <si>
    <t xml:space="preserve">  Optum Health</t>
  </si>
  <si>
    <t xml:space="preserve">  Optum Insight</t>
  </si>
  <si>
    <t xml:space="preserve">  Optum Rx</t>
  </si>
  <si>
    <t>Members Risk-based</t>
  </si>
  <si>
    <t>Members Fee-based</t>
  </si>
  <si>
    <t>Commercial Domestic</t>
  </si>
  <si>
    <t>Medicare Advantage</t>
  </si>
  <si>
    <t>Medcaid</t>
  </si>
  <si>
    <t>Medicare Supplement</t>
  </si>
  <si>
    <t>Community &amp; Senior</t>
  </si>
  <si>
    <t>Commercial Global</t>
  </si>
  <si>
    <t>Part D</t>
  </si>
  <si>
    <t>Optum Health Customers</t>
  </si>
  <si>
    <t>Optum Backlog</t>
  </si>
  <si>
    <t>Optum Rx</t>
  </si>
  <si>
    <t>Assets</t>
  </si>
  <si>
    <t>AR</t>
  </si>
  <si>
    <t>Other Receivables</t>
  </si>
  <si>
    <t>AUM</t>
  </si>
  <si>
    <t>Prepaids</t>
  </si>
  <si>
    <t>PP&amp;E</t>
  </si>
  <si>
    <t>Goodwill</t>
  </si>
  <si>
    <t>Other Assets</t>
  </si>
  <si>
    <t>Medical Costs</t>
  </si>
  <si>
    <t>AP</t>
  </si>
  <si>
    <t>DR</t>
  </si>
  <si>
    <t>OCL</t>
  </si>
  <si>
    <t>DT</t>
  </si>
  <si>
    <t>OL</t>
  </si>
  <si>
    <t>SE</t>
  </si>
  <si>
    <t>L+SE</t>
  </si>
  <si>
    <t>Q119</t>
  </si>
  <si>
    <t>Q219</t>
  </si>
  <si>
    <t>Q319</t>
  </si>
  <si>
    <t>Q419</t>
  </si>
  <si>
    <t>Q418</t>
  </si>
  <si>
    <t>Q318</t>
  </si>
  <si>
    <t>Q218</t>
  </si>
  <si>
    <t>Q118</t>
  </si>
  <si>
    <t>Q117</t>
  </si>
  <si>
    <t>Q217</t>
  </si>
  <si>
    <t>Q317</t>
  </si>
  <si>
    <t>Acquisitions</t>
  </si>
  <si>
    <t>Q123</t>
  </si>
  <si>
    <t>Q223</t>
  </si>
  <si>
    <t>Q323</t>
  </si>
  <si>
    <t>Q423</t>
  </si>
  <si>
    <t>Q124</t>
  </si>
  <si>
    <t>Q224</t>
  </si>
  <si>
    <t>Q324</t>
  </si>
  <si>
    <t>Q424</t>
  </si>
  <si>
    <t>Model NI</t>
  </si>
  <si>
    <t>CFFO</t>
  </si>
  <si>
    <t>Investments</t>
  </si>
  <si>
    <t>CFFI</t>
  </si>
  <si>
    <t>Other</t>
  </si>
  <si>
    <t>CapEx</t>
  </si>
  <si>
    <t>Reported NI</t>
  </si>
  <si>
    <t>D&amp;A</t>
  </si>
  <si>
    <t>SBC</t>
  </si>
  <si>
    <t>Loss on Subsidiary</t>
  </si>
  <si>
    <t>WC</t>
  </si>
  <si>
    <t>Buybacks</t>
  </si>
  <si>
    <t>Dividends</t>
  </si>
  <si>
    <t>Stock Issuances</t>
  </si>
  <si>
    <t>Customer Funds</t>
  </si>
  <si>
    <t>CFFF</t>
  </si>
  <si>
    <t>FX</t>
  </si>
  <si>
    <t>CIC</t>
  </si>
  <si>
    <t>Cyberattack</t>
  </si>
  <si>
    <t>CEO: Andrew Witty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</si>
</sst>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61707</xdr:colOff>
      <xdr:row>0</xdr:row>
      <xdr:rowOff>0</xdr:rowOff>
    </xdr:from>
    <xdr:to>
      <xdr:col>32</xdr:col>
      <xdr:colOff>61707</xdr:colOff>
      <xdr:row>105</xdr:row>
      <xdr:rowOff>33130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F24201A-BCC3-CA07-872F-3D69A1F2FF36}"/>
            </a:ext>
          </a:extLst>
        </xdr:cNvPr>
        <xdr:cNvCxnSpPr/>
      </xdr:nvCxnSpPr>
      <xdr:spPr>
        <a:xfrm>
          <a:off x="20994620" y="0"/>
          <a:ext cx="0" cy="166922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3C4E-9822-4718-A83E-52B4DD123491}">
  <dimension ref="L2:N10"/>
  <sheetViews>
    <sheetView tabSelected="1" zoomScale="130" zoomScaleNormal="130" workbookViewId="0">
      <selection activeCell="M4" sqref="M4"/>
    </sheetView>
  </sheetViews>
  <sheetFormatPr defaultRowHeight="12.5" x14ac:dyDescent="0.25"/>
  <cols>
    <col min="1" max="1" width="3" customWidth="1"/>
  </cols>
  <sheetData>
    <row r="2" spans="12:14" x14ac:dyDescent="0.25">
      <c r="L2" t="s">
        <v>0</v>
      </c>
      <c r="M2" s="1">
        <v>572</v>
      </c>
    </row>
    <row r="3" spans="12:14" x14ac:dyDescent="0.25">
      <c r="L3" t="s">
        <v>1</v>
      </c>
      <c r="M3" s="3">
        <v>928</v>
      </c>
      <c r="N3" s="2" t="s">
        <v>91</v>
      </c>
    </row>
    <row r="4" spans="12:14" x14ac:dyDescent="0.25">
      <c r="L4" t="s">
        <v>2</v>
      </c>
      <c r="M4" s="3">
        <f>+M2*M3</f>
        <v>530816</v>
      </c>
    </row>
    <row r="5" spans="12:14" x14ac:dyDescent="0.25">
      <c r="L5" t="s">
        <v>3</v>
      </c>
      <c r="M5" s="3">
        <v>77436</v>
      </c>
      <c r="N5" s="2" t="s">
        <v>91</v>
      </c>
    </row>
    <row r="6" spans="12:14" x14ac:dyDescent="0.25">
      <c r="L6" t="s">
        <v>4</v>
      </c>
      <c r="M6" s="3">
        <v>75098</v>
      </c>
      <c r="N6" s="2" t="s">
        <v>91</v>
      </c>
    </row>
    <row r="7" spans="12:14" x14ac:dyDescent="0.25">
      <c r="L7" t="s">
        <v>5</v>
      </c>
      <c r="M7" s="3">
        <f>+M4-M5+M6</f>
        <v>528478</v>
      </c>
    </row>
    <row r="10" spans="12:14" x14ac:dyDescent="0.25">
      <c r="L10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7AAE-9570-49D1-9F3C-CCC93C2EDF11}">
  <dimension ref="A1:AH95"/>
  <sheetViews>
    <sheetView zoomScale="115" zoomScaleNormal="115" workbookViewId="0">
      <pane xSplit="2" ySplit="2" topLeftCell="W38" activePane="bottomRight" state="frozen"/>
      <selection pane="topRight" activeCell="C1" sqref="C1"/>
      <selection pane="bottomLeft" activeCell="A3" sqref="A3"/>
      <selection pane="bottomRight" activeCell="AF51" sqref="AF51"/>
    </sheetView>
  </sheetViews>
  <sheetFormatPr defaultRowHeight="12.5" x14ac:dyDescent="0.25"/>
  <cols>
    <col min="1" max="1" width="5" bestFit="1" customWidth="1"/>
    <col min="2" max="2" width="22.453125" customWidth="1"/>
    <col min="3" max="26" width="9.1796875" style="2"/>
  </cols>
  <sheetData>
    <row r="1" spans="1:34" x14ac:dyDescent="0.25">
      <c r="A1" s="11" t="s">
        <v>6</v>
      </c>
    </row>
    <row r="2" spans="1:34" x14ac:dyDescent="0.25">
      <c r="C2" s="2" t="s">
        <v>82</v>
      </c>
      <c r="D2" s="2" t="s">
        <v>83</v>
      </c>
      <c r="E2" s="2" t="s">
        <v>84</v>
      </c>
      <c r="F2" s="2" t="s">
        <v>78</v>
      </c>
      <c r="G2" s="2" t="s">
        <v>81</v>
      </c>
      <c r="H2" s="2" t="s">
        <v>80</v>
      </c>
      <c r="I2" s="2" t="s">
        <v>79</v>
      </c>
      <c r="J2" s="2" t="s">
        <v>78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15</v>
      </c>
      <c r="W2" s="2" t="s">
        <v>16</v>
      </c>
      <c r="X2" s="2" t="s">
        <v>17</v>
      </c>
      <c r="Y2" s="2" t="s">
        <v>18</v>
      </c>
      <c r="Z2" s="2" t="s">
        <v>19</v>
      </c>
      <c r="AA2" s="2" t="s">
        <v>86</v>
      </c>
      <c r="AB2" s="2" t="s">
        <v>87</v>
      </c>
      <c r="AC2" s="2" t="s">
        <v>88</v>
      </c>
      <c r="AD2" s="2" t="s">
        <v>89</v>
      </c>
      <c r="AE2" s="2" t="s">
        <v>90</v>
      </c>
      <c r="AF2" s="2" t="s">
        <v>91</v>
      </c>
      <c r="AG2" s="2" t="s">
        <v>92</v>
      </c>
      <c r="AH2" s="2" t="s">
        <v>93</v>
      </c>
    </row>
    <row r="3" spans="1:34" s="3" customFormat="1" x14ac:dyDescent="0.25">
      <c r="B3" s="3" t="s">
        <v>46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>
        <v>7840</v>
      </c>
      <c r="U3" s="4"/>
      <c r="V3" s="4">
        <v>7985</v>
      </c>
      <c r="W3" s="4">
        <v>7950</v>
      </c>
      <c r="X3" s="4">
        <v>8010</v>
      </c>
      <c r="Y3" s="4"/>
      <c r="Z3" s="4"/>
      <c r="AA3" s="3">
        <v>8035</v>
      </c>
      <c r="AE3" s="3">
        <v>8735</v>
      </c>
    </row>
    <row r="4" spans="1:34" s="3" customFormat="1" x14ac:dyDescent="0.25">
      <c r="B4" s="3" t="s">
        <v>47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>
        <v>18395</v>
      </c>
      <c r="U4" s="4"/>
      <c r="V4" s="4">
        <v>18595</v>
      </c>
      <c r="W4" s="4">
        <v>18460</v>
      </c>
      <c r="X4" s="4">
        <v>18480</v>
      </c>
      <c r="Y4" s="4"/>
      <c r="Z4" s="4"/>
      <c r="AA4" s="3">
        <v>19140</v>
      </c>
      <c r="AE4" s="3">
        <v>20835</v>
      </c>
    </row>
    <row r="5" spans="1:34" s="3" customFormat="1" x14ac:dyDescent="0.25">
      <c r="B5" s="3" t="s">
        <v>48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f>+T4+T3</f>
        <v>26235</v>
      </c>
      <c r="U5" s="4"/>
      <c r="V5" s="4">
        <f t="shared" ref="V5:X5" si="0">+V4+V3</f>
        <v>26580</v>
      </c>
      <c r="W5" s="4">
        <f t="shared" si="0"/>
        <v>26410</v>
      </c>
      <c r="X5" s="4">
        <f t="shared" si="0"/>
        <v>26490</v>
      </c>
      <c r="Y5" s="4"/>
      <c r="Z5" s="4"/>
      <c r="AA5" s="4">
        <f t="shared" ref="AA5" si="1">+AA4+AA3</f>
        <v>27175</v>
      </c>
      <c r="AE5" s="4">
        <f t="shared" ref="AE5" si="2">+AE4+AE3</f>
        <v>29570</v>
      </c>
    </row>
    <row r="6" spans="1:34" s="3" customFormat="1" x14ac:dyDescent="0.25">
      <c r="B6" s="3" t="s">
        <v>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6385</v>
      </c>
      <c r="U6" s="4"/>
      <c r="V6" s="4">
        <v>6490</v>
      </c>
      <c r="W6" s="4">
        <v>6890</v>
      </c>
      <c r="X6" s="4">
        <v>6945</v>
      </c>
      <c r="Y6" s="4"/>
      <c r="Z6" s="4"/>
      <c r="AA6" s="3">
        <v>7590</v>
      </c>
      <c r="AE6" s="3">
        <v>7770</v>
      </c>
    </row>
    <row r="7" spans="1:34" s="3" customFormat="1" x14ac:dyDescent="0.25">
      <c r="B7" s="3" t="s">
        <v>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7130</v>
      </c>
      <c r="U7" s="4"/>
      <c r="V7" s="4">
        <v>7655</v>
      </c>
      <c r="W7" s="4">
        <v>7810</v>
      </c>
      <c r="X7" s="4">
        <v>7990</v>
      </c>
      <c r="Y7" s="4"/>
      <c r="Z7" s="4"/>
      <c r="AA7" s="3">
        <v>8355</v>
      </c>
      <c r="AE7" s="3">
        <v>7410</v>
      </c>
    </row>
    <row r="8" spans="1:34" s="3" customFormat="1" x14ac:dyDescent="0.25">
      <c r="B8" s="3" t="s">
        <v>51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4390</v>
      </c>
      <c r="U8" s="4"/>
      <c r="V8" s="4">
        <v>4395</v>
      </c>
      <c r="W8" s="4">
        <v>4355</v>
      </c>
      <c r="X8" s="4">
        <v>4355</v>
      </c>
      <c r="Y8" s="4"/>
      <c r="Z8" s="4"/>
      <c r="AA8" s="3">
        <v>4330</v>
      </c>
      <c r="AE8" s="3">
        <v>4335</v>
      </c>
    </row>
    <row r="9" spans="1:34" s="3" customFormat="1" x14ac:dyDescent="0.25">
      <c r="B9" s="3" t="s">
        <v>52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>
        <f>SUM(T6:T8)</f>
        <v>17905</v>
      </c>
      <c r="U9" s="4"/>
      <c r="V9" s="4">
        <f t="shared" ref="V9:X9" si="3">SUM(V6:V8)</f>
        <v>18540</v>
      </c>
      <c r="W9" s="4">
        <f t="shared" si="3"/>
        <v>19055</v>
      </c>
      <c r="X9" s="4">
        <f t="shared" si="3"/>
        <v>19290</v>
      </c>
      <c r="Y9" s="4"/>
      <c r="Z9" s="4"/>
      <c r="AA9" s="4">
        <f t="shared" ref="AA9" si="4">SUM(AA6:AA8)</f>
        <v>20275</v>
      </c>
      <c r="AE9" s="4">
        <f t="shared" ref="AE9" si="5">SUM(AE6:AE8)</f>
        <v>19515</v>
      </c>
    </row>
    <row r="10" spans="1:34" s="3" customFormat="1" x14ac:dyDescent="0.25">
      <c r="B10" s="3" t="s">
        <v>53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5485</v>
      </c>
      <c r="U10" s="4"/>
      <c r="V10" s="4">
        <v>5510</v>
      </c>
      <c r="W10" s="4">
        <v>5500</v>
      </c>
      <c r="X10" s="4">
        <v>5465</v>
      </c>
      <c r="Y10" s="4"/>
      <c r="Z10" s="4"/>
      <c r="AA10" s="3">
        <v>5385</v>
      </c>
      <c r="AE10" s="3">
        <v>1330</v>
      </c>
    </row>
    <row r="11" spans="1:34" s="3" customFormat="1" x14ac:dyDescent="0.25">
      <c r="B11" s="3" t="s">
        <v>54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3750</v>
      </c>
      <c r="U11" s="4"/>
      <c r="V11" s="4">
        <v>3700</v>
      </c>
      <c r="W11" s="4">
        <v>3360</v>
      </c>
      <c r="X11" s="4">
        <v>3330</v>
      </c>
      <c r="Y11" s="4"/>
      <c r="Z11" s="4"/>
      <c r="AA11" s="3">
        <v>3355</v>
      </c>
      <c r="AE11" s="3">
        <v>3065</v>
      </c>
    </row>
    <row r="12" spans="1:34" s="3" customFormat="1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34" s="3" customFormat="1" x14ac:dyDescent="0.25">
      <c r="B13" s="3" t="s">
        <v>55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99</v>
      </c>
      <c r="U13" s="4"/>
      <c r="V13" s="4">
        <v>100</v>
      </c>
      <c r="W13" s="4">
        <v>100</v>
      </c>
      <c r="X13" s="4">
        <v>101</v>
      </c>
      <c r="Y13" s="4"/>
      <c r="Z13" s="4"/>
    </row>
    <row r="14" spans="1:34" s="3" customFormat="1" x14ac:dyDescent="0.25">
      <c r="B14" s="3" t="s">
        <v>56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21.3</v>
      </c>
      <c r="U14" s="4"/>
      <c r="V14" s="4">
        <v>22.4</v>
      </c>
      <c r="W14" s="4">
        <v>22.8</v>
      </c>
      <c r="X14" s="4">
        <v>23.6</v>
      </c>
      <c r="Y14" s="4"/>
      <c r="Z14" s="4"/>
    </row>
    <row r="15" spans="1:34" s="3" customFormat="1" x14ac:dyDescent="0.25">
      <c r="B15" s="3" t="s">
        <v>57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342</v>
      </c>
      <c r="U15" s="4"/>
      <c r="V15" s="4">
        <v>353</v>
      </c>
      <c r="W15" s="4">
        <v>352</v>
      </c>
      <c r="X15" s="4">
        <v>357</v>
      </c>
      <c r="Y15" s="4"/>
      <c r="Z15" s="4"/>
    </row>
    <row r="17" spans="2:34" s="3" customFormat="1" x14ac:dyDescent="0.25">
      <c r="B17" s="3" t="s">
        <v>38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14942</v>
      </c>
      <c r="U17" s="4"/>
      <c r="V17" s="4"/>
      <c r="W17" s="4"/>
      <c r="X17" s="4">
        <v>15567</v>
      </c>
      <c r="Y17" s="4"/>
      <c r="Z17" s="4"/>
      <c r="AA17" s="3">
        <v>16759</v>
      </c>
      <c r="AE17" s="3">
        <v>18646</v>
      </c>
    </row>
    <row r="18" spans="2:34" s="3" customFormat="1" x14ac:dyDescent="0.25">
      <c r="B18" s="3" t="s">
        <v>39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2118</v>
      </c>
      <c r="U18" s="4"/>
      <c r="V18" s="4"/>
      <c r="W18" s="4"/>
      <c r="X18" s="4">
        <v>2247</v>
      </c>
      <c r="Y18" s="4"/>
      <c r="Z18" s="4"/>
      <c r="AA18" s="3">
        <v>2325</v>
      </c>
      <c r="AE18" s="3">
        <v>591</v>
      </c>
    </row>
    <row r="19" spans="2:34" s="3" customFormat="1" x14ac:dyDescent="0.25">
      <c r="B19" s="3" t="s">
        <v>40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25304</v>
      </c>
      <c r="U19" s="4"/>
      <c r="V19" s="4"/>
      <c r="W19" s="4"/>
      <c r="X19" s="4">
        <v>28625</v>
      </c>
      <c r="Y19" s="4"/>
      <c r="Z19" s="4"/>
      <c r="AA19" s="3">
        <v>32440</v>
      </c>
      <c r="AE19" s="3">
        <v>34904</v>
      </c>
    </row>
    <row r="20" spans="2:34" s="3" customFormat="1" x14ac:dyDescent="0.25">
      <c r="B20" s="3" t="s">
        <v>41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13110</v>
      </c>
      <c r="U20" s="4"/>
      <c r="V20" s="4"/>
      <c r="W20" s="4"/>
      <c r="X20" s="4">
        <v>15666</v>
      </c>
      <c r="Y20" s="4"/>
      <c r="Z20" s="4"/>
      <c r="AA20" s="3">
        <v>18707</v>
      </c>
      <c r="AE20" s="3">
        <v>19725</v>
      </c>
    </row>
    <row r="21" spans="2:34" s="3" customFormat="1" x14ac:dyDescent="0.25">
      <c r="B21" s="3" t="s">
        <v>42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38303</v>
      </c>
      <c r="U21" s="4"/>
      <c r="V21" s="4"/>
      <c r="W21" s="4"/>
      <c r="X21" s="4">
        <v>45082</v>
      </c>
      <c r="Y21" s="4"/>
      <c r="Z21" s="4"/>
      <c r="AA21" s="3">
        <v>56344</v>
      </c>
      <c r="AE21" s="3">
        <v>62879</v>
      </c>
    </row>
    <row r="22" spans="2:34" s="3" customFormat="1" x14ac:dyDescent="0.25">
      <c r="B22" s="3" t="s">
        <v>43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13300</v>
      </c>
      <c r="U22" s="4"/>
      <c r="V22" s="4"/>
      <c r="W22" s="4"/>
      <c r="X22" s="4">
        <v>17583</v>
      </c>
      <c r="Y22" s="4"/>
      <c r="Z22" s="4"/>
    </row>
    <row r="23" spans="2:34" s="3" customFormat="1" x14ac:dyDescent="0.25">
      <c r="B23" s="3" t="s">
        <v>44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2957</v>
      </c>
      <c r="U23" s="4"/>
      <c r="V23" s="4"/>
      <c r="W23" s="4"/>
      <c r="X23" s="4">
        <v>3282</v>
      </c>
      <c r="Y23" s="4"/>
      <c r="Z23" s="4"/>
    </row>
    <row r="24" spans="2:34" s="3" customFormat="1" x14ac:dyDescent="0.25">
      <c r="B24" s="3" t="s">
        <v>45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v>22524</v>
      </c>
      <c r="U24" s="4"/>
      <c r="V24" s="4"/>
      <c r="W24" s="4"/>
      <c r="X24" s="4">
        <v>24805</v>
      </c>
      <c r="Y24" s="4"/>
      <c r="Z24" s="4"/>
    </row>
    <row r="26" spans="2:34" x14ac:dyDescent="0.25">
      <c r="B26" t="s">
        <v>34</v>
      </c>
      <c r="T26" s="4">
        <f>T28-T33</f>
        <v>9687</v>
      </c>
      <c r="X26" s="4">
        <f>X28-X33</f>
        <v>11803</v>
      </c>
    </row>
    <row r="28" spans="2:34" s="3" customFormat="1" x14ac:dyDescent="0.25">
      <c r="B28" s="3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>
        <v>55486</v>
      </c>
      <c r="T28" s="4">
        <v>56233</v>
      </c>
      <c r="U28" s="4"/>
      <c r="V28" s="4"/>
      <c r="W28" s="4">
        <v>64070</v>
      </c>
      <c r="X28" s="4">
        <v>63896</v>
      </c>
      <c r="Y28" s="4"/>
      <c r="Z28" s="4"/>
      <c r="AA28" s="3">
        <v>72786</v>
      </c>
      <c r="AB28" s="3">
        <v>72474</v>
      </c>
      <c r="AE28" s="3">
        <v>77988</v>
      </c>
      <c r="AF28" s="3">
        <v>76897</v>
      </c>
    </row>
    <row r="29" spans="2:34" s="3" customFormat="1" x14ac:dyDescent="0.25">
      <c r="B29" s="3" t="s">
        <v>20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v>8340</v>
      </c>
      <c r="T29" s="4">
        <v>8433</v>
      </c>
      <c r="U29" s="4"/>
      <c r="V29" s="4"/>
      <c r="W29" s="4">
        <v>9340</v>
      </c>
      <c r="X29" s="4">
        <v>9496</v>
      </c>
      <c r="Y29" s="4"/>
      <c r="Z29" s="4"/>
      <c r="AA29" s="3">
        <v>10267</v>
      </c>
      <c r="AB29" s="3">
        <v>10651</v>
      </c>
      <c r="AE29" s="3">
        <v>11909</v>
      </c>
      <c r="AF29" s="3">
        <v>12211</v>
      </c>
    </row>
    <row r="30" spans="2:34" s="3" customFormat="1" x14ac:dyDescent="0.25">
      <c r="B30" s="3" t="s">
        <v>22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>
        <v>5918</v>
      </c>
      <c r="T30" s="4">
        <v>6099</v>
      </c>
      <c r="U30" s="4"/>
      <c r="V30" s="4"/>
      <c r="W30" s="4">
        <v>6372</v>
      </c>
      <c r="X30" s="4">
        <v>6645</v>
      </c>
      <c r="Y30" s="4"/>
      <c r="Z30" s="4"/>
      <c r="AA30" s="3">
        <v>8080</v>
      </c>
      <c r="AB30" s="3">
        <v>8663</v>
      </c>
      <c r="AE30" s="3">
        <v>8888</v>
      </c>
      <c r="AF30" s="3">
        <v>8750</v>
      </c>
    </row>
    <row r="31" spans="2:34" s="3" customFormat="1" x14ac:dyDescent="0.25">
      <c r="B31" s="3" t="s">
        <v>21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>
        <v>452</v>
      </c>
      <c r="T31" s="4">
        <v>556</v>
      </c>
      <c r="U31" s="4"/>
      <c r="V31" s="4"/>
      <c r="W31" s="4">
        <v>367</v>
      </c>
      <c r="X31" s="4">
        <v>295</v>
      </c>
      <c r="Y31" s="4"/>
      <c r="Z31" s="4"/>
      <c r="AA31" s="3">
        <v>798</v>
      </c>
      <c r="AB31" s="3">
        <v>1115</v>
      </c>
      <c r="AE31" s="3">
        <v>1011</v>
      </c>
      <c r="AF31" s="3">
        <v>997</v>
      </c>
    </row>
    <row r="32" spans="2:34" s="5" customFormat="1" ht="13" x14ac:dyDescent="0.3">
      <c r="B32" s="5" t="s">
        <v>23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f t="shared" ref="S32" si="6">SUM(S28:S31)</f>
        <v>70196</v>
      </c>
      <c r="T32" s="6">
        <f>SUM(T28:T31)</f>
        <v>71321</v>
      </c>
      <c r="U32" s="6"/>
      <c r="V32" s="6"/>
      <c r="W32" s="6">
        <f t="shared" ref="W32" si="7">SUM(W28:W31)</f>
        <v>80149</v>
      </c>
      <c r="X32" s="6">
        <f t="shared" ref="X32:AH32" si="8">SUM(X28:X31)</f>
        <v>80332</v>
      </c>
      <c r="Y32" s="6">
        <f t="shared" si="8"/>
        <v>0</v>
      </c>
      <c r="Z32" s="6">
        <f t="shared" si="8"/>
        <v>0</v>
      </c>
      <c r="AA32" s="6">
        <f t="shared" si="8"/>
        <v>91931</v>
      </c>
      <c r="AB32" s="6">
        <f t="shared" si="8"/>
        <v>92903</v>
      </c>
      <c r="AC32" s="6">
        <f t="shared" si="8"/>
        <v>0</v>
      </c>
      <c r="AD32" s="6">
        <f t="shared" si="8"/>
        <v>0</v>
      </c>
      <c r="AE32" s="6">
        <f t="shared" si="8"/>
        <v>99796</v>
      </c>
      <c r="AF32" s="6">
        <f t="shared" si="8"/>
        <v>98855</v>
      </c>
      <c r="AG32" s="6">
        <f t="shared" si="8"/>
        <v>0</v>
      </c>
      <c r="AH32" s="6">
        <f t="shared" si="8"/>
        <v>0</v>
      </c>
    </row>
    <row r="33" spans="2:34" s="3" customFormat="1" x14ac:dyDescent="0.25">
      <c r="B33" s="3" t="s">
        <v>24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>
        <v>44904</v>
      </c>
      <c r="T33" s="4">
        <v>46546</v>
      </c>
      <c r="U33" s="4"/>
      <c r="V33" s="4"/>
      <c r="W33" s="4">
        <v>52523</v>
      </c>
      <c r="X33" s="4">
        <v>52093</v>
      </c>
      <c r="Y33" s="4"/>
      <c r="Z33" s="4"/>
      <c r="AA33" s="3">
        <v>59845</v>
      </c>
      <c r="AB33" s="3">
        <v>60268</v>
      </c>
      <c r="AE33" s="3">
        <v>65735</v>
      </c>
      <c r="AF33" s="3">
        <v>65458</v>
      </c>
    </row>
    <row r="34" spans="2:34" s="3" customFormat="1" x14ac:dyDescent="0.25">
      <c r="B34" s="3" t="s">
        <v>25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>
        <v>10223</v>
      </c>
      <c r="T34" s="4">
        <v>10359</v>
      </c>
      <c r="U34" s="4"/>
      <c r="V34" s="4"/>
      <c r="W34" s="4">
        <v>11401</v>
      </c>
      <c r="X34" s="4">
        <v>11709</v>
      </c>
      <c r="Y34" s="4"/>
      <c r="Z34" s="4"/>
      <c r="AA34" s="3">
        <v>13625</v>
      </c>
      <c r="AB34" s="3">
        <v>13809</v>
      </c>
      <c r="AE34" s="3">
        <v>14077</v>
      </c>
      <c r="AF34" s="3">
        <v>13162</v>
      </c>
    </row>
    <row r="35" spans="2:34" s="3" customFormat="1" x14ac:dyDescent="0.25">
      <c r="B35" s="3" t="s">
        <v>26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>
        <v>7572</v>
      </c>
      <c r="T35" s="4">
        <v>7660</v>
      </c>
      <c r="U35" s="4"/>
      <c r="V35" s="4"/>
      <c r="W35" s="4">
        <v>8487</v>
      </c>
      <c r="X35" s="4">
        <v>8596</v>
      </c>
      <c r="Y35" s="4"/>
      <c r="Z35" s="4"/>
      <c r="AA35" s="3">
        <v>9405</v>
      </c>
      <c r="AB35" s="3">
        <v>9748</v>
      </c>
      <c r="AE35" s="3">
        <v>11056</v>
      </c>
      <c r="AF35" s="3">
        <v>11340</v>
      </c>
    </row>
    <row r="36" spans="2:34" s="3" customFormat="1" x14ac:dyDescent="0.25">
      <c r="B36" s="3" t="s">
        <v>27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>
        <f t="shared" ref="S36" si="9">SUM(S33:S35)</f>
        <v>62699</v>
      </c>
      <c r="T36" s="4">
        <f>SUM(T33:T35)</f>
        <v>64565</v>
      </c>
      <c r="U36" s="4"/>
      <c r="V36" s="4"/>
      <c r="W36" s="4">
        <f t="shared" ref="W36" si="10">SUM(W33:W35)</f>
        <v>72411</v>
      </c>
      <c r="X36" s="4">
        <f>SUM(X33:X35)</f>
        <v>72398</v>
      </c>
      <c r="Y36" s="4">
        <f t="shared" ref="Y36:AH36" si="11">SUM(Y33:Y35)</f>
        <v>0</v>
      </c>
      <c r="Z36" s="4">
        <f t="shared" si="11"/>
        <v>0</v>
      </c>
      <c r="AA36" s="4">
        <f t="shared" si="11"/>
        <v>82875</v>
      </c>
      <c r="AB36" s="4">
        <f t="shared" si="11"/>
        <v>83825</v>
      </c>
      <c r="AC36" s="4">
        <f t="shared" si="11"/>
        <v>0</v>
      </c>
      <c r="AD36" s="4">
        <f t="shared" si="11"/>
        <v>0</v>
      </c>
      <c r="AE36" s="4">
        <f t="shared" si="11"/>
        <v>90868</v>
      </c>
      <c r="AF36" s="4">
        <f t="shared" si="11"/>
        <v>89960</v>
      </c>
      <c r="AG36" s="4">
        <f t="shared" si="11"/>
        <v>0</v>
      </c>
      <c r="AH36" s="4">
        <f t="shared" si="11"/>
        <v>0</v>
      </c>
    </row>
    <row r="37" spans="2:34" s="3" customFormat="1" x14ac:dyDescent="0.25">
      <c r="B37" s="3" t="s">
        <v>30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>
        <f t="shared" ref="S37" si="12">S32-S36</f>
        <v>7497</v>
      </c>
      <c r="T37" s="4">
        <f>T32-T36</f>
        <v>6756</v>
      </c>
      <c r="U37" s="4"/>
      <c r="V37" s="4"/>
      <c r="W37" s="4">
        <f t="shared" ref="W37" si="13">W32-W36</f>
        <v>7738</v>
      </c>
      <c r="X37" s="4">
        <f>X32-X36</f>
        <v>7934</v>
      </c>
      <c r="Y37" s="4">
        <f t="shared" ref="Y37:AH37" si="14">Y32-Y36</f>
        <v>0</v>
      </c>
      <c r="Z37" s="4">
        <f t="shared" si="14"/>
        <v>0</v>
      </c>
      <c r="AA37" s="4">
        <f t="shared" si="14"/>
        <v>9056</v>
      </c>
      <c r="AB37" s="4">
        <f t="shared" si="14"/>
        <v>9078</v>
      </c>
      <c r="AC37" s="4">
        <f t="shared" si="14"/>
        <v>0</v>
      </c>
      <c r="AD37" s="4">
        <f t="shared" si="14"/>
        <v>0</v>
      </c>
      <c r="AE37" s="4">
        <f t="shared" si="14"/>
        <v>8928</v>
      </c>
      <c r="AF37" s="4">
        <f t="shared" si="14"/>
        <v>8895</v>
      </c>
      <c r="AG37" s="4">
        <f t="shared" si="14"/>
        <v>0</v>
      </c>
      <c r="AH37" s="4">
        <f t="shared" si="14"/>
        <v>0</v>
      </c>
    </row>
    <row r="38" spans="2:34" s="3" customFormat="1" x14ac:dyDescent="0.25">
      <c r="B38" s="3" t="s">
        <v>29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>
        <v>-397</v>
      </c>
      <c r="T38" s="4">
        <v>-410</v>
      </c>
      <c r="U38" s="4"/>
      <c r="V38" s="4"/>
      <c r="W38" s="4">
        <v>-433</v>
      </c>
      <c r="X38" s="4">
        <v>-467</v>
      </c>
      <c r="Y38" s="4"/>
      <c r="Z38" s="4"/>
      <c r="AA38" s="3">
        <v>-754</v>
      </c>
      <c r="AB38" s="3">
        <v>-828</v>
      </c>
      <c r="AE38" s="3">
        <v>-985</v>
      </c>
      <c r="AF38" s="3">
        <v>-985</v>
      </c>
    </row>
    <row r="39" spans="2:34" s="3" customFormat="1" x14ac:dyDescent="0.25">
      <c r="B39" s="3" t="s">
        <v>28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>
        <f t="shared" ref="S39" si="15">+S37+S38</f>
        <v>7100</v>
      </c>
      <c r="T39" s="4">
        <f>+T37+T38</f>
        <v>6346</v>
      </c>
      <c r="U39" s="4"/>
      <c r="V39" s="4"/>
      <c r="W39" s="4">
        <f t="shared" ref="W39" si="16">+W37+W38</f>
        <v>7305</v>
      </c>
      <c r="X39" s="4">
        <f>+X37+X38</f>
        <v>7467</v>
      </c>
      <c r="Y39" s="4"/>
      <c r="Z39" s="4"/>
      <c r="AA39" s="4">
        <f>+AA37+AA38</f>
        <v>8302</v>
      </c>
      <c r="AB39" s="4">
        <f>+AB37+AB38</f>
        <v>8250</v>
      </c>
      <c r="AE39" s="4">
        <f>+AE37+AE38</f>
        <v>7943</v>
      </c>
      <c r="AF39" s="4">
        <f>+AF37+AF38</f>
        <v>7910</v>
      </c>
    </row>
    <row r="40" spans="2:34" s="3" customFormat="1" x14ac:dyDescent="0.25">
      <c r="B40" s="3" t="s">
        <v>31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>
        <f>1364+116</f>
        <v>1480</v>
      </c>
      <c r="T40" s="4">
        <v>1196</v>
      </c>
      <c r="U40" s="4"/>
      <c r="V40" s="4"/>
      <c r="W40" s="4">
        <f>1369+121</f>
        <v>1490</v>
      </c>
      <c r="X40" s="4">
        <v>1466</v>
      </c>
      <c r="Y40" s="4"/>
      <c r="Z40" s="4"/>
      <c r="AA40" s="4">
        <f>1558+163</f>
        <v>1721</v>
      </c>
      <c r="AB40" s="4">
        <f>1572+183</f>
        <v>1755</v>
      </c>
      <c r="AE40" s="4">
        <f>1222+188</f>
        <v>1410</v>
      </c>
      <c r="AF40" s="4">
        <f>1244+205</f>
        <v>1449</v>
      </c>
    </row>
    <row r="41" spans="2:34" s="3" customFormat="1" x14ac:dyDescent="0.25">
      <c r="B41" s="3" t="s">
        <v>32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>
        <f t="shared" ref="S41" si="17">+S39-S40</f>
        <v>5620</v>
      </c>
      <c r="T41" s="4">
        <f>+T39-T40</f>
        <v>5150</v>
      </c>
      <c r="U41" s="4"/>
      <c r="V41" s="4"/>
      <c r="W41" s="4">
        <f t="shared" ref="W41" si="18">+W39-W40</f>
        <v>5815</v>
      </c>
      <c r="X41" s="4">
        <f>+X39-X40</f>
        <v>6001</v>
      </c>
      <c r="Y41" s="4"/>
      <c r="Z41" s="4"/>
      <c r="AA41" s="4">
        <f>+AA39-AA40</f>
        <v>6581</v>
      </c>
      <c r="AB41" s="4">
        <f>+AB39-AB40</f>
        <v>6495</v>
      </c>
      <c r="AE41" s="4">
        <f>+AE39-AE40</f>
        <v>6533</v>
      </c>
      <c r="AF41" s="4">
        <f>+AF39-AF40</f>
        <v>6461</v>
      </c>
    </row>
    <row r="42" spans="2:34" x14ac:dyDescent="0.25">
      <c r="B42" s="3" t="s">
        <v>33</v>
      </c>
      <c r="S42" s="7">
        <f t="shared" ref="S42" si="19">S41/S43</f>
        <v>5.8725182863113901</v>
      </c>
      <c r="T42" s="7">
        <f>T41/T43</f>
        <v>5.3870292887029292</v>
      </c>
      <c r="W42" s="7">
        <f t="shared" ref="W42" si="20">W41/W43</f>
        <v>6.0953878406708597</v>
      </c>
      <c r="X42" s="7">
        <f>X41/X43</f>
        <v>6.3168421052631576</v>
      </c>
      <c r="AA42" s="7">
        <f>AA41/AA43</f>
        <v>6.9787910922587484</v>
      </c>
      <c r="AB42" s="7">
        <f>AB41/AB43</f>
        <v>6.9095744680851068</v>
      </c>
      <c r="AE42" s="7">
        <f>AE41/AE43</f>
        <v>7.0856832971800436</v>
      </c>
      <c r="AF42" s="7">
        <f>AF41/AF43</f>
        <v>6.962284482758621</v>
      </c>
    </row>
    <row r="43" spans="2:34" x14ac:dyDescent="0.25">
      <c r="B43" s="3" t="s">
        <v>1</v>
      </c>
      <c r="S43" s="2">
        <v>957</v>
      </c>
      <c r="T43" s="2">
        <v>956</v>
      </c>
      <c r="W43" s="2">
        <v>954</v>
      </c>
      <c r="X43" s="2">
        <v>950</v>
      </c>
      <c r="AA43" s="2">
        <v>943</v>
      </c>
      <c r="AB43" s="2">
        <v>940</v>
      </c>
      <c r="AE43" s="2">
        <v>922</v>
      </c>
      <c r="AF43" s="2">
        <v>928</v>
      </c>
    </row>
    <row r="45" spans="2:34" s="9" customFormat="1" x14ac:dyDescent="0.25">
      <c r="B45" s="9" t="s">
        <v>35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>
        <f t="shared" ref="S45" si="21">S33/S28</f>
        <v>0.80928522510182754</v>
      </c>
      <c r="T45" s="10">
        <f>T33/T28</f>
        <v>0.82773460423594691</v>
      </c>
      <c r="U45" s="10"/>
      <c r="V45" s="10"/>
      <c r="W45" s="10">
        <f>W33/W28</f>
        <v>0.81977524582487904</v>
      </c>
      <c r="X45" s="10">
        <f>X33/X28</f>
        <v>0.81527795167146611</v>
      </c>
      <c r="Y45" s="10" t="e">
        <f t="shared" ref="Y45:AH45" si="22">Y33/Y28</f>
        <v>#DIV/0!</v>
      </c>
      <c r="Z45" s="10" t="e">
        <f t="shared" si="22"/>
        <v>#DIV/0!</v>
      </c>
      <c r="AA45" s="10">
        <f t="shared" si="22"/>
        <v>0.82220481960816638</v>
      </c>
      <c r="AB45" s="10">
        <f t="shared" si="22"/>
        <v>0.8315809807655159</v>
      </c>
      <c r="AC45" s="10" t="e">
        <f t="shared" si="22"/>
        <v>#DIV/0!</v>
      </c>
      <c r="AD45" s="10" t="e">
        <f t="shared" si="22"/>
        <v>#DIV/0!</v>
      </c>
      <c r="AE45" s="10">
        <f t="shared" si="22"/>
        <v>0.84288608503872386</v>
      </c>
      <c r="AF45" s="10">
        <f t="shared" si="22"/>
        <v>0.85124257123164748</v>
      </c>
      <c r="AG45" s="10" t="e">
        <f t="shared" si="22"/>
        <v>#DIV/0!</v>
      </c>
      <c r="AH45" s="10" t="e">
        <f t="shared" si="22"/>
        <v>#DIV/0!</v>
      </c>
    </row>
    <row r="47" spans="2:34" x14ac:dyDescent="0.25">
      <c r="B47" t="s">
        <v>36</v>
      </c>
      <c r="W47" s="8">
        <f>W32/S32-1</f>
        <v>0.1417887059091687</v>
      </c>
      <c r="X47" s="8">
        <f>X32/T32-1</f>
        <v>0.12634427447736285</v>
      </c>
      <c r="AE47" s="12">
        <f>+AE32/AA32-1</f>
        <v>8.5553295406337382E-2</v>
      </c>
      <c r="AF47" s="12">
        <f>+AF32/AB32-1</f>
        <v>6.4066822384637678E-2</v>
      </c>
    </row>
    <row r="48" spans="2:34" x14ac:dyDescent="0.25">
      <c r="B48" t="s">
        <v>37</v>
      </c>
      <c r="W48" s="8">
        <f>W28/S28-1</f>
        <v>0.15470569152579028</v>
      </c>
      <c r="X48" s="8">
        <f>X28/T28-1</f>
        <v>0.13627229562712295</v>
      </c>
      <c r="AE48" s="12">
        <f>+AE28/AA28-1</f>
        <v>7.1469788146071966E-2</v>
      </c>
      <c r="AF48" s="12">
        <f>+AF28/AB28-1</f>
        <v>6.1028782735877751E-2</v>
      </c>
    </row>
    <row r="50" spans="2:32" s="3" customFormat="1" x14ac:dyDescent="0.25">
      <c r="B50" s="3" t="s">
        <v>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f>25482+2914+42353</f>
        <v>70749</v>
      </c>
      <c r="X50" s="4">
        <f>24612+3352+42427</f>
        <v>70391</v>
      </c>
      <c r="Y50" s="4"/>
      <c r="Z50" s="4"/>
      <c r="AE50" s="3">
        <f>28414+4296+45928</f>
        <v>78638</v>
      </c>
      <c r="AF50" s="3">
        <f>26286+5037+46113</f>
        <v>77436</v>
      </c>
    </row>
    <row r="51" spans="2:32" s="3" customFormat="1" x14ac:dyDescent="0.25">
      <c r="B51" s="3" t="s">
        <v>59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18871</v>
      </c>
      <c r="X51" s="4">
        <v>18718</v>
      </c>
      <c r="Y51" s="4"/>
      <c r="Z51" s="4"/>
      <c r="AE51" s="3">
        <v>27197</v>
      </c>
      <c r="AF51" s="3">
        <v>23115</v>
      </c>
    </row>
    <row r="52" spans="2:32" s="3" customFormat="1" x14ac:dyDescent="0.25">
      <c r="B52" s="3" t="s">
        <v>60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11994</v>
      </c>
      <c r="X52" s="4">
        <v>12439</v>
      </c>
      <c r="Y52" s="4"/>
      <c r="Z52" s="4"/>
      <c r="AE52" s="3">
        <v>19284</v>
      </c>
      <c r="AF52" s="3">
        <v>26762</v>
      </c>
    </row>
    <row r="53" spans="2:32" s="3" customFormat="1" x14ac:dyDescent="0.25">
      <c r="B53" s="3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>
        <v>4155</v>
      </c>
      <c r="X53" s="4">
        <v>4017</v>
      </c>
      <c r="Y53" s="4"/>
      <c r="Z53" s="4"/>
      <c r="AE53" s="3">
        <v>3619</v>
      </c>
      <c r="AF53" s="3">
        <v>3414</v>
      </c>
    </row>
    <row r="54" spans="2:32" s="3" customFormat="1" x14ac:dyDescent="0.25">
      <c r="B54" s="3" t="s">
        <v>62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5613</v>
      </c>
      <c r="X54" s="4">
        <v>5218</v>
      </c>
      <c r="Y54" s="4"/>
      <c r="Z54" s="4"/>
      <c r="AE54" s="3">
        <v>6132</v>
      </c>
      <c r="AF54" s="3">
        <v>7424</v>
      </c>
    </row>
    <row r="55" spans="2:32" s="3" customFormat="1" x14ac:dyDescent="0.25">
      <c r="B55" s="3" t="s">
        <v>63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>
        <v>9183</v>
      </c>
      <c r="X55" s="4">
        <v>9421</v>
      </c>
      <c r="Y55" s="4"/>
      <c r="Z55" s="4"/>
      <c r="AE55" s="3">
        <v>10429</v>
      </c>
      <c r="AF55" s="3">
        <v>9801</v>
      </c>
    </row>
    <row r="56" spans="2:32" s="3" customFormat="1" x14ac:dyDescent="0.25">
      <c r="B56" s="3" t="s">
        <v>64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>
        <f>77548+9918</f>
        <v>87466</v>
      </c>
      <c r="X56" s="4">
        <f>84159+11285</f>
        <v>95444</v>
      </c>
      <c r="Y56" s="4"/>
      <c r="Z56" s="4"/>
      <c r="AE56" s="3">
        <f>105664+15543</f>
        <v>121207</v>
      </c>
      <c r="AF56" s="3">
        <f>105436+14729</f>
        <v>120165</v>
      </c>
    </row>
    <row r="57" spans="2:32" s="3" customFormat="1" x14ac:dyDescent="0.25">
      <c r="B57" s="3" t="s">
        <v>65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13207</v>
      </c>
      <c r="X57" s="4">
        <v>14524</v>
      </c>
      <c r="Y57" s="4"/>
      <c r="Z57" s="4"/>
      <c r="AE57" s="3">
        <v>17704</v>
      </c>
      <c r="AF57" s="3">
        <v>17939</v>
      </c>
    </row>
    <row r="58" spans="2:32" s="3" customFormat="1" x14ac:dyDescent="0.25">
      <c r="B58" s="3" t="s">
        <v>58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>
        <f t="shared" ref="W58" si="23">SUM(W50:W57)</f>
        <v>221238</v>
      </c>
      <c r="X58" s="4">
        <f>SUM(X50:X57)</f>
        <v>230172</v>
      </c>
      <c r="Y58" s="4"/>
      <c r="Z58" s="4"/>
      <c r="AE58" s="4">
        <f t="shared" ref="AE58" si="24">SUM(AE50:AE57)</f>
        <v>284210</v>
      </c>
      <c r="AF58" s="4">
        <f>SUM(AF50:AF57)</f>
        <v>286056</v>
      </c>
    </row>
    <row r="60" spans="2:32" s="3" customFormat="1" x14ac:dyDescent="0.25">
      <c r="B60" s="3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28676</v>
      </c>
      <c r="X60" s="4">
        <v>28978</v>
      </c>
      <c r="Y60" s="4"/>
      <c r="Z60" s="4"/>
      <c r="AE60" s="3">
        <v>34032</v>
      </c>
      <c r="AF60" s="3">
        <v>32547</v>
      </c>
    </row>
    <row r="61" spans="2:32" s="3" customFormat="1" x14ac:dyDescent="0.25">
      <c r="B61" s="3" t="s">
        <v>67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>
        <v>25058</v>
      </c>
      <c r="X61" s="4">
        <v>25145</v>
      </c>
      <c r="Y61" s="4"/>
      <c r="Z61" s="4"/>
      <c r="AE61" s="3">
        <v>30738</v>
      </c>
      <c r="AF61" s="3">
        <v>30886</v>
      </c>
    </row>
    <row r="62" spans="2:32" s="3" customFormat="1" x14ac:dyDescent="0.25">
      <c r="B62" s="3" t="s">
        <v>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f>6697+40796</f>
        <v>47493</v>
      </c>
      <c r="X62" s="4">
        <f>5592+45799</f>
        <v>51391</v>
      </c>
      <c r="Y62" s="4"/>
      <c r="Z62" s="4"/>
      <c r="AE62" s="3">
        <f>9787+63850</f>
        <v>73637</v>
      </c>
      <c r="AF62" s="3">
        <f>11371+63727</f>
        <v>75098</v>
      </c>
    </row>
    <row r="63" spans="2:32" s="3" customFormat="1" x14ac:dyDescent="0.25">
      <c r="B63" s="3" t="s">
        <v>68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2675</v>
      </c>
      <c r="X63" s="4">
        <v>2212</v>
      </c>
      <c r="Y63" s="4"/>
      <c r="Z63" s="4"/>
      <c r="AE63" s="3">
        <v>3206</v>
      </c>
      <c r="AF63" s="3">
        <v>2572</v>
      </c>
    </row>
    <row r="64" spans="2:32" s="3" customFormat="1" x14ac:dyDescent="0.25">
      <c r="B64" s="3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>
        <v>25064</v>
      </c>
      <c r="X64" s="4">
        <v>26771</v>
      </c>
      <c r="Y64" s="4"/>
      <c r="Z64" s="4"/>
      <c r="AE64" s="3">
        <v>26668</v>
      </c>
      <c r="AF64" s="3">
        <v>27294</v>
      </c>
    </row>
    <row r="65" spans="2:32" s="3" customFormat="1" x14ac:dyDescent="0.25">
      <c r="B65" s="3" t="s">
        <v>70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2954</v>
      </c>
      <c r="X65" s="4">
        <v>2581</v>
      </c>
      <c r="Y65" s="4"/>
      <c r="Z65" s="4"/>
      <c r="AE65" s="3">
        <v>4167</v>
      </c>
      <c r="AF65" s="3">
        <v>3631</v>
      </c>
    </row>
    <row r="66" spans="2:32" s="3" customFormat="1" x14ac:dyDescent="0.25">
      <c r="B66" s="3" t="s">
        <v>71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>
        <v>11671</v>
      </c>
      <c r="X66" s="4">
        <v>11967</v>
      </c>
      <c r="Y66" s="4"/>
      <c r="Z66" s="4"/>
      <c r="AE66" s="3">
        <v>14844</v>
      </c>
      <c r="AF66" s="3">
        <v>14794</v>
      </c>
    </row>
    <row r="67" spans="2:32" s="3" customFormat="1" x14ac:dyDescent="0.25">
      <c r="B67" s="3" t="s">
        <v>72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f>1519+76128</f>
        <v>77647</v>
      </c>
      <c r="X67" s="4">
        <f>76205+4922</f>
        <v>81127</v>
      </c>
      <c r="Y67" s="4"/>
      <c r="Z67" s="4"/>
      <c r="AE67" s="3">
        <f>4548+92370</f>
        <v>96918</v>
      </c>
      <c r="AF67" s="3">
        <f>94676+4558</f>
        <v>99234</v>
      </c>
    </row>
    <row r="68" spans="2:32" s="3" customFormat="1" x14ac:dyDescent="0.25">
      <c r="B68" s="3" t="s">
        <v>73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f t="shared" ref="W68" si="25">SUM(W60:W67)</f>
        <v>221238</v>
      </c>
      <c r="X68" s="4">
        <f>SUM(X60:X67)</f>
        <v>230172</v>
      </c>
      <c r="Y68" s="4"/>
      <c r="Z68" s="4"/>
      <c r="AE68" s="4">
        <f t="shared" ref="AE68" si="26">SUM(AE60:AE67)</f>
        <v>284210</v>
      </c>
      <c r="AF68" s="4">
        <f>SUM(AF60:AF67)</f>
        <v>286056</v>
      </c>
    </row>
    <row r="70" spans="2:32" s="3" customFormat="1" x14ac:dyDescent="0.25">
      <c r="B70" s="3" t="s">
        <v>94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E70" s="3">
        <f>+AE41</f>
        <v>6533</v>
      </c>
      <c r="AF70" s="3">
        <f>+AF41</f>
        <v>6461</v>
      </c>
    </row>
    <row r="71" spans="2:32" s="3" customFormat="1" x14ac:dyDescent="0.25">
      <c r="B71" s="3" t="s">
        <v>100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E71" s="3">
        <v>-1221</v>
      </c>
      <c r="AF71" s="3">
        <f>3200-AE71</f>
        <v>4421</v>
      </c>
    </row>
    <row r="72" spans="2:32" s="3" customFormat="1" x14ac:dyDescent="0.25">
      <c r="B72" s="3" t="s">
        <v>101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E72" s="3">
        <v>997</v>
      </c>
      <c r="AF72" s="3">
        <f>2017-AE72</f>
        <v>1020</v>
      </c>
    </row>
    <row r="73" spans="2:32" s="3" customFormat="1" x14ac:dyDescent="0.25">
      <c r="B73" s="3" t="s">
        <v>70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E73" s="3">
        <v>-27</v>
      </c>
      <c r="AF73" s="3">
        <f>-358-AE73</f>
        <v>-331</v>
      </c>
    </row>
    <row r="74" spans="2:32" s="3" customFormat="1" x14ac:dyDescent="0.25">
      <c r="B74" s="3" t="s">
        <v>102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E74" s="3">
        <v>372</v>
      </c>
      <c r="AF74" s="3">
        <f>594-AE74</f>
        <v>222</v>
      </c>
    </row>
    <row r="75" spans="2:32" s="3" customFormat="1" x14ac:dyDescent="0.25">
      <c r="B75" s="3" t="s">
        <v>103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E75" s="3">
        <v>7086</v>
      </c>
      <c r="AF75" s="3">
        <f>8311-AE75</f>
        <v>1225</v>
      </c>
    </row>
    <row r="76" spans="2:32" s="3" customFormat="1" x14ac:dyDescent="0.25">
      <c r="B76" s="3" t="s">
        <v>98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E76" s="3">
        <v>179</v>
      </c>
      <c r="AF76" s="3">
        <f>459-AE76</f>
        <v>280</v>
      </c>
    </row>
    <row r="77" spans="2:32" s="3" customFormat="1" x14ac:dyDescent="0.25">
      <c r="B77" s="3" t="s">
        <v>104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E77" s="3">
        <f>-6162-1927+2069-231+9</f>
        <v>-6242</v>
      </c>
      <c r="AF77" s="3">
        <f>-2471-4121+777+36-554-AE77</f>
        <v>-91</v>
      </c>
    </row>
    <row r="78" spans="2:32" s="3" customFormat="1" x14ac:dyDescent="0.25">
      <c r="B78" s="3" t="s">
        <v>95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E78" s="3">
        <f>SUM(AE71:AE77)</f>
        <v>1144</v>
      </c>
      <c r="AF78" s="3">
        <f>SUM(AF71:AF77)</f>
        <v>6746</v>
      </c>
    </row>
    <row r="79" spans="2:32" s="3" customFormat="1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32" s="3" customFormat="1" x14ac:dyDescent="0.25">
      <c r="B80" s="3" t="s">
        <v>96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E80" s="3">
        <f>-4798+2976+2314</f>
        <v>492</v>
      </c>
      <c r="AF80" s="3">
        <f>-10130+5288+4621-AE80</f>
        <v>-713</v>
      </c>
    </row>
    <row r="81" spans="2:32" s="3" customFormat="1" x14ac:dyDescent="0.25">
      <c r="B81" s="3" t="s">
        <v>85</v>
      </c>
      <c r="C81" s="4">
        <v>-468</v>
      </c>
      <c r="D81" s="4">
        <f>-704-C81</f>
        <v>-236</v>
      </c>
      <c r="E81" s="4">
        <f>-908-D81-C81</f>
        <v>-204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E81" s="3">
        <v>-3006</v>
      </c>
      <c r="AF81" s="3">
        <f>-3031-AE81</f>
        <v>-25</v>
      </c>
    </row>
    <row r="82" spans="2:32" s="3" customFormat="1" x14ac:dyDescent="0.25">
      <c r="B82" s="3" t="s">
        <v>99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E82" s="3">
        <v>-743</v>
      </c>
      <c r="AF82" s="3">
        <f>-1596-AE82</f>
        <v>-853</v>
      </c>
    </row>
    <row r="83" spans="2:32" s="3" customFormat="1" x14ac:dyDescent="0.25">
      <c r="B83" s="3" t="s">
        <v>98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E83" s="3">
        <v>-3083</v>
      </c>
      <c r="AF83" s="3">
        <f>-809-AE83</f>
        <v>2274</v>
      </c>
    </row>
    <row r="84" spans="2:32" s="3" customFormat="1" x14ac:dyDescent="0.25">
      <c r="B84" s="3" t="s">
        <v>112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E84" s="3">
        <v>0</v>
      </c>
      <c r="AF84" s="3">
        <f>-8100-AE84</f>
        <v>-8100</v>
      </c>
    </row>
    <row r="85" spans="2:32" s="3" customFormat="1" x14ac:dyDescent="0.25">
      <c r="B85" s="3" t="s">
        <v>97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E85" s="3">
        <f>SUM(AE80:AE84)</f>
        <v>-6340</v>
      </c>
      <c r="AF85" s="3">
        <f>SUM(AF80:AF84)</f>
        <v>-7417</v>
      </c>
    </row>
    <row r="87" spans="2:32" x14ac:dyDescent="0.25">
      <c r="B87" s="3" t="s">
        <v>105</v>
      </c>
      <c r="AE87" s="3">
        <v>-3072</v>
      </c>
      <c r="AF87" s="3">
        <f>-3072-AE87</f>
        <v>0</v>
      </c>
    </row>
    <row r="88" spans="2:32" x14ac:dyDescent="0.25">
      <c r="B88" s="3" t="s">
        <v>106</v>
      </c>
      <c r="AE88" s="3">
        <v>-1729</v>
      </c>
      <c r="AF88" s="3">
        <f>-3664-AE88</f>
        <v>-1935</v>
      </c>
    </row>
    <row r="89" spans="2:32" x14ac:dyDescent="0.25">
      <c r="B89" s="3" t="s">
        <v>107</v>
      </c>
      <c r="AE89" s="3">
        <v>486</v>
      </c>
      <c r="AF89" s="3">
        <f>744-AE89</f>
        <v>258</v>
      </c>
    </row>
    <row r="90" spans="2:32" x14ac:dyDescent="0.25">
      <c r="B90" s="3" t="s">
        <v>4</v>
      </c>
      <c r="AE90" s="3">
        <f>-750+6189+5925</f>
        <v>11364</v>
      </c>
      <c r="AF90" s="3">
        <f>-1750+8615+5925-AE90</f>
        <v>1426</v>
      </c>
    </row>
    <row r="91" spans="2:32" x14ac:dyDescent="0.25">
      <c r="B91" s="3" t="s">
        <v>108</v>
      </c>
      <c r="AE91" s="3">
        <v>1745</v>
      </c>
      <c r="AF91" s="3">
        <f>990-AE91</f>
        <v>-755</v>
      </c>
    </row>
    <row r="92" spans="2:32" x14ac:dyDescent="0.25">
      <c r="B92" s="3" t="s">
        <v>98</v>
      </c>
      <c r="AE92" s="3">
        <v>-563</v>
      </c>
      <c r="AF92" s="3">
        <f>-753-AE92</f>
        <v>-190</v>
      </c>
    </row>
    <row r="93" spans="2:32" x14ac:dyDescent="0.25">
      <c r="B93" s="3" t="s">
        <v>109</v>
      </c>
      <c r="AE93" s="3">
        <f>SUM(AE87:AE92)</f>
        <v>8231</v>
      </c>
      <c r="AF93" s="3">
        <f>SUM(AF87:AF92)</f>
        <v>-1196</v>
      </c>
    </row>
    <row r="94" spans="2:32" x14ac:dyDescent="0.25">
      <c r="B94" s="3" t="s">
        <v>110</v>
      </c>
      <c r="AE94" s="3">
        <v>-48</v>
      </c>
      <c r="AF94" s="3">
        <f>-44-AE94</f>
        <v>4</v>
      </c>
    </row>
    <row r="95" spans="2:32" x14ac:dyDescent="0.25">
      <c r="B95" s="3" t="s">
        <v>111</v>
      </c>
      <c r="AE95" s="3">
        <f>+AE94+AE93+AE85+AE78</f>
        <v>2987</v>
      </c>
      <c r="AF95" s="3">
        <f>+AF94+AF93+AF85+AF78</f>
        <v>-1863</v>
      </c>
    </row>
  </sheetData>
  <hyperlinks>
    <hyperlink ref="A1" location="Main!A1" display="Main" xr:uid="{6C5060DB-B9BC-4C2E-9E18-24A38681A54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2022-08-18T19:07:42Z</dcterms:created>
  <dcterms:modified xsi:type="dcterms:W3CDTF">2024-10-17T02:08:08Z</dcterms:modified>
</cp:coreProperties>
</file>