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E56466-C333-42D6-9619-6E0DCF5BB4AC}" xr6:coauthVersionLast="47" xr6:coauthVersionMax="47" xr10:uidLastSave="{00000000-0000-0000-0000-000000000000}"/>
  <bookViews>
    <workbookView xWindow="-39795" yWindow="3855" windowWidth="31875" windowHeight="1647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1" l="1"/>
  <c r="AG38" i="1"/>
  <c r="AF38" i="1"/>
  <c r="AE38" i="1"/>
  <c r="AD38" i="1"/>
  <c r="AC38" i="1"/>
  <c r="AC52" i="1" s="1"/>
  <c r="AB38" i="1"/>
  <c r="S38" i="1"/>
  <c r="S35" i="1"/>
  <c r="S34" i="1"/>
  <c r="S33" i="1"/>
  <c r="S37" i="1"/>
  <c r="S36" i="1"/>
  <c r="AG50" i="1" l="1"/>
  <c r="AH50" i="1" s="1"/>
  <c r="AH45" i="1"/>
  <c r="AG45" i="1"/>
  <c r="AG43" i="1"/>
  <c r="AG42" i="1"/>
  <c r="AH42" i="1" s="1"/>
  <c r="AG41" i="1"/>
  <c r="AH41" i="1" s="1"/>
  <c r="AF45" i="1"/>
  <c r="AE45" i="1"/>
  <c r="AD45" i="1"/>
  <c r="AC45" i="1"/>
  <c r="AF50" i="1"/>
  <c r="AE50" i="1"/>
  <c r="AD50" i="1"/>
  <c r="AC50" i="1"/>
  <c r="AB45" i="1"/>
  <c r="AF43" i="1"/>
  <c r="AE43" i="1"/>
  <c r="AD43" i="1"/>
  <c r="AC43" i="1"/>
  <c r="AC42" i="1"/>
  <c r="AD42" i="1" s="1"/>
  <c r="AE42" i="1" s="1"/>
  <c r="AF42" i="1" s="1"/>
  <c r="AE41" i="1"/>
  <c r="AF41" i="1" s="1"/>
  <c r="AD41" i="1"/>
  <c r="AC41" i="1"/>
  <c r="Q55" i="1"/>
  <c r="AA55" i="1"/>
  <c r="Z55" i="1"/>
  <c r="Y55" i="1"/>
  <c r="AB50" i="1"/>
  <c r="AB43" i="1"/>
  <c r="AB42" i="1"/>
  <c r="AB41" i="1"/>
  <c r="AB23" i="1"/>
  <c r="AB22" i="1"/>
  <c r="AB21" i="1"/>
  <c r="AB20" i="1"/>
  <c r="AB19" i="1"/>
  <c r="AB18" i="1"/>
  <c r="AB17" i="1"/>
  <c r="AB16" i="1"/>
  <c r="AB15" i="1"/>
  <c r="AB24" i="1" s="1"/>
  <c r="AB14" i="1"/>
  <c r="AB13" i="1"/>
  <c r="AB12" i="1"/>
  <c r="AB11" i="1"/>
  <c r="AB10" i="1"/>
  <c r="AB9" i="1"/>
  <c r="AB8" i="1"/>
  <c r="AB7" i="1"/>
  <c r="AB6" i="1"/>
  <c r="AB5" i="1"/>
  <c r="AB4" i="1"/>
  <c r="R33" i="1"/>
  <c r="R34" i="1"/>
  <c r="R35" i="1"/>
  <c r="R37" i="1"/>
  <c r="Q34" i="1"/>
  <c r="Q33" i="1"/>
  <c r="Q35" i="1"/>
  <c r="Q37" i="1"/>
  <c r="R28" i="1"/>
  <c r="Q28" i="1"/>
  <c r="P27" i="1"/>
  <c r="O27" i="1"/>
  <c r="N27" i="1"/>
  <c r="P38" i="1"/>
  <c r="P101" i="1" s="1"/>
  <c r="K4" i="3"/>
  <c r="K7" i="3" s="1"/>
  <c r="K3" i="3"/>
  <c r="P98" i="1"/>
  <c r="P87" i="1"/>
  <c r="P90" i="1" s="1"/>
  <c r="P84" i="1"/>
  <c r="P76" i="1"/>
  <c r="P72" i="1"/>
  <c r="P68" i="1"/>
  <c r="P65" i="1"/>
  <c r="P59" i="1"/>
  <c r="P54" i="1"/>
  <c r="P45" i="1"/>
  <c r="P40" i="1"/>
  <c r="P55" i="1" s="1"/>
  <c r="S58" i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R50" i="1"/>
  <c r="R45" i="1"/>
  <c r="S45" i="1" s="1"/>
  <c r="M27" i="1"/>
  <c r="M24" i="1"/>
  <c r="S24" i="1"/>
  <c r="R24" i="1"/>
  <c r="R36" i="1" s="1"/>
  <c r="Q24" i="1"/>
  <c r="Q36" i="1" s="1"/>
  <c r="P24" i="1"/>
  <c r="O24" i="1"/>
  <c r="N24" i="1"/>
  <c r="AH43" i="1" l="1"/>
  <c r="R38" i="1"/>
  <c r="S54" i="1"/>
  <c r="R54" i="1"/>
  <c r="P52" i="1"/>
  <c r="P53" i="1"/>
  <c r="P56" i="1"/>
  <c r="Q54" i="1"/>
  <c r="P43" i="1"/>
  <c r="P44" i="1" s="1"/>
  <c r="P46" i="1" s="1"/>
  <c r="P48" i="1" s="1"/>
  <c r="R42" i="1"/>
  <c r="S42" i="1" s="1"/>
  <c r="S50" i="1"/>
  <c r="R41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R40" i="1" l="1"/>
  <c r="R53" i="1"/>
  <c r="R56" i="1"/>
  <c r="Q53" i="1"/>
  <c r="Q40" i="1"/>
  <c r="Q56" i="1"/>
  <c r="P49" i="1"/>
  <c r="P78" i="1"/>
  <c r="P85" i="1" s="1"/>
  <c r="P99" i="1" s="1"/>
  <c r="N101" i="1"/>
  <c r="R52" i="1"/>
  <c r="L40" i="1"/>
  <c r="M101" i="1"/>
  <c r="Q52" i="1"/>
  <c r="J56" i="1"/>
  <c r="Z38" i="1"/>
  <c r="Q43" i="1"/>
  <c r="Q44" i="1" s="1"/>
  <c r="Q46" i="1" s="1"/>
  <c r="S41" i="1"/>
  <c r="S43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AB52" i="1" l="1"/>
  <c r="S56" i="1"/>
  <c r="S53" i="1"/>
  <c r="S40" i="1"/>
  <c r="S55" i="1" s="1"/>
  <c r="R39" i="1"/>
  <c r="R55" i="1"/>
  <c r="R47" i="1"/>
  <c r="R48" i="1"/>
  <c r="R49" i="1" s="1"/>
  <c r="M98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S39" i="1" l="1"/>
  <c r="AB40" i="1"/>
  <c r="AC40" i="1"/>
  <c r="AD52" i="1"/>
  <c r="AC39" i="1"/>
  <c r="S44" i="1"/>
  <c r="S46" i="1" s="1"/>
  <c r="S47" i="1" s="1"/>
  <c r="S48" i="1" s="1"/>
  <c r="S49" i="1" s="1"/>
  <c r="M99" i="1"/>
  <c r="N49" i="1"/>
  <c r="N78" i="1"/>
  <c r="N85" i="1" s="1"/>
  <c r="N99" i="1" s="1"/>
  <c r="AC55" i="1" l="1"/>
  <c r="AC44" i="1"/>
  <c r="AC46" i="1" s="1"/>
  <c r="AE52" i="1"/>
  <c r="AD40" i="1"/>
  <c r="AD39" i="1" s="1"/>
  <c r="AB55" i="1"/>
  <c r="AB44" i="1"/>
  <c r="AB46" i="1" s="1"/>
  <c r="AB39" i="1"/>
  <c r="O38" i="1"/>
  <c r="O54" i="1"/>
  <c r="AB47" i="1" l="1"/>
  <c r="AB48" i="1" s="1"/>
  <c r="AB49" i="1" s="1"/>
  <c r="AD55" i="1"/>
  <c r="AD44" i="1"/>
  <c r="AD46" i="1" s="1"/>
  <c r="AD47" i="1" s="1"/>
  <c r="AD48" i="1" s="1"/>
  <c r="AD49" i="1" s="1"/>
  <c r="AF52" i="1"/>
  <c r="AE40" i="1"/>
  <c r="AE39" i="1" s="1"/>
  <c r="AC47" i="1"/>
  <c r="AC48" i="1" s="1"/>
  <c r="O52" i="1"/>
  <c r="S52" i="1"/>
  <c r="O40" i="1"/>
  <c r="AA38" i="1"/>
  <c r="O53" i="1"/>
  <c r="O56" i="1"/>
  <c r="AC49" i="1" l="1"/>
  <c r="AE55" i="1"/>
  <c r="AE44" i="1"/>
  <c r="AE46" i="1" s="1"/>
  <c r="AG52" i="1"/>
  <c r="AF40" i="1"/>
  <c r="AA52" i="1"/>
  <c r="O44" i="1"/>
  <c r="O46" i="1" s="1"/>
  <c r="O48" i="1" s="1"/>
  <c r="O49" i="1" s="1"/>
  <c r="O55" i="1"/>
  <c r="AF55" i="1" l="1"/>
  <c r="AF44" i="1"/>
  <c r="AF46" i="1" s="1"/>
  <c r="AF47" i="1" s="1"/>
  <c r="AF48" i="1" s="1"/>
  <c r="AF49" i="1" s="1"/>
  <c r="AF39" i="1"/>
  <c r="AG40" i="1"/>
  <c r="AG44" i="1" s="1"/>
  <c r="AG46" i="1" s="1"/>
  <c r="AH52" i="1"/>
  <c r="AE47" i="1"/>
  <c r="AE48" i="1"/>
  <c r="AG39" i="1" l="1"/>
  <c r="AE49" i="1"/>
  <c r="AH40" i="1"/>
  <c r="AH44" i="1" s="1"/>
  <c r="AH46" i="1" s="1"/>
  <c r="AH47" i="1" s="1"/>
  <c r="AH48" i="1" s="1"/>
  <c r="AG47" i="1"/>
  <c r="AG48" i="1" s="1"/>
  <c r="AG49" i="1" l="1"/>
  <c r="AH49" i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AH39" i="1"/>
  <c r="AI56" i="1" l="1"/>
  <c r="AI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S36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L38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Q38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R38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<sst xmlns="http://schemas.openxmlformats.org/spreadsheetml/2006/main" count="188" uniqueCount="171">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</sst>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74462</xdr:colOff>
      <xdr:row>0</xdr:row>
      <xdr:rowOff>0</xdr:rowOff>
    </xdr:from>
    <xdr:to>
      <xdr:col>16</xdr:col>
      <xdr:colOff>74462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014605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S36" dT="2024-08-28T21:08:16.17" personId="{C526F2C0-66C0-534F-AADF-50BFCB37FCD4}" id="{AC62E1DD-5F48-4CE0-8635-05BA74B5AC99}">
    <text>Blackwell will sell several billion
Blackwall product ramp starts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  <threadedComment ref="Q38" dT="2024-08-28T19:54:29.44" personId="{C526F2C0-66C0-534F-AADF-50BFCB37FCD4}" id="{ABEADC1D-5EB0-4C3F-94A3-CDCB9F5F27A0}">
    <text>Guidance: 28000</text>
  </threadedComment>
  <threadedComment ref="R38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G14" sqref="G14"/>
    </sheetView>
  </sheetViews>
  <sheetFormatPr defaultRowHeight="12.75" x14ac:dyDescent="0.2"/>
  <cols>
    <col min="11" max="11" width="10.140625" customWidth="1"/>
  </cols>
  <sheetData>
    <row r="2" spans="2:12" x14ac:dyDescent="0.2">
      <c r="B2" s="26" t="s">
        <v>132</v>
      </c>
      <c r="C2" s="27"/>
      <c r="D2" s="27"/>
      <c r="E2" s="27"/>
      <c r="F2" s="27"/>
      <c r="G2" s="27"/>
      <c r="H2" s="28"/>
      <c r="J2" t="s">
        <v>112</v>
      </c>
      <c r="K2" s="15">
        <v>102.49</v>
      </c>
    </row>
    <row r="3" spans="2:12" x14ac:dyDescent="0.2">
      <c r="B3" s="19" t="s">
        <v>120</v>
      </c>
      <c r="C3" s="20" t="s">
        <v>131</v>
      </c>
      <c r="D3" s="20"/>
      <c r="E3" s="20"/>
      <c r="F3" s="20"/>
      <c r="G3" s="20"/>
      <c r="H3" s="21"/>
      <c r="J3" t="s">
        <v>13</v>
      </c>
      <c r="K3" s="2">
        <f>2460*10</f>
        <v>24600</v>
      </c>
      <c r="L3" s="3" t="s">
        <v>18</v>
      </c>
    </row>
    <row r="4" spans="2:12" x14ac:dyDescent="0.2">
      <c r="B4" s="19" t="s">
        <v>121</v>
      </c>
      <c r="C4" s="20" t="s">
        <v>131</v>
      </c>
      <c r="D4" s="20"/>
      <c r="E4" s="20"/>
      <c r="F4" s="20"/>
      <c r="G4" s="20"/>
      <c r="H4" s="21"/>
      <c r="J4" t="s">
        <v>113</v>
      </c>
      <c r="K4" s="2">
        <f>+K2*K3</f>
        <v>2521254</v>
      </c>
    </row>
    <row r="5" spans="2:12" x14ac:dyDescent="0.2">
      <c r="B5" s="19" t="s">
        <v>122</v>
      </c>
      <c r="C5" s="20" t="s">
        <v>131</v>
      </c>
      <c r="D5" s="20"/>
      <c r="E5" s="20"/>
      <c r="F5" s="20"/>
      <c r="G5" s="20"/>
      <c r="H5" s="21"/>
      <c r="J5" t="s">
        <v>38</v>
      </c>
      <c r="K5" s="2">
        <v>31438</v>
      </c>
      <c r="L5" s="3" t="s">
        <v>18</v>
      </c>
    </row>
    <row r="6" spans="2:12" x14ac:dyDescent="0.2">
      <c r="B6" s="22" t="s">
        <v>123</v>
      </c>
      <c r="C6" s="20" t="s">
        <v>130</v>
      </c>
      <c r="D6" s="20"/>
      <c r="E6" s="20"/>
      <c r="F6" s="20"/>
      <c r="G6" s="20"/>
      <c r="H6" s="21"/>
      <c r="J6" t="s">
        <v>34</v>
      </c>
      <c r="K6" s="2">
        <v>9710</v>
      </c>
      <c r="L6" s="3" t="s">
        <v>18</v>
      </c>
    </row>
    <row r="7" spans="2:12" x14ac:dyDescent="0.2">
      <c r="B7" s="19" t="s">
        <v>124</v>
      </c>
      <c r="C7" s="20" t="s">
        <v>125</v>
      </c>
      <c r="D7" s="20"/>
      <c r="E7" s="20"/>
      <c r="F7" s="20"/>
      <c r="G7" s="20"/>
      <c r="H7" s="21"/>
      <c r="J7" t="s">
        <v>114</v>
      </c>
      <c r="K7" s="2">
        <f>+K4-K5+K6</f>
        <v>2499526</v>
      </c>
    </row>
    <row r="8" spans="2:12" x14ac:dyDescent="0.2">
      <c r="B8" s="19" t="s">
        <v>126</v>
      </c>
      <c r="C8" s="20" t="s">
        <v>129</v>
      </c>
      <c r="D8" s="20"/>
      <c r="E8" s="20"/>
      <c r="F8" s="20"/>
      <c r="G8" s="20"/>
      <c r="H8" s="21"/>
      <c r="K8" s="2"/>
    </row>
    <row r="9" spans="2:12" x14ac:dyDescent="0.2">
      <c r="B9" s="19" t="s">
        <v>127</v>
      </c>
      <c r="C9" s="20" t="s">
        <v>128</v>
      </c>
      <c r="D9" s="20"/>
      <c r="E9" s="20"/>
      <c r="F9" s="20"/>
      <c r="G9" s="20"/>
      <c r="H9" s="21"/>
      <c r="K9" s="2"/>
    </row>
    <row r="10" spans="2:12" x14ac:dyDescent="0.2">
      <c r="B10" s="19" t="s">
        <v>135</v>
      </c>
      <c r="C10" s="20" t="s">
        <v>136</v>
      </c>
      <c r="D10" s="20"/>
      <c r="E10" s="20"/>
      <c r="F10" s="20"/>
      <c r="G10" s="20"/>
      <c r="H10" s="21"/>
    </row>
    <row r="11" spans="2:12" x14ac:dyDescent="0.2">
      <c r="B11" s="19" t="s">
        <v>137</v>
      </c>
      <c r="C11" s="20" t="s">
        <v>138</v>
      </c>
      <c r="D11" s="20" t="s">
        <v>169</v>
      </c>
      <c r="E11" s="20"/>
      <c r="F11" s="20"/>
      <c r="G11" s="20"/>
      <c r="H11" s="21"/>
    </row>
    <row r="12" spans="2:12" x14ac:dyDescent="0.2">
      <c r="B12" s="19" t="s">
        <v>139</v>
      </c>
      <c r="C12" s="20"/>
      <c r="D12" s="20"/>
      <c r="E12" s="20"/>
      <c r="F12" s="20"/>
      <c r="G12" s="20"/>
      <c r="H12" s="21"/>
    </row>
    <row r="13" spans="2:12" x14ac:dyDescent="0.2">
      <c r="B13" s="19" t="s">
        <v>140</v>
      </c>
      <c r="C13" s="20"/>
      <c r="D13" s="20"/>
      <c r="E13" s="20"/>
      <c r="F13" s="20"/>
      <c r="G13" s="20"/>
      <c r="H13" s="21"/>
    </row>
    <row r="14" spans="2:12" x14ac:dyDescent="0.2">
      <c r="B14" s="23" t="s">
        <v>141</v>
      </c>
      <c r="C14" s="24"/>
      <c r="D14" s="24"/>
      <c r="E14" s="24"/>
      <c r="F14" s="24"/>
      <c r="G14" s="24"/>
      <c r="H14" s="25"/>
    </row>
    <row r="16" spans="2:12" x14ac:dyDescent="0.2">
      <c r="B16" t="s">
        <v>142</v>
      </c>
      <c r="C16" t="s">
        <v>143</v>
      </c>
      <c r="K16" t="s">
        <v>119</v>
      </c>
    </row>
    <row r="17" spans="2:11" x14ac:dyDescent="0.2">
      <c r="B17" t="s">
        <v>144</v>
      </c>
      <c r="C17" t="s">
        <v>145</v>
      </c>
      <c r="K17" t="s">
        <v>118</v>
      </c>
    </row>
    <row r="18" spans="2:11" x14ac:dyDescent="0.2">
      <c r="B18" t="s">
        <v>146</v>
      </c>
      <c r="C18" t="s">
        <v>147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160</v>
      </c>
      <c r="K21" t="s">
        <v>133</v>
      </c>
    </row>
    <row r="22" spans="2:11" x14ac:dyDescent="0.2">
      <c r="B22" t="s">
        <v>170</v>
      </c>
      <c r="K2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DZ104"/>
  <sheetViews>
    <sheetView tabSelected="1" zoomScale="180" zoomScaleNormal="180" workbookViewId="0">
      <pane xSplit="2" ySplit="3" topLeftCell="V34" activePane="bottomRight" state="frozen"/>
      <selection pane="topRight" activeCell="C1" sqref="C1"/>
      <selection pane="bottomLeft" activeCell="A4" sqref="A4"/>
      <selection pane="bottomRight" activeCell="AF38" sqref="AF38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3" max="33" width="10" customWidth="1"/>
    <col min="34" max="36" width="10.28515625" customWidth="1"/>
  </cols>
  <sheetData>
    <row r="1" spans="1:37" x14ac:dyDescent="0.2">
      <c r="A1" s="18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  <c r="AF3" s="4" t="s">
        <v>106</v>
      </c>
      <c r="AG3" s="4" t="s">
        <v>107</v>
      </c>
      <c r="AH3" s="4" t="s">
        <v>108</v>
      </c>
      <c r="AI3" s="4" t="s">
        <v>109</v>
      </c>
      <c r="AJ3" s="4" t="s">
        <v>110</v>
      </c>
      <c r="AK3" s="4" t="s">
        <v>111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50</v>
      </c>
      <c r="P4" s="5">
        <v>50</v>
      </c>
      <c r="Q4" s="5">
        <v>60</v>
      </c>
      <c r="R4" s="5">
        <v>70</v>
      </c>
      <c r="S4" s="5">
        <v>50</v>
      </c>
      <c r="AB4" s="2">
        <f>SUM(P4:S4)</f>
        <v>230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  <c r="AB5" s="2">
        <f t="shared" ref="AB5:AB23" si="0">SUM(P5:S5)</f>
        <v>100</v>
      </c>
    </row>
    <row r="6" spans="1:37" x14ac:dyDescent="0.2">
      <c r="B6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  <c r="AB6" s="2">
        <f t="shared" si="0"/>
        <v>200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  <c r="AB7" s="2">
        <f t="shared" si="0"/>
        <v>200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  <c r="AB8" s="2">
        <f t="shared" si="0"/>
        <v>100</v>
      </c>
    </row>
    <row r="9" spans="1:37" x14ac:dyDescent="0.2">
      <c r="B9" t="s">
        <v>88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  <c r="AB9" s="2">
        <f t="shared" si="0"/>
        <v>400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  <c r="AB10" s="2">
        <f t="shared" si="0"/>
        <v>0</v>
      </c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  <c r="AB11" s="2">
        <f t="shared" si="0"/>
        <v>400</v>
      </c>
    </row>
    <row r="12" spans="1:37" x14ac:dyDescent="0.2">
      <c r="B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  <c r="AB12" s="2">
        <f t="shared" si="0"/>
        <v>100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  <c r="AB13" s="2">
        <f t="shared" si="0"/>
        <v>100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30</v>
      </c>
      <c r="Q14" s="5">
        <v>50</v>
      </c>
      <c r="R14" s="5">
        <v>60</v>
      </c>
      <c r="S14" s="5">
        <v>70</v>
      </c>
      <c r="AB14" s="2">
        <f t="shared" si="0"/>
        <v>210</v>
      </c>
    </row>
    <row r="15" spans="1:37" x14ac:dyDescent="0.2">
      <c r="B15" t="s">
        <v>165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20</v>
      </c>
      <c r="R15" s="5">
        <v>30</v>
      </c>
      <c r="S15" s="5">
        <v>40</v>
      </c>
      <c r="AB15" s="2">
        <f t="shared" si="0"/>
        <v>90</v>
      </c>
    </row>
    <row r="16" spans="1:37" x14ac:dyDescent="0.2">
      <c r="B16" t="s">
        <v>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AB16" s="2">
        <f t="shared" si="0"/>
        <v>0</v>
      </c>
    </row>
    <row r="17" spans="2:28" x14ac:dyDescent="0.2">
      <c r="B17" t="s">
        <v>85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15</v>
      </c>
      <c r="Q17" s="5">
        <v>20</v>
      </c>
      <c r="R17" s="5">
        <v>30</v>
      </c>
      <c r="S17" s="5">
        <v>30</v>
      </c>
      <c r="AB17" s="2">
        <f t="shared" si="0"/>
        <v>95</v>
      </c>
    </row>
    <row r="18" spans="2:28" x14ac:dyDescent="0.2">
      <c r="B18" t="s">
        <v>86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20</v>
      </c>
      <c r="P18" s="5">
        <v>15</v>
      </c>
      <c r="Q18" s="5">
        <v>20</v>
      </c>
      <c r="R18" s="5">
        <v>25</v>
      </c>
      <c r="S18" s="5">
        <v>25</v>
      </c>
      <c r="AB18" s="2">
        <f t="shared" si="0"/>
        <v>85</v>
      </c>
    </row>
    <row r="19" spans="2:28" x14ac:dyDescent="0.2">
      <c r="B19" t="s">
        <v>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AB19" s="2">
        <f t="shared" si="0"/>
        <v>0</v>
      </c>
    </row>
    <row r="20" spans="2:28" x14ac:dyDescent="0.2">
      <c r="B20" t="s">
        <v>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40</v>
      </c>
      <c r="Q20" s="5">
        <v>50</v>
      </c>
      <c r="R20" s="5">
        <v>50</v>
      </c>
      <c r="S20" s="5">
        <v>50</v>
      </c>
      <c r="AB20" s="2">
        <f t="shared" si="0"/>
        <v>190</v>
      </c>
    </row>
    <row r="21" spans="2:28" x14ac:dyDescent="0.2">
      <c r="B21" t="s">
        <v>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10</v>
      </c>
      <c r="Q21" s="5">
        <v>50</v>
      </c>
      <c r="R21" s="5">
        <v>50</v>
      </c>
      <c r="S21" s="5">
        <v>50</v>
      </c>
      <c r="AB21" s="2">
        <f t="shared" si="0"/>
        <v>160</v>
      </c>
    </row>
    <row r="22" spans="2:28" x14ac:dyDescent="0.2">
      <c r="B22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  <c r="AB22" s="2">
        <f t="shared" si="0"/>
        <v>35</v>
      </c>
    </row>
    <row r="23" spans="2:28" x14ac:dyDescent="0.2">
      <c r="B23" t="s">
        <v>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  <c r="AB23" s="2">
        <f t="shared" si="0"/>
        <v>35</v>
      </c>
    </row>
    <row r="24" spans="2:28" s="11" customFormat="1" x14ac:dyDescent="0.2">
      <c r="B24" s="11" t="s">
        <v>95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1">SUM(O4:O23)</f>
        <v>460</v>
      </c>
      <c r="P24" s="9">
        <f t="shared" si="1"/>
        <v>570</v>
      </c>
      <c r="Q24" s="9">
        <f t="shared" si="1"/>
        <v>690</v>
      </c>
      <c r="R24" s="9">
        <f t="shared" si="1"/>
        <v>735</v>
      </c>
      <c r="S24" s="9">
        <f t="shared" si="1"/>
        <v>735</v>
      </c>
      <c r="AB24" s="8">
        <f>SUM(AB4:AB23)</f>
        <v>2730</v>
      </c>
    </row>
    <row r="25" spans="2:28" s="11" customFormat="1" x14ac:dyDescent="0.2">
      <c r="B25" s="11" t="s">
        <v>161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8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8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f>+O36/O28</f>
        <v>459.65</v>
      </c>
      <c r="P27" s="9">
        <f>+P36/P28</f>
        <v>564.07500000000005</v>
      </c>
      <c r="Q27" s="9"/>
      <c r="R27" s="9"/>
      <c r="S27" s="9"/>
    </row>
    <row r="28" spans="2:28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5">
        <f>+P28</f>
        <v>40</v>
      </c>
      <c r="R28" s="5">
        <f>+Q28</f>
        <v>40</v>
      </c>
      <c r="S28" s="5">
        <v>50</v>
      </c>
    </row>
    <row r="29" spans="2:2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AB29" s="2"/>
    </row>
    <row r="30" spans="2:28" x14ac:dyDescent="0.2">
      <c r="B30" t="s">
        <v>162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  <c r="AB30" s="2"/>
    </row>
    <row r="31" spans="2:28" x14ac:dyDescent="0.2">
      <c r="B31" t="s">
        <v>163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30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P33">
        <v>78</v>
      </c>
      <c r="Q33" s="2">
        <f t="shared" ref="Q33:R34" si="2">+M33*1.1</f>
        <v>72.600000000000009</v>
      </c>
      <c r="R33" s="2">
        <f t="shared" si="2"/>
        <v>80.300000000000011</v>
      </c>
      <c r="S33" s="2">
        <f t="shared" ref="S33:S35" si="3">+O33*1.1</f>
        <v>80.300000000000011</v>
      </c>
    </row>
    <row r="34" spans="2:130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P34" s="5">
        <v>427</v>
      </c>
      <c r="Q34" s="2">
        <f t="shared" si="2"/>
        <v>416.90000000000003</v>
      </c>
      <c r="R34" s="2">
        <f t="shared" si="2"/>
        <v>457.6</v>
      </c>
      <c r="S34" s="2">
        <f t="shared" si="3"/>
        <v>509.30000000000007</v>
      </c>
    </row>
    <row r="35" spans="2:130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P35" s="5">
        <v>329</v>
      </c>
      <c r="Q35" s="2">
        <f>+M35*1.1</f>
        <v>278.3</v>
      </c>
      <c r="R35" s="2">
        <f>+N35*1.1</f>
        <v>287.10000000000002</v>
      </c>
      <c r="S35" s="2">
        <f t="shared" si="3"/>
        <v>309.10000000000002</v>
      </c>
    </row>
    <row r="36" spans="2:130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v>22563</v>
      </c>
      <c r="Q36" s="2">
        <f>+Q28*Q24</f>
        <v>27600</v>
      </c>
      <c r="R36" s="2">
        <f>+R28*R24</f>
        <v>29400</v>
      </c>
      <c r="S36" s="2">
        <f>+S28*S24</f>
        <v>36750</v>
      </c>
    </row>
    <row r="37" spans="2:130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P37" s="5">
        <v>2647</v>
      </c>
      <c r="Q37" s="2">
        <f>+M37*1.1</f>
        <v>2734.6000000000004</v>
      </c>
      <c r="R37" s="2">
        <f>+N37*1.1</f>
        <v>3141.6000000000004</v>
      </c>
      <c r="S37" s="2">
        <f>+O37*1.1</f>
        <v>3190.0000000000005</v>
      </c>
    </row>
    <row r="38" spans="2:130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f>SUM(P33:P37)</f>
        <v>26044</v>
      </c>
      <c r="Q38" s="9">
        <v>30040</v>
      </c>
      <c r="R38" s="9">
        <f>SUM(R33:R37)</f>
        <v>33366.6</v>
      </c>
      <c r="S38" s="9">
        <f>SUM(S33:S37)</f>
        <v>40838.699999999997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130289.3</v>
      </c>
      <c r="AC38" s="8">
        <f>+AB38*1.5</f>
        <v>195433.95</v>
      </c>
      <c r="AD38" s="8">
        <f>+AC38*1.5</f>
        <v>293150.92500000005</v>
      </c>
      <c r="AE38" s="8">
        <f>+AD38*1.4</f>
        <v>410411.29500000004</v>
      </c>
      <c r="AF38" s="8">
        <f>+AE38*1.4</f>
        <v>574575.81299999997</v>
      </c>
      <c r="AG38" s="8">
        <f>+AF38*1.3</f>
        <v>746948.55689999997</v>
      </c>
      <c r="AH38" s="8">
        <f>+AG38*1.3</f>
        <v>971033.12396999996</v>
      </c>
    </row>
    <row r="39" spans="2:130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v>5638</v>
      </c>
      <c r="Q39" s="2">
        <v>7466</v>
      </c>
      <c r="R39" s="2">
        <f t="shared" ref="R39:S39" si="4">+R38-R40</f>
        <v>7674.3179999999993</v>
      </c>
      <c r="S39" s="2">
        <f t="shared" si="4"/>
        <v>8984.5139999999992</v>
      </c>
      <c r="Y39" s="2">
        <v>9439</v>
      </c>
      <c r="Z39" s="2">
        <v>11618</v>
      </c>
      <c r="AA39" s="2">
        <v>16621</v>
      </c>
      <c r="AB39" s="2">
        <f>+AB38-AB40</f>
        <v>29206.032000000007</v>
      </c>
      <c r="AC39" s="2">
        <f>+AC38-AC40</f>
        <v>42995.469000000012</v>
      </c>
      <c r="AD39" s="2">
        <f t="shared" ref="AD39:AF39" si="5">+AD38-AD40</f>
        <v>64493.203500000003</v>
      </c>
      <c r="AE39" s="2">
        <f t="shared" si="5"/>
        <v>90290.484899999981</v>
      </c>
      <c r="AF39" s="2">
        <f t="shared" si="5"/>
        <v>126406.67885999999</v>
      </c>
      <c r="AG39" s="2">
        <f t="shared" ref="AG39" si="6">+AG38-AG40</f>
        <v>164328.68251800002</v>
      </c>
      <c r="AH39" s="2">
        <f t="shared" ref="AH39" si="7">+AH38-AH40</f>
        <v>213627.2872734</v>
      </c>
    </row>
    <row r="40" spans="2:130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+P38-P39</f>
        <v>20406</v>
      </c>
      <c r="Q40" s="2">
        <f>+Q38*0.77</f>
        <v>23130.799999999999</v>
      </c>
      <c r="R40" s="2">
        <f>+R38*0.77</f>
        <v>25692.281999999999</v>
      </c>
      <c r="S40" s="2">
        <f>+S38*0.78</f>
        <v>31854.185999999998</v>
      </c>
      <c r="Y40" s="2">
        <f>+Y38-Y39</f>
        <v>17475</v>
      </c>
      <c r="Z40" s="2">
        <f>+Z38-Z39</f>
        <v>15356</v>
      </c>
      <c r="AA40" s="2">
        <f>+AA38-AA39</f>
        <v>44301</v>
      </c>
      <c r="AB40" s="2">
        <f>SUM(P40:S40)</f>
        <v>101083.268</v>
      </c>
      <c r="AC40" s="2">
        <f>+AC38*0.78</f>
        <v>152438.481</v>
      </c>
      <c r="AD40" s="2">
        <f>+AD38*0.78</f>
        <v>228657.72150000004</v>
      </c>
      <c r="AE40" s="2">
        <f>+AE38*0.78</f>
        <v>320120.81010000006</v>
      </c>
      <c r="AF40" s="2">
        <f>+AF38*0.78</f>
        <v>448169.13413999998</v>
      </c>
      <c r="AG40" s="2">
        <f t="shared" ref="AG40:AH40" si="8">+AG38*0.78</f>
        <v>582619.87438199995</v>
      </c>
      <c r="AH40" s="2">
        <f t="shared" si="8"/>
        <v>757405.83669659996</v>
      </c>
    </row>
    <row r="41" spans="2:130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v>2720</v>
      </c>
      <c r="Q41" s="2">
        <v>3090</v>
      </c>
      <c r="R41" s="2">
        <f t="shared" ref="R41:S41" si="9">+Q41+100</f>
        <v>3190</v>
      </c>
      <c r="S41" s="2">
        <f t="shared" si="9"/>
        <v>3290</v>
      </c>
      <c r="Y41" s="2">
        <v>5268</v>
      </c>
      <c r="Z41" s="2">
        <v>7339</v>
      </c>
      <c r="AA41" s="2">
        <v>8675</v>
      </c>
      <c r="AB41" s="2">
        <f>SUM(P41:S41)</f>
        <v>12290</v>
      </c>
      <c r="AC41" s="2">
        <f>+AB41*1.2</f>
        <v>14748</v>
      </c>
      <c r="AD41" s="2">
        <f t="shared" ref="AD41:AF41" si="10">+AC41*1.2</f>
        <v>17697.599999999999</v>
      </c>
      <c r="AE41" s="2">
        <f t="shared" si="10"/>
        <v>21237.119999999999</v>
      </c>
      <c r="AF41" s="2">
        <f t="shared" si="10"/>
        <v>25484.543999999998</v>
      </c>
      <c r="AG41" s="2">
        <f t="shared" ref="AG41:AH41" si="11">+AF41*1.2</f>
        <v>30581.452799999995</v>
      </c>
      <c r="AH41" s="2">
        <f t="shared" si="11"/>
        <v>36697.743359999993</v>
      </c>
    </row>
    <row r="42" spans="2:130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v>777</v>
      </c>
      <c r="Q42" s="2">
        <v>842</v>
      </c>
      <c r="R42" s="2">
        <f>+Q42+25</f>
        <v>867</v>
      </c>
      <c r="S42" s="2">
        <f>+R42+25</f>
        <v>892</v>
      </c>
      <c r="Y42" s="2">
        <v>2166</v>
      </c>
      <c r="Z42" s="2">
        <v>2440</v>
      </c>
      <c r="AA42" s="2">
        <v>2654</v>
      </c>
      <c r="AB42" s="2">
        <f>SUM(P42:S42)</f>
        <v>3378</v>
      </c>
      <c r="AC42" s="2">
        <f t="shared" ref="AC42:AF42" si="12">+AB42*1.2</f>
        <v>4053.6</v>
      </c>
      <c r="AD42" s="2">
        <f t="shared" si="12"/>
        <v>4864.32</v>
      </c>
      <c r="AE42" s="2">
        <f t="shared" si="12"/>
        <v>5837.1839999999993</v>
      </c>
      <c r="AF42" s="2">
        <f t="shared" si="12"/>
        <v>7004.6207999999988</v>
      </c>
      <c r="AG42" s="2">
        <f t="shared" ref="AG42:AH42" si="13">+AF42*1.2</f>
        <v>8405.5449599999974</v>
      </c>
      <c r="AH42" s="2">
        <f t="shared" si="13"/>
        <v>10086.653951999997</v>
      </c>
    </row>
    <row r="43" spans="2:130" s="2" customFormat="1" x14ac:dyDescent="0.2">
      <c r="B43" s="2" t="s">
        <v>3</v>
      </c>
      <c r="C43" s="5">
        <f t="shared" ref="C43" si="14">+C41+C42</f>
        <v>1650</v>
      </c>
      <c r="D43" s="5">
        <f t="shared" ref="D43:E43" si="15">+D41+D42</f>
        <v>1673</v>
      </c>
      <c r="E43" s="5">
        <f t="shared" si="15"/>
        <v>1771</v>
      </c>
      <c r="F43" s="5"/>
      <c r="G43" s="5">
        <f t="shared" ref="G43" si="16">+G41+G42</f>
        <v>2029</v>
      </c>
      <c r="H43" s="5">
        <f>+H41+H42</f>
        <v>2210</v>
      </c>
      <c r="I43" s="5">
        <f t="shared" ref="I43" si="17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18">+N41+N42</f>
        <v>2983</v>
      </c>
      <c r="O43" s="5">
        <f t="shared" si="18"/>
        <v>3176</v>
      </c>
      <c r="P43" s="5">
        <f t="shared" si="18"/>
        <v>3497</v>
      </c>
      <c r="Q43" s="5">
        <f t="shared" ref="Q43:S43" si="19">+Q41+Q42</f>
        <v>3932</v>
      </c>
      <c r="R43" s="5">
        <f t="shared" si="19"/>
        <v>4057</v>
      </c>
      <c r="S43" s="5">
        <f t="shared" si="19"/>
        <v>4182</v>
      </c>
      <c r="Y43" s="2">
        <f>+Y41+Y42</f>
        <v>7434</v>
      </c>
      <c r="Z43" s="2">
        <f>+Z41+Z42</f>
        <v>9779</v>
      </c>
      <c r="AA43" s="2">
        <f>+AA41+AA42</f>
        <v>11329</v>
      </c>
      <c r="AB43" s="2">
        <f>+AB41+AB42</f>
        <v>15668</v>
      </c>
      <c r="AC43" s="2">
        <f t="shared" ref="AC43:AF43" si="20">+AC41+AC42</f>
        <v>18801.599999999999</v>
      </c>
      <c r="AD43" s="2">
        <f t="shared" si="20"/>
        <v>22561.919999999998</v>
      </c>
      <c r="AE43" s="2">
        <f t="shared" si="20"/>
        <v>27074.303999999996</v>
      </c>
      <c r="AF43" s="2">
        <f t="shared" si="20"/>
        <v>32489.164799999999</v>
      </c>
      <c r="AG43" s="2">
        <f t="shared" ref="AG43" si="21">+AG41+AG42</f>
        <v>38986.997759999991</v>
      </c>
      <c r="AH43" s="2">
        <f t="shared" ref="AH43" si="22">+AH41+AH42</f>
        <v>46784.397311999986</v>
      </c>
    </row>
    <row r="44" spans="2:130" s="2" customFormat="1" x14ac:dyDescent="0.2">
      <c r="B44" s="2" t="s">
        <v>2</v>
      </c>
      <c r="C44" s="5">
        <f t="shared" ref="C44" si="23">+C40-C43</f>
        <v>1507</v>
      </c>
      <c r="D44" s="5">
        <f t="shared" ref="D44:E44" si="24">+D40-D43</f>
        <v>1956</v>
      </c>
      <c r="E44" s="5">
        <f t="shared" si="24"/>
        <v>2444</v>
      </c>
      <c r="F44" s="5"/>
      <c r="G44" s="5">
        <f t="shared" ref="G44" si="25">+G40-G43</f>
        <v>2970</v>
      </c>
      <c r="H44" s="5">
        <f>+H40-H43</f>
        <v>3221</v>
      </c>
      <c r="I44" s="5">
        <f t="shared" ref="I44" si="26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27">+N40-N43</f>
        <v>10417</v>
      </c>
      <c r="O44" s="5">
        <f t="shared" si="27"/>
        <v>13615</v>
      </c>
      <c r="P44" s="5">
        <f t="shared" si="27"/>
        <v>16909</v>
      </c>
      <c r="Q44" s="5">
        <f t="shared" ref="Q44:S44" si="28">+Q40-Q43</f>
        <v>19198.8</v>
      </c>
      <c r="R44" s="5">
        <f t="shared" si="28"/>
        <v>21635.281999999999</v>
      </c>
      <c r="S44" s="5">
        <f t="shared" si="28"/>
        <v>27672.185999999998</v>
      </c>
      <c r="Y44" s="2">
        <f>+Y40-Y43</f>
        <v>10041</v>
      </c>
      <c r="Z44" s="2">
        <f>+Z40-Z43</f>
        <v>5577</v>
      </c>
      <c r="AA44" s="2">
        <f>+AA40-AA43</f>
        <v>32972</v>
      </c>
      <c r="AB44" s="2">
        <f>+AB40-AB43</f>
        <v>85415.267999999996</v>
      </c>
      <c r="AC44" s="2">
        <f t="shared" ref="AC44:AF44" si="29">+AC40-AC43</f>
        <v>133636.88099999999</v>
      </c>
      <c r="AD44" s="2">
        <f t="shared" si="29"/>
        <v>206095.80150000006</v>
      </c>
      <c r="AE44" s="2">
        <f t="shared" si="29"/>
        <v>293046.50610000006</v>
      </c>
      <c r="AF44" s="2">
        <f t="shared" si="29"/>
        <v>415679.96933999995</v>
      </c>
      <c r="AG44" s="2">
        <f t="shared" ref="AG44" si="30">+AG40-AG43</f>
        <v>543632.87662200001</v>
      </c>
      <c r="AH44" s="2">
        <f t="shared" ref="AH44" si="31">+AH40-AH43</f>
        <v>710621.43938459991</v>
      </c>
    </row>
    <row r="45" spans="2:130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359-64+75</f>
        <v>370</v>
      </c>
      <c r="Q45" s="2">
        <v>572</v>
      </c>
      <c r="R45" s="2">
        <f>+Q45</f>
        <v>572</v>
      </c>
      <c r="S45" s="2">
        <f>+R45</f>
        <v>572</v>
      </c>
      <c r="Y45" s="2">
        <f>29-236+107</f>
        <v>-100</v>
      </c>
      <c r="Z45" s="2">
        <f>267-262-48</f>
        <v>-43</v>
      </c>
      <c r="AA45" s="2">
        <f>866-257+237</f>
        <v>846</v>
      </c>
      <c r="AB45" s="2">
        <f>SUM(P45:S45)</f>
        <v>2086</v>
      </c>
      <c r="AC45" s="2">
        <f>+AB45*1.1</f>
        <v>2294.6000000000004</v>
      </c>
      <c r="AD45" s="2">
        <f>+AC45*1.1</f>
        <v>2524.0600000000004</v>
      </c>
      <c r="AE45" s="2">
        <f>+AD45*1.1</f>
        <v>2776.4660000000008</v>
      </c>
      <c r="AF45" s="2">
        <f>+AE45*1.1</f>
        <v>3054.1126000000013</v>
      </c>
      <c r="AG45" s="2">
        <f t="shared" ref="AG45:AH45" si="32">+AF45*1.1</f>
        <v>3359.5238600000016</v>
      </c>
      <c r="AH45" s="2">
        <f t="shared" si="32"/>
        <v>3695.476246000002</v>
      </c>
    </row>
    <row r="46" spans="2:130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33">+N44+N45</f>
        <v>10522</v>
      </c>
      <c r="O46" s="5">
        <f t="shared" si="33"/>
        <v>14106</v>
      </c>
      <c r="P46" s="5">
        <f t="shared" si="33"/>
        <v>17279</v>
      </c>
      <c r="Q46" s="5">
        <f t="shared" si="33"/>
        <v>19770.8</v>
      </c>
      <c r="R46" s="5">
        <f t="shared" si="33"/>
        <v>22207.281999999999</v>
      </c>
      <c r="S46" s="5">
        <f t="shared" si="33"/>
        <v>28244.185999999998</v>
      </c>
      <c r="Y46" s="2">
        <f>+Y44+Y45</f>
        <v>9941</v>
      </c>
      <c r="Z46" s="2">
        <f>+Z44+Z45</f>
        <v>5534</v>
      </c>
      <c r="AA46" s="2">
        <f>+AA44+AA45</f>
        <v>33818</v>
      </c>
      <c r="AB46" s="2">
        <f>+AB44+AB45</f>
        <v>87501.267999999996</v>
      </c>
      <c r="AC46" s="2">
        <f t="shared" ref="AC46:AF46" si="34">+AC44+AC45</f>
        <v>135931.481</v>
      </c>
      <c r="AD46" s="2">
        <f t="shared" si="34"/>
        <v>208619.86150000006</v>
      </c>
      <c r="AE46" s="2">
        <f t="shared" si="34"/>
        <v>295822.97210000007</v>
      </c>
      <c r="AF46" s="2">
        <f t="shared" si="34"/>
        <v>418734.08193999995</v>
      </c>
      <c r="AG46" s="2">
        <f t="shared" ref="AG46" si="35">+AG44+AG45</f>
        <v>546992.40048199997</v>
      </c>
      <c r="AH46" s="2">
        <f t="shared" ref="AH46" si="36">+AH44+AH45</f>
        <v>714316.91563059995</v>
      </c>
    </row>
    <row r="47" spans="2:130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v>2398</v>
      </c>
      <c r="Q47" s="2">
        <v>2615</v>
      </c>
      <c r="R47" s="2">
        <f>+R46*0.15</f>
        <v>3331.0922999999998</v>
      </c>
      <c r="S47" s="2">
        <f>+S46*0.15</f>
        <v>4236.6278999999995</v>
      </c>
      <c r="Y47" s="2">
        <v>189</v>
      </c>
      <c r="Z47" s="2">
        <v>0</v>
      </c>
      <c r="AA47" s="2">
        <v>4058</v>
      </c>
      <c r="AB47" s="2">
        <f>+AB46*0.2</f>
        <v>17500.2536</v>
      </c>
      <c r="AC47" s="2">
        <f t="shared" ref="AC47:AF47" si="37">+AC46*0.2</f>
        <v>27186.296200000001</v>
      </c>
      <c r="AD47" s="2">
        <f t="shared" si="37"/>
        <v>41723.972300000016</v>
      </c>
      <c r="AE47" s="2">
        <f t="shared" si="37"/>
        <v>59164.594420000016</v>
      </c>
      <c r="AF47" s="2">
        <f t="shared" si="37"/>
        <v>83746.816387999992</v>
      </c>
      <c r="AG47" s="2">
        <f t="shared" ref="AG47" si="38">+AG46*0.2</f>
        <v>109398.4800964</v>
      </c>
      <c r="AH47" s="2">
        <f t="shared" ref="AH47" si="39">+AH46*0.2</f>
        <v>142863.38312612</v>
      </c>
    </row>
    <row r="48" spans="2:130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40">N46-N47</f>
        <v>9243</v>
      </c>
      <c r="O48" s="2">
        <f>+O46-O47</f>
        <v>12285</v>
      </c>
      <c r="P48" s="2">
        <f>+P46-P47</f>
        <v>14881</v>
      </c>
      <c r="Q48" s="2">
        <f t="shared" ref="Q48:S48" si="41">+Q46-Q47</f>
        <v>17155.8</v>
      </c>
      <c r="R48" s="2">
        <f t="shared" si="41"/>
        <v>18876.189699999999</v>
      </c>
      <c r="S48" s="2">
        <f t="shared" si="41"/>
        <v>24007.558099999998</v>
      </c>
      <c r="Y48" s="2">
        <f>+Y46-Y47</f>
        <v>9752</v>
      </c>
      <c r="Z48" s="2">
        <f>+Z46-Z47</f>
        <v>5534</v>
      </c>
      <c r="AA48" s="2">
        <f>+AA46-AA47</f>
        <v>29760</v>
      </c>
      <c r="AB48" s="2">
        <f>+AB46-AB47</f>
        <v>70001.0144</v>
      </c>
      <c r="AC48" s="2">
        <f t="shared" ref="AC48:AF48" si="42">+AC46-AC47</f>
        <v>108745.1848</v>
      </c>
      <c r="AD48" s="2">
        <f t="shared" si="42"/>
        <v>166895.88920000003</v>
      </c>
      <c r="AE48" s="2">
        <f t="shared" si="42"/>
        <v>236658.37768000006</v>
      </c>
      <c r="AF48" s="2">
        <f t="shared" si="42"/>
        <v>334987.26555199997</v>
      </c>
      <c r="AG48" s="2">
        <f t="shared" ref="AG48" si="43">+AG46-AG47</f>
        <v>437593.92038559995</v>
      </c>
      <c r="AH48" s="2">
        <f t="shared" ref="AH48" si="44">+AH46-AH47</f>
        <v>571453.53250447998</v>
      </c>
      <c r="AI48" s="2">
        <f>AH48*(1+$AI$54)</f>
        <v>588597.1384796144</v>
      </c>
      <c r="AJ48" s="2">
        <f t="shared" ref="AJ48:CU48" si="45">AI48*(1+$AI$54)</f>
        <v>606255.05263400287</v>
      </c>
      <c r="AK48" s="2">
        <f t="shared" si="45"/>
        <v>624442.70421302295</v>
      </c>
      <c r="AL48" s="2">
        <f t="shared" si="45"/>
        <v>643175.98533941363</v>
      </c>
      <c r="AM48" s="2">
        <f t="shared" si="45"/>
        <v>662471.26489959611</v>
      </c>
      <c r="AN48" s="2">
        <f t="shared" si="45"/>
        <v>682345.40284658398</v>
      </c>
      <c r="AO48" s="2">
        <f t="shared" si="45"/>
        <v>702815.76493198157</v>
      </c>
      <c r="AP48" s="2">
        <f t="shared" si="45"/>
        <v>723900.23787994101</v>
      </c>
      <c r="AQ48" s="2">
        <f t="shared" si="45"/>
        <v>745617.24501633924</v>
      </c>
      <c r="AR48" s="2">
        <f t="shared" si="45"/>
        <v>767985.76236682944</v>
      </c>
      <c r="AS48" s="2">
        <f t="shared" si="45"/>
        <v>791025.33523783437</v>
      </c>
      <c r="AT48" s="2">
        <f t="shared" si="45"/>
        <v>814756.09529496939</v>
      </c>
      <c r="AU48" s="2">
        <f t="shared" si="45"/>
        <v>839198.77815381845</v>
      </c>
      <c r="AV48" s="2">
        <f t="shared" si="45"/>
        <v>864374.74149843305</v>
      </c>
      <c r="AW48" s="2">
        <f t="shared" si="45"/>
        <v>890305.98374338611</v>
      </c>
      <c r="AX48" s="2">
        <f t="shared" si="45"/>
        <v>917015.16325568769</v>
      </c>
      <c r="AY48" s="2">
        <f t="shared" si="45"/>
        <v>944525.61815335834</v>
      </c>
      <c r="AZ48" s="2">
        <f t="shared" si="45"/>
        <v>972861.38669795915</v>
      </c>
      <c r="BA48" s="2">
        <f t="shared" si="45"/>
        <v>1002047.228298898</v>
      </c>
      <c r="BB48" s="2">
        <f t="shared" si="45"/>
        <v>1032108.6451478649</v>
      </c>
      <c r="BC48" s="2">
        <f t="shared" si="45"/>
        <v>1063071.904502301</v>
      </c>
      <c r="BD48" s="2">
        <f t="shared" si="45"/>
        <v>1094964.0616373701</v>
      </c>
      <c r="BE48" s="2">
        <f t="shared" si="45"/>
        <v>1127812.9834864913</v>
      </c>
      <c r="BF48" s="2">
        <f t="shared" si="45"/>
        <v>1161647.372991086</v>
      </c>
      <c r="BG48" s="2">
        <f t="shared" si="45"/>
        <v>1196496.7941808186</v>
      </c>
      <c r="BH48" s="2">
        <f t="shared" si="45"/>
        <v>1232391.6980062432</v>
      </c>
      <c r="BI48" s="2">
        <f t="shared" si="45"/>
        <v>1269363.4489464306</v>
      </c>
      <c r="BJ48" s="2">
        <f t="shared" si="45"/>
        <v>1307444.3524148236</v>
      </c>
      <c r="BK48" s="2">
        <f t="shared" si="45"/>
        <v>1346667.6829872683</v>
      </c>
      <c r="BL48" s="2">
        <f t="shared" si="45"/>
        <v>1387067.7134768865</v>
      </c>
      <c r="BM48" s="2">
        <f t="shared" si="45"/>
        <v>1428679.7448811932</v>
      </c>
      <c r="BN48" s="2">
        <f t="shared" si="45"/>
        <v>1471540.1372276291</v>
      </c>
      <c r="BO48" s="2">
        <f t="shared" si="45"/>
        <v>1515686.3413444581</v>
      </c>
      <c r="BP48" s="2">
        <f t="shared" si="45"/>
        <v>1561156.9315847917</v>
      </c>
      <c r="BQ48" s="2">
        <f t="shared" si="45"/>
        <v>1607991.6395323356</v>
      </c>
      <c r="BR48" s="2">
        <f t="shared" si="45"/>
        <v>1656231.3887183056</v>
      </c>
      <c r="BS48" s="2">
        <f t="shared" si="45"/>
        <v>1705918.3303798549</v>
      </c>
      <c r="BT48" s="2">
        <f t="shared" si="45"/>
        <v>1757095.8802912505</v>
      </c>
      <c r="BU48" s="2">
        <f t="shared" si="45"/>
        <v>1809808.7566999882</v>
      </c>
      <c r="BV48" s="2">
        <f t="shared" si="45"/>
        <v>1864103.0194009878</v>
      </c>
      <c r="BW48" s="2">
        <f t="shared" si="45"/>
        <v>1920026.1099830174</v>
      </c>
      <c r="BX48" s="2">
        <f t="shared" si="45"/>
        <v>1977626.893282508</v>
      </c>
      <c r="BY48" s="2">
        <f t="shared" si="45"/>
        <v>2036955.7000809833</v>
      </c>
      <c r="BZ48" s="2">
        <f t="shared" si="45"/>
        <v>2098064.3710834128</v>
      </c>
      <c r="CA48" s="2">
        <f t="shared" si="45"/>
        <v>2161006.3022159152</v>
      </c>
      <c r="CB48" s="2">
        <f t="shared" si="45"/>
        <v>2225836.4912823928</v>
      </c>
      <c r="CC48" s="2">
        <f t="shared" si="45"/>
        <v>2292611.5860208645</v>
      </c>
      <c r="CD48" s="2">
        <f t="shared" si="45"/>
        <v>2361389.9336014907</v>
      </c>
      <c r="CE48" s="2">
        <f t="shared" si="45"/>
        <v>2432231.6316095353</v>
      </c>
      <c r="CF48" s="2">
        <f t="shared" si="45"/>
        <v>2505198.5805578213</v>
      </c>
      <c r="CG48" s="2">
        <f t="shared" si="45"/>
        <v>2580354.537974556</v>
      </c>
      <c r="CH48" s="2">
        <f t="shared" si="45"/>
        <v>2657765.1741137928</v>
      </c>
      <c r="CI48" s="2">
        <f t="shared" si="45"/>
        <v>2737498.1293372065</v>
      </c>
      <c r="CJ48" s="2">
        <f t="shared" si="45"/>
        <v>2819623.0732173226</v>
      </c>
      <c r="CK48" s="2">
        <f t="shared" si="45"/>
        <v>2904211.7654138422</v>
      </c>
      <c r="CL48" s="2">
        <f t="shared" si="45"/>
        <v>2991338.1183762574</v>
      </c>
      <c r="CM48" s="2">
        <f t="shared" si="45"/>
        <v>3081078.2619275451</v>
      </c>
      <c r="CN48" s="2">
        <f t="shared" si="45"/>
        <v>3173510.6097853715</v>
      </c>
      <c r="CO48" s="2">
        <f t="shared" si="45"/>
        <v>3268715.9280789327</v>
      </c>
      <c r="CP48" s="2">
        <f t="shared" si="45"/>
        <v>3366777.4059213009</v>
      </c>
      <c r="CQ48" s="2">
        <f t="shared" si="45"/>
        <v>3467780.7280989401</v>
      </c>
      <c r="CR48" s="2">
        <f t="shared" si="45"/>
        <v>3571814.1499419082</v>
      </c>
      <c r="CS48" s="2">
        <f t="shared" si="45"/>
        <v>3678968.5744401654</v>
      </c>
      <c r="CT48" s="2">
        <f t="shared" si="45"/>
        <v>3789337.6316733705</v>
      </c>
      <c r="CU48" s="2">
        <f t="shared" si="45"/>
        <v>3903017.7606235719</v>
      </c>
      <c r="CV48" s="2">
        <f t="shared" ref="CV48:DZ48" si="46">CU48*(1+$AI$54)</f>
        <v>4020108.2934422791</v>
      </c>
      <c r="CW48" s="2">
        <f t="shared" si="46"/>
        <v>4140711.5422455478</v>
      </c>
      <c r="CX48" s="2">
        <f t="shared" si="46"/>
        <v>4264932.8885129141</v>
      </c>
      <c r="CY48" s="2">
        <f t="shared" si="46"/>
        <v>4392880.8751683012</v>
      </c>
      <c r="CZ48" s="2">
        <f t="shared" si="46"/>
        <v>4524667.3014233503</v>
      </c>
      <c r="DA48" s="2">
        <f t="shared" si="46"/>
        <v>4660407.3204660509</v>
      </c>
      <c r="DB48" s="2">
        <f t="shared" si="46"/>
        <v>4800219.5400800323</v>
      </c>
      <c r="DC48" s="2">
        <f t="shared" si="46"/>
        <v>4944226.126282433</v>
      </c>
      <c r="DD48" s="2">
        <f t="shared" si="46"/>
        <v>5092552.9100709064</v>
      </c>
      <c r="DE48" s="2">
        <f t="shared" si="46"/>
        <v>5245329.4973730333</v>
      </c>
      <c r="DF48" s="2">
        <f t="shared" si="46"/>
        <v>5402689.3822942246</v>
      </c>
      <c r="DG48" s="2">
        <f t="shared" si="46"/>
        <v>5564770.0637630513</v>
      </c>
      <c r="DH48" s="2">
        <f t="shared" si="46"/>
        <v>5731713.1656759428</v>
      </c>
      <c r="DI48" s="2">
        <f t="shared" si="46"/>
        <v>5903664.560646221</v>
      </c>
      <c r="DJ48" s="2">
        <f t="shared" si="46"/>
        <v>6080774.4974656077</v>
      </c>
      <c r="DK48" s="2">
        <f t="shared" si="46"/>
        <v>6263197.7323895758</v>
      </c>
      <c r="DL48" s="2">
        <f t="shared" si="46"/>
        <v>6451093.6643612636</v>
      </c>
      <c r="DM48" s="2">
        <f t="shared" si="46"/>
        <v>6644626.4742921013</v>
      </c>
      <c r="DN48" s="2">
        <f t="shared" si="46"/>
        <v>6843965.2685208647</v>
      </c>
      <c r="DO48" s="2">
        <f t="shared" si="46"/>
        <v>7049284.2265764903</v>
      </c>
      <c r="DP48" s="2">
        <f t="shared" si="46"/>
        <v>7260762.7533737849</v>
      </c>
      <c r="DQ48" s="2">
        <f t="shared" si="46"/>
        <v>7478585.6359749986</v>
      </c>
      <c r="DR48" s="2">
        <f t="shared" si="46"/>
        <v>7702943.2050542487</v>
      </c>
      <c r="DS48" s="2">
        <f t="shared" si="46"/>
        <v>7934031.5012058765</v>
      </c>
      <c r="DT48" s="2">
        <f t="shared" si="46"/>
        <v>8172052.4462420531</v>
      </c>
      <c r="DU48" s="2">
        <f t="shared" si="46"/>
        <v>8417214.0196293145</v>
      </c>
      <c r="DV48" s="2">
        <f t="shared" si="46"/>
        <v>8669730.4402181935</v>
      </c>
      <c r="DW48" s="2">
        <f t="shared" si="46"/>
        <v>8929822.3534247391</v>
      </c>
      <c r="DX48" s="2">
        <f t="shared" si="46"/>
        <v>9197717.0240274817</v>
      </c>
      <c r="DY48" s="2">
        <f t="shared" si="46"/>
        <v>9473648.5347483065</v>
      </c>
      <c r="DZ48" s="2">
        <f t="shared" si="46"/>
        <v>9757857.9907907564</v>
      </c>
    </row>
    <row r="49" spans="2:36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47">+N48/N50</f>
        <v>3.7060946271050521</v>
      </c>
      <c r="O49" s="6">
        <f t="shared" si="47"/>
        <v>4.9337349397590362</v>
      </c>
      <c r="P49" s="6">
        <f t="shared" si="47"/>
        <v>5.978706307754118</v>
      </c>
      <c r="Q49" s="6">
        <f t="shared" ref="Q49:S49" si="48">+Q48/Q50</f>
        <v>0.69042981326464903</v>
      </c>
      <c r="R49" s="6">
        <f t="shared" si="48"/>
        <v>0.7596663594655505</v>
      </c>
      <c r="S49" s="6">
        <f t="shared" si="48"/>
        <v>0.96617667820347708</v>
      </c>
      <c r="Y49" s="15">
        <f t="shared" ref="Y49:AF49" si="49">+Y48/Y50</f>
        <v>3.8469428007889546</v>
      </c>
      <c r="Z49" s="15">
        <f t="shared" si="49"/>
        <v>2.2074192261667331</v>
      </c>
      <c r="AA49" s="15">
        <f t="shared" si="49"/>
        <v>11.932638331996792</v>
      </c>
      <c r="AB49" s="15">
        <f t="shared" si="49"/>
        <v>2.8171689632968446</v>
      </c>
      <c r="AC49" s="15">
        <f t="shared" si="49"/>
        <v>4.3764160012878301</v>
      </c>
      <c r="AD49" s="15">
        <f t="shared" si="49"/>
        <v>6.7166729394719908</v>
      </c>
      <c r="AE49" s="15">
        <f t="shared" si="49"/>
        <v>9.5242425016097894</v>
      </c>
      <c r="AF49" s="15">
        <f t="shared" si="49"/>
        <v>13.481457886027043</v>
      </c>
      <c r="AG49" s="15">
        <f t="shared" ref="AG49:AH49" si="50">+AG48/AG50</f>
        <v>17.610830665872502</v>
      </c>
      <c r="AH49" s="15">
        <f t="shared" si="50"/>
        <v>22.997968951403735</v>
      </c>
      <c r="AI49" s="15"/>
    </row>
    <row r="50" spans="2:36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v>2489</v>
      </c>
      <c r="Q50" s="2">
        <v>24848</v>
      </c>
      <c r="R50" s="2">
        <f t="shared" ref="R50:S50" si="51">+Q50</f>
        <v>24848</v>
      </c>
      <c r="S50" s="2">
        <f t="shared" si="51"/>
        <v>24848</v>
      </c>
      <c r="Y50" s="2">
        <v>2535</v>
      </c>
      <c r="Z50" s="2">
        <v>2507</v>
      </c>
      <c r="AA50" s="2">
        <v>2494</v>
      </c>
      <c r="AB50" s="2">
        <f>S50</f>
        <v>24848</v>
      </c>
      <c r="AC50" s="2">
        <f>+AB50</f>
        <v>24848</v>
      </c>
      <c r="AD50" s="2">
        <f>+AC50</f>
        <v>24848</v>
      </c>
      <c r="AE50" s="2">
        <f>+AD50</f>
        <v>24848</v>
      </c>
      <c r="AF50" s="2">
        <f>+AE50</f>
        <v>24848</v>
      </c>
      <c r="AG50" s="2">
        <f t="shared" ref="AG50:AH50" si="52">+AF50</f>
        <v>24848</v>
      </c>
      <c r="AH50" s="2">
        <f t="shared" si="52"/>
        <v>24848</v>
      </c>
      <c r="AI50" s="2"/>
    </row>
    <row r="52" spans="2:36" x14ac:dyDescent="0.2">
      <c r="B52" t="s">
        <v>71</v>
      </c>
      <c r="F52" s="10"/>
      <c r="G52" s="10">
        <f t="shared" ref="G52:O52" si="53">+G38/C38-1</f>
        <v>0.52768338996602049</v>
      </c>
      <c r="H52" s="10">
        <f t="shared" si="53"/>
        <v>0.46405228758169925</v>
      </c>
      <c r="I52" s="10">
        <f t="shared" si="53"/>
        <v>3.0275088366374714E-2</v>
      </c>
      <c r="J52" s="10">
        <f t="shared" si="53"/>
        <v>-0.16500070392791777</v>
      </c>
      <c r="K52" s="10">
        <f t="shared" si="53"/>
        <v>-0.20829517205285886</v>
      </c>
      <c r="L52" s="10">
        <f t="shared" si="53"/>
        <v>-0.13223938223938225</v>
      </c>
      <c r="M52" s="10">
        <f t="shared" si="53"/>
        <v>1.0147673031026252</v>
      </c>
      <c r="N52" s="10">
        <f t="shared" si="53"/>
        <v>2.0551340414769852</v>
      </c>
      <c r="O52" s="10">
        <f t="shared" si="53"/>
        <v>2.6527846636919516</v>
      </c>
      <c r="P52" s="10">
        <f>+P38/L38-1</f>
        <v>2.6212458286985538</v>
      </c>
      <c r="Q52" s="10">
        <f t="shared" ref="Q52" si="54">+Q38/M38-1</f>
        <v>1.2240319834160065</v>
      </c>
      <c r="R52" s="10">
        <f t="shared" ref="R52" si="55">+R38/N38-1</f>
        <v>0.84142384105960266</v>
      </c>
      <c r="S52" s="10">
        <f t="shared" ref="S52" si="56">+S38/O38-1</f>
        <v>0.84765416459304155</v>
      </c>
      <c r="Z52" s="10">
        <f t="shared" ref="Z52:AH52" si="57">+Z38/Y38-1</f>
        <v>2.2293230289069932E-3</v>
      </c>
      <c r="AA52" s="10">
        <f t="shared" si="57"/>
        <v>1.2585452658115224</v>
      </c>
      <c r="AB52" s="10">
        <f t="shared" si="57"/>
        <v>1.1386247989232134</v>
      </c>
      <c r="AC52" s="10">
        <f t="shared" si="57"/>
        <v>0.5</v>
      </c>
      <c r="AD52" s="10">
        <f t="shared" si="57"/>
        <v>0.50000000000000022</v>
      </c>
      <c r="AE52" s="10">
        <f t="shared" si="57"/>
        <v>0.39999999999999991</v>
      </c>
      <c r="AF52" s="10">
        <f t="shared" si="57"/>
        <v>0.39999999999999969</v>
      </c>
      <c r="AG52" s="10">
        <f t="shared" si="57"/>
        <v>0.30000000000000004</v>
      </c>
      <c r="AH52" s="10">
        <f t="shared" si="57"/>
        <v>0.30000000000000004</v>
      </c>
      <c r="AI52" s="10"/>
      <c r="AJ52" s="10"/>
    </row>
    <row r="53" spans="2:36" x14ac:dyDescent="0.2">
      <c r="B53" t="s">
        <v>72</v>
      </c>
      <c r="D53" s="10">
        <f t="shared" ref="D53:O53" si="58">+D38/C38-1</f>
        <v>0.13152108734759138</v>
      </c>
      <c r="E53" s="10">
        <f t="shared" si="58"/>
        <v>0.14944356120826718</v>
      </c>
      <c r="F53" s="10">
        <f t="shared" si="58"/>
        <v>9.1593668357153879E-2</v>
      </c>
      <c r="G53" s="10">
        <f t="shared" si="58"/>
        <v>7.6024215120371608E-2</v>
      </c>
      <c r="H53" s="10">
        <f t="shared" si="58"/>
        <v>8.4390945963626951E-2</v>
      </c>
      <c r="I53" s="10">
        <f t="shared" si="58"/>
        <v>-0.19111969111969107</v>
      </c>
      <c r="J53" s="10">
        <f t="shared" si="58"/>
        <v>-0.11530429594272074</v>
      </c>
      <c r="K53" s="10">
        <f t="shared" si="58"/>
        <v>2.0232675771370667E-2</v>
      </c>
      <c r="L53" s="10">
        <f t="shared" si="58"/>
        <v>0.1885638737398776</v>
      </c>
      <c r="M53" s="10">
        <f t="shared" si="58"/>
        <v>0.87805895439377091</v>
      </c>
      <c r="N53" s="10">
        <f t="shared" si="58"/>
        <v>0.34152661582882948</v>
      </c>
      <c r="O53" s="10">
        <f t="shared" si="58"/>
        <v>0.21981236203090515</v>
      </c>
      <c r="P53" s="10">
        <f>+P38/O38-1</f>
        <v>0.17830158801972584</v>
      </c>
      <c r="Q53" s="10">
        <f t="shared" ref="Q53" si="59">+Q38/P38-1</f>
        <v>0.1534326524343419</v>
      </c>
      <c r="R53" s="10">
        <f t="shared" ref="R53" si="60">+R38/Q38-1</f>
        <v>0.1107390146471372</v>
      </c>
      <c r="S53" s="10">
        <f t="shared" ref="S53" si="61">+S38/R38-1</f>
        <v>0.22393950837064613</v>
      </c>
    </row>
    <row r="54" spans="2:36" x14ac:dyDescent="0.2">
      <c r="B54" t="s">
        <v>73</v>
      </c>
      <c r="E54" s="10">
        <f t="shared" ref="E54:O54" si="62">+E36/D36-1</f>
        <v>0.15609756097560967</v>
      </c>
      <c r="F54" s="10">
        <f t="shared" si="62"/>
        <v>0.240506329113924</v>
      </c>
      <c r="G54" s="10">
        <f t="shared" si="62"/>
        <v>0.10884353741496589</v>
      </c>
      <c r="H54" s="10">
        <f t="shared" si="62"/>
        <v>0.15030674846625769</v>
      </c>
      <c r="I54" s="10">
        <f t="shared" si="62"/>
        <v>1.6000000000000014E-2</v>
      </c>
      <c r="J54" s="10">
        <f t="shared" si="62"/>
        <v>6.0367454068241955E-3</v>
      </c>
      <c r="K54" s="10">
        <f t="shared" si="62"/>
        <v>-5.5570049569527824E-2</v>
      </c>
      <c r="L54" s="10">
        <f t="shared" si="62"/>
        <v>0.18342541436464099</v>
      </c>
      <c r="M54" s="10">
        <f t="shared" si="62"/>
        <v>1.4096638655462184</v>
      </c>
      <c r="N54" s="10">
        <f t="shared" si="62"/>
        <v>0.40598663179308336</v>
      </c>
      <c r="O54" s="10">
        <f t="shared" si="62"/>
        <v>0.26677690505718621</v>
      </c>
      <c r="P54" s="10">
        <f>+P36/O36-1</f>
        <v>0.22718372674861298</v>
      </c>
      <c r="Q54" s="10">
        <f t="shared" ref="Q54" si="63">+Q36/P36-1</f>
        <v>0.2232415902140672</v>
      </c>
      <c r="R54" s="10">
        <f t="shared" ref="R54" si="64">+R36/Q36-1</f>
        <v>6.5217391304347894E-2</v>
      </c>
      <c r="S54" s="10">
        <f t="shared" ref="S54" si="65">+S36/R36-1</f>
        <v>0.25</v>
      </c>
      <c r="AH54" t="s">
        <v>168</v>
      </c>
      <c r="AI54" s="10">
        <v>0.03</v>
      </c>
    </row>
    <row r="55" spans="2:36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 t="shared" ref="L55:Q55" si="66">L40/L38</f>
        <v>0.64627363737486099</v>
      </c>
      <c r="M55" s="7">
        <f t="shared" si="66"/>
        <v>0.7005256533649219</v>
      </c>
      <c r="N55" s="7">
        <f t="shared" si="66"/>
        <v>0.73951434878587197</v>
      </c>
      <c r="O55" s="7">
        <f t="shared" si="66"/>
        <v>0.75967063294575399</v>
      </c>
      <c r="P55" s="7">
        <f t="shared" si="66"/>
        <v>0.78352019659038552</v>
      </c>
      <c r="Q55" s="7">
        <f t="shared" si="66"/>
        <v>0.77</v>
      </c>
      <c r="R55" s="7">
        <f t="shared" ref="R55:S55" si="67">R40/R38</f>
        <v>0.77</v>
      </c>
      <c r="S55" s="7">
        <f t="shared" si="67"/>
        <v>0.78</v>
      </c>
      <c r="Y55" s="7">
        <f t="shared" ref="Y55:AF55" si="68">Y40/Y38</f>
        <v>0.64929033216913135</v>
      </c>
      <c r="Z55" s="7">
        <f t="shared" si="68"/>
        <v>0.56928894490991322</v>
      </c>
      <c r="AA55" s="7">
        <f t="shared" si="68"/>
        <v>0.72717573290436954</v>
      </c>
      <c r="AB55" s="7">
        <f t="shared" si="68"/>
        <v>0.77583706413343223</v>
      </c>
      <c r="AC55" s="7">
        <f t="shared" si="68"/>
        <v>0.77999999999999992</v>
      </c>
      <c r="AD55" s="7">
        <f t="shared" si="68"/>
        <v>0.78</v>
      </c>
      <c r="AE55" s="7">
        <f t="shared" si="68"/>
        <v>0.78</v>
      </c>
      <c r="AF55" s="7">
        <f t="shared" si="68"/>
        <v>0.78</v>
      </c>
      <c r="AH55" t="s">
        <v>166</v>
      </c>
      <c r="AI55" s="10">
        <v>0.09</v>
      </c>
    </row>
    <row r="56" spans="2:36" x14ac:dyDescent="0.2">
      <c r="B56" t="s">
        <v>24</v>
      </c>
      <c r="C56" s="7">
        <f t="shared" ref="C56:H56" si="69">C36/C38</f>
        <v>0</v>
      </c>
      <c r="D56" s="7">
        <f t="shared" si="69"/>
        <v>0.36212683271506801</v>
      </c>
      <c r="E56" s="7">
        <f t="shared" si="69"/>
        <v>0.36422314430613184</v>
      </c>
      <c r="F56" s="7">
        <f t="shared" si="69"/>
        <v>0.41390961565535689</v>
      </c>
      <c r="G56" s="7">
        <f t="shared" si="69"/>
        <v>0.42653408347507521</v>
      </c>
      <c r="H56" s="7">
        <f t="shared" si="69"/>
        <v>0.45246138996138996</v>
      </c>
      <c r="I56" s="7">
        <f t="shared" ref="I56:N56" si="70">I36/I38</f>
        <v>0.56831742243436756</v>
      </c>
      <c r="J56" s="7">
        <f t="shared" si="70"/>
        <v>0.64626538526386779</v>
      </c>
      <c r="K56" s="7">
        <f t="shared" si="70"/>
        <v>0.59824822343414308</v>
      </c>
      <c r="L56" s="7">
        <f t="shared" si="70"/>
        <v>0.59566184649610676</v>
      </c>
      <c r="M56" s="7">
        <f t="shared" si="70"/>
        <v>0.76427037832235134</v>
      </c>
      <c r="N56" s="7">
        <f t="shared" si="70"/>
        <v>0.80099337748344368</v>
      </c>
      <c r="O56" s="7">
        <f t="shared" ref="O56:S56" si="71">O36/O38</f>
        <v>0.83183278288015206</v>
      </c>
      <c r="P56" s="7">
        <f>P36/P38</f>
        <v>0.86634157579480875</v>
      </c>
      <c r="Q56" s="7">
        <f t="shared" si="71"/>
        <v>0.91877496671105197</v>
      </c>
      <c r="R56" s="7">
        <f t="shared" si="71"/>
        <v>0.88112064159968351</v>
      </c>
      <c r="S56" s="7">
        <f t="shared" si="71"/>
        <v>0.89988172982979386</v>
      </c>
      <c r="AH56" t="s">
        <v>167</v>
      </c>
      <c r="AI56" s="2">
        <f>NPV(AI55,AC48:DZ48)+Main!K5-Main!K6</f>
        <v>7131023.5494701201</v>
      </c>
    </row>
    <row r="57" spans="2:36" x14ac:dyDescent="0.2">
      <c r="AH57" t="s">
        <v>13</v>
      </c>
      <c r="AI57" s="15">
        <f>AI56/Main!K3</f>
        <v>289.87900607602114</v>
      </c>
    </row>
    <row r="58" spans="2:36" x14ac:dyDescent="0.2">
      <c r="B58" t="s">
        <v>164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72">+P59-P72</f>
        <v>21728</v>
      </c>
      <c r="Q58" s="2">
        <f t="shared" si="72"/>
        <v>0</v>
      </c>
      <c r="R58" s="2">
        <f t="shared" si="72"/>
        <v>0</v>
      </c>
      <c r="S58" s="2">
        <f t="shared" si="72"/>
        <v>0</v>
      </c>
    </row>
    <row r="59" spans="2:36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P59" s="2">
        <f>7587+23851</f>
        <v>31438</v>
      </c>
    </row>
    <row r="60" spans="2:36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  <c r="P60" s="2">
        <v>12365</v>
      </c>
    </row>
    <row r="61" spans="2:36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  <c r="P61" s="2">
        <v>5864</v>
      </c>
    </row>
    <row r="62" spans="2:36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  <c r="P62" s="2">
        <v>4062</v>
      </c>
    </row>
    <row r="63" spans="2:36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  <c r="P63" s="2">
        <v>4006</v>
      </c>
    </row>
    <row r="64" spans="2:36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  <c r="P64" s="2">
        <v>1532</v>
      </c>
    </row>
    <row r="65" spans="2:16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P65" s="2">
        <f>4453+986</f>
        <v>5439</v>
      </c>
    </row>
    <row r="66" spans="2:16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  <c r="P66" s="2">
        <v>7798</v>
      </c>
    </row>
    <row r="67" spans="2:16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  <c r="P67" s="2">
        <v>4568</v>
      </c>
    </row>
    <row r="68" spans="2:16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73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P68" s="2">
        <f>SUM(P59:P67)</f>
        <v>77072</v>
      </c>
    </row>
    <row r="69" spans="2:16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6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  <c r="P70" s="2">
        <v>2715</v>
      </c>
    </row>
    <row r="71" spans="2:16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  <c r="P71" s="2">
        <v>11258</v>
      </c>
    </row>
    <row r="72" spans="2:16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P72" s="2">
        <f>1250+8460</f>
        <v>9710</v>
      </c>
    </row>
    <row r="73" spans="2:16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  <c r="P73" s="2">
        <v>1281</v>
      </c>
    </row>
    <row r="74" spans="2:16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  <c r="P74" s="2">
        <v>2966</v>
      </c>
    </row>
    <row r="75" spans="2:16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  <c r="P75" s="2">
        <v>49142</v>
      </c>
    </row>
    <row r="76" spans="2:16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74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P76" s="2">
        <f>SUM(P70:P75)</f>
        <v>77072</v>
      </c>
    </row>
    <row r="77" spans="2:16" x14ac:dyDescent="0.2">
      <c r="L77" s="5"/>
      <c r="M77" s="2"/>
      <c r="N77" s="2"/>
    </row>
    <row r="78" spans="2:16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  <c r="P78" s="5">
        <f>P48</f>
        <v>14881</v>
      </c>
    </row>
    <row r="79" spans="2:16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  <c r="P79">
        <v>1011</v>
      </c>
    </row>
    <row r="80" spans="2:16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  <c r="P80">
        <v>410</v>
      </c>
    </row>
    <row r="81" spans="2:16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  <c r="P81">
        <v>-69</v>
      </c>
    </row>
    <row r="82" spans="2:16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  <c r="P82">
        <v>-1577</v>
      </c>
    </row>
    <row r="83" spans="2:16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  <c r="P83">
        <v>-145</v>
      </c>
    </row>
    <row r="84" spans="2:16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  <c r="P84">
        <f>-2366-577-726-22+4202+323</f>
        <v>834</v>
      </c>
    </row>
    <row r="85" spans="2:16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  <c r="P85" s="5">
        <f>SUM(P78:P84)</f>
        <v>15345</v>
      </c>
    </row>
    <row r="86" spans="2:16" x14ac:dyDescent="0.2">
      <c r="L86" s="5"/>
      <c r="M86" s="2"/>
      <c r="N86" s="2"/>
    </row>
    <row r="87" spans="2:16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  <c r="P87" s="2">
        <f>4004+149-9303-135</f>
        <v>-5285</v>
      </c>
    </row>
    <row r="88" spans="2:16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  <c r="P88" s="2">
        <v>-369</v>
      </c>
    </row>
    <row r="89" spans="2:16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  <c r="P89" s="2">
        <v>-39</v>
      </c>
    </row>
    <row r="90" spans="2:16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  <c r="P90" s="5">
        <f>SUM(P87:P89)</f>
        <v>-5693</v>
      </c>
    </row>
    <row r="92" spans="2:16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  <c r="P92">
        <v>285</v>
      </c>
    </row>
    <row r="93" spans="2:16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  <c r="P93">
        <v>-1752</v>
      </c>
    </row>
    <row r="94" spans="2:16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  <c r="P94">
        <v>-98</v>
      </c>
    </row>
    <row r="95" spans="2:16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  <c r="P95">
        <v>-7740</v>
      </c>
    </row>
    <row r="96" spans="2:16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  <c r="P96"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  <c r="P97">
        <v>-40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  <c r="P98" s="5">
        <f>SUM(P92:P97)</f>
        <v>-9345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  <c r="P99" s="5">
        <f>P98+P90+P85</f>
        <v>307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  <c r="P101" s="5">
        <f>(P60/P38)*90</f>
        <v>42.729611426816156</v>
      </c>
    </row>
    <row r="103" spans="2:37" x14ac:dyDescent="0.2">
      <c r="B103" t="s">
        <v>148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149</v>
      </c>
      <c r="P104" s="14">
        <v>24.69</v>
      </c>
      <c r="Q104" s="14">
        <v>26.8</v>
      </c>
      <c r="R104" s="14">
        <v>29.36</v>
      </c>
      <c r="S104" s="14">
        <v>31.95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150</v>
      </c>
      <c r="F4" t="s">
        <v>155</v>
      </c>
    </row>
    <row r="5" spans="1:11" x14ac:dyDescent="0.2">
      <c r="B5" t="s">
        <v>151</v>
      </c>
      <c r="C5">
        <v>24690</v>
      </c>
      <c r="F5" t="s">
        <v>151</v>
      </c>
      <c r="G5">
        <v>26820</v>
      </c>
    </row>
    <row r="6" spans="1:11" x14ac:dyDescent="0.2">
      <c r="B6" t="s">
        <v>152</v>
      </c>
      <c r="C6">
        <v>23520</v>
      </c>
    </row>
    <row r="7" spans="1:11" x14ac:dyDescent="0.2">
      <c r="B7" t="s">
        <v>153</v>
      </c>
      <c r="C7">
        <v>24480</v>
      </c>
    </row>
    <row r="10" spans="1:11" x14ac:dyDescent="0.2">
      <c r="B10" t="s">
        <v>154</v>
      </c>
      <c r="C10">
        <v>24690</v>
      </c>
      <c r="D10" s="10">
        <v>-0.1</v>
      </c>
      <c r="F10" t="s">
        <v>154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156</v>
      </c>
      <c r="C20" s="15">
        <v>954</v>
      </c>
    </row>
    <row r="21" spans="2:11" x14ac:dyDescent="0.2">
      <c r="B21" t="s">
        <v>157</v>
      </c>
      <c r="C21" s="15">
        <v>39</v>
      </c>
    </row>
    <row r="22" spans="2:11" x14ac:dyDescent="0.2">
      <c r="B22" t="s">
        <v>158</v>
      </c>
      <c r="C22" s="15">
        <v>40</v>
      </c>
    </row>
    <row r="23" spans="2:11" x14ac:dyDescent="0.2">
      <c r="B23" t="s">
        <v>159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2024-09-08T16:52:42Z</dcterms:modified>
</cp:coreProperties>
</file>