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4CBCB3-946F-47ED-89BB-B91B2E093519}" xr6:coauthVersionLast="47" xr6:coauthVersionMax="47" xr10:uidLastSave="{00000000-0000-0000-0000-000000000000}"/>
  <bookViews>
    <workbookView xWindow="51780" yWindow="3660" windowWidth="16620" windowHeight="1179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4" i="2" l="1"/>
  <c r="Q82" i="2"/>
  <c r="Q81" i="2"/>
  <c r="Q78" i="2"/>
  <c r="Q77" i="2"/>
  <c r="Q72" i="2"/>
  <c r="Q71" i="2"/>
  <c r="P84" i="2"/>
  <c r="P81" i="2"/>
  <c r="P82" i="2" s="1"/>
  <c r="P77" i="2"/>
  <c r="P78" i="2" s="1"/>
  <c r="P71" i="2"/>
  <c r="P72" i="2" s="1"/>
  <c r="Q62" i="2"/>
  <c r="Q46" i="2"/>
  <c r="Q53" i="2" s="1"/>
  <c r="R27" i="2" l="1"/>
  <c r="R26" i="2"/>
  <c r="R25" i="2"/>
  <c r="Q42" i="2"/>
  <c r="AV35" i="2"/>
  <c r="Q30" i="2"/>
  <c r="Q21" i="2"/>
  <c r="AW30" i="2"/>
  <c r="P62" i="2"/>
  <c r="P46" i="2"/>
  <c r="P45" i="2" s="1"/>
  <c r="R35" i="2"/>
  <c r="S35" i="2" s="1"/>
  <c r="T35" i="2" s="1"/>
  <c r="U35" i="2" s="1"/>
  <c r="V35" i="2" s="1"/>
  <c r="W35" i="2" s="1"/>
  <c r="Q28" i="2"/>
  <c r="T27" i="2"/>
  <c r="S27" i="2"/>
  <c r="W27" i="2" s="1"/>
  <c r="U27" i="2"/>
  <c r="U26" i="2"/>
  <c r="T26" i="2"/>
  <c r="S26" i="2"/>
  <c r="W26" i="2" s="1"/>
  <c r="V26" i="2"/>
  <c r="U25" i="2"/>
  <c r="T25" i="2"/>
  <c r="S25" i="2"/>
  <c r="W25" i="2" s="1"/>
  <c r="Q41" i="2"/>
  <c r="Q40" i="2"/>
  <c r="U17" i="2"/>
  <c r="T17" i="2"/>
  <c r="S17" i="2"/>
  <c r="W17" i="2" s="1"/>
  <c r="R17" i="2"/>
  <c r="V17" i="2" s="1"/>
  <c r="T16" i="2"/>
  <c r="T41" i="2" s="1"/>
  <c r="S16" i="2"/>
  <c r="W16" i="2" s="1"/>
  <c r="W41" i="2" s="1"/>
  <c r="R16" i="2"/>
  <c r="V16" i="2" s="1"/>
  <c r="V41" i="2" s="1"/>
  <c r="U16" i="2"/>
  <c r="U41" i="2" s="1"/>
  <c r="U15" i="2"/>
  <c r="U40" i="2" s="1"/>
  <c r="T15" i="2"/>
  <c r="T40" i="2" s="1"/>
  <c r="S15" i="2"/>
  <c r="W15" i="2" s="1"/>
  <c r="W40" i="2" s="1"/>
  <c r="R15" i="2"/>
  <c r="V15" i="2" s="1"/>
  <c r="V40" i="2" s="1"/>
  <c r="O41" i="2"/>
  <c r="N41" i="2"/>
  <c r="M41" i="2"/>
  <c r="L41" i="2"/>
  <c r="K41" i="2"/>
  <c r="J41" i="2"/>
  <c r="I41" i="2"/>
  <c r="H41" i="2"/>
  <c r="G41" i="2"/>
  <c r="O40" i="2"/>
  <c r="N40" i="2"/>
  <c r="M40" i="2"/>
  <c r="L40" i="2"/>
  <c r="K40" i="2"/>
  <c r="J40" i="2"/>
  <c r="I40" i="2"/>
  <c r="H40" i="2"/>
  <c r="G40" i="2"/>
  <c r="P40" i="2"/>
  <c r="P41" i="2"/>
  <c r="U14" i="2"/>
  <c r="U39" i="2" s="1"/>
  <c r="T14" i="2"/>
  <c r="T39" i="2" s="1"/>
  <c r="S14" i="2"/>
  <c r="W14" i="2" s="1"/>
  <c r="W39" i="2" s="1"/>
  <c r="R14" i="2"/>
  <c r="V14" i="2" s="1"/>
  <c r="V39" i="2" s="1"/>
  <c r="Q39" i="2"/>
  <c r="Q38" i="2"/>
  <c r="O39" i="2"/>
  <c r="N39" i="2"/>
  <c r="M39" i="2"/>
  <c r="L39" i="2"/>
  <c r="K39" i="2"/>
  <c r="J39" i="2"/>
  <c r="I39" i="2"/>
  <c r="H39" i="2"/>
  <c r="G39" i="2"/>
  <c r="P39" i="2"/>
  <c r="U13" i="2"/>
  <c r="T13" i="2"/>
  <c r="S13" i="2"/>
  <c r="W13" i="2" s="1"/>
  <c r="R13" i="2"/>
  <c r="V13" i="2" s="1"/>
  <c r="U12" i="2"/>
  <c r="T12" i="2"/>
  <c r="T38" i="2" s="1"/>
  <c r="S12" i="2"/>
  <c r="W12" i="2" s="1"/>
  <c r="W38" i="2" s="1"/>
  <c r="R12" i="2"/>
  <c r="V12" i="2" s="1"/>
  <c r="V38" i="2" s="1"/>
  <c r="J38" i="2"/>
  <c r="I38" i="2"/>
  <c r="H38" i="2"/>
  <c r="G38" i="2"/>
  <c r="O38" i="2"/>
  <c r="N38" i="2"/>
  <c r="M38" i="2"/>
  <c r="L38" i="2"/>
  <c r="K38" i="2"/>
  <c r="P38" i="2"/>
  <c r="U10" i="2"/>
  <c r="U42" i="2" s="1"/>
  <c r="T10" i="2"/>
  <c r="S10" i="2"/>
  <c r="W10" i="2" s="1"/>
  <c r="W42" i="2" s="1"/>
  <c r="R10" i="2"/>
  <c r="V10" i="2" s="1"/>
  <c r="V42" i="2" s="1"/>
  <c r="AP32" i="2"/>
  <c r="AP30" i="2"/>
  <c r="AQ42" i="2"/>
  <c r="AP42" i="2"/>
  <c r="AO42" i="2"/>
  <c r="AO32" i="2"/>
  <c r="AO30" i="2"/>
  <c r="AN32" i="2"/>
  <c r="AN30" i="2"/>
  <c r="AP28" i="2"/>
  <c r="AO28" i="2"/>
  <c r="AN28" i="2"/>
  <c r="AP21" i="2"/>
  <c r="AP24" i="2" s="1"/>
  <c r="AP43" i="2" s="1"/>
  <c r="AO21" i="2"/>
  <c r="AO24" i="2" s="1"/>
  <c r="AO43" i="2" s="1"/>
  <c r="AN21" i="2"/>
  <c r="AN24" i="2" s="1"/>
  <c r="AN43" i="2" s="1"/>
  <c r="AM37" i="2"/>
  <c r="AR16" i="2"/>
  <c r="AR15" i="2"/>
  <c r="AR14" i="2"/>
  <c r="AR13" i="2"/>
  <c r="AR12" i="2"/>
  <c r="AR42" i="2"/>
  <c r="AQ32" i="2"/>
  <c r="AQ30" i="2"/>
  <c r="AQ28" i="2"/>
  <c r="AQ21" i="2"/>
  <c r="AQ24" i="2" s="1"/>
  <c r="AR32" i="2"/>
  <c r="AR30" i="2"/>
  <c r="AS35" i="2"/>
  <c r="AS27" i="2"/>
  <c r="AS26" i="2"/>
  <c r="AS25" i="2"/>
  <c r="AS23" i="2"/>
  <c r="AS22" i="2"/>
  <c r="AR28" i="2"/>
  <c r="AR21" i="2"/>
  <c r="AR24" i="2" s="1"/>
  <c r="AR43" i="2" s="1"/>
  <c r="AS20" i="2"/>
  <c r="AS19" i="2"/>
  <c r="AS17" i="2"/>
  <c r="AS16" i="2"/>
  <c r="AS15" i="2"/>
  <c r="AS14" i="2"/>
  <c r="AS13" i="2"/>
  <c r="AS12" i="2"/>
  <c r="AS10" i="2"/>
  <c r="AS42" i="2" s="1"/>
  <c r="AS7" i="2"/>
  <c r="AS4" i="2"/>
  <c r="AT35" i="2"/>
  <c r="AT27" i="2"/>
  <c r="AT26" i="2"/>
  <c r="AT25" i="2"/>
  <c r="AT23" i="2"/>
  <c r="AT22" i="2"/>
  <c r="AT7" i="2"/>
  <c r="AT4" i="2"/>
  <c r="AT10" i="2"/>
  <c r="AT17" i="2"/>
  <c r="AT16" i="2"/>
  <c r="AT15" i="2"/>
  <c r="AT14" i="2"/>
  <c r="AT13" i="2"/>
  <c r="AT12" i="2"/>
  <c r="AT20" i="2"/>
  <c r="AT19" i="2"/>
  <c r="AU35" i="2"/>
  <c r="AU27" i="2"/>
  <c r="AU26" i="2"/>
  <c r="AU25" i="2"/>
  <c r="AU23" i="2"/>
  <c r="AU22" i="2"/>
  <c r="AU20" i="2"/>
  <c r="AU19" i="2"/>
  <c r="AU17" i="2"/>
  <c r="AU16" i="2"/>
  <c r="AU15" i="2"/>
  <c r="AU14" i="2"/>
  <c r="AU13" i="2"/>
  <c r="AU12" i="2"/>
  <c r="AU10" i="2"/>
  <c r="AU7" i="2"/>
  <c r="AU4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E32" i="2"/>
  <c r="E30" i="2"/>
  <c r="E28" i="2"/>
  <c r="E21" i="2"/>
  <c r="E24" i="2" s="1"/>
  <c r="G42" i="2"/>
  <c r="C32" i="2"/>
  <c r="C30" i="2"/>
  <c r="C28" i="2"/>
  <c r="C21" i="2"/>
  <c r="C24" i="2" s="1"/>
  <c r="C43" i="2" s="1"/>
  <c r="G32" i="2"/>
  <c r="G30" i="2"/>
  <c r="G28" i="2"/>
  <c r="G21" i="2"/>
  <c r="G24" i="2" s="1"/>
  <c r="J42" i="2"/>
  <c r="I42" i="2"/>
  <c r="H42" i="2"/>
  <c r="K42" i="2"/>
  <c r="D32" i="2"/>
  <c r="D30" i="2"/>
  <c r="D28" i="2"/>
  <c r="D21" i="2"/>
  <c r="D24" i="2" s="1"/>
  <c r="D43" i="2" s="1"/>
  <c r="L42" i="2"/>
  <c r="H32" i="2"/>
  <c r="H30" i="2"/>
  <c r="H28" i="2"/>
  <c r="H21" i="2"/>
  <c r="H24" i="2" s="1"/>
  <c r="F32" i="2"/>
  <c r="F30" i="2"/>
  <c r="F28" i="2"/>
  <c r="F21" i="2"/>
  <c r="F24" i="2" s="1"/>
  <c r="M42" i="2"/>
  <c r="N42" i="2"/>
  <c r="I32" i="2"/>
  <c r="I30" i="2"/>
  <c r="I28" i="2"/>
  <c r="I21" i="2"/>
  <c r="I24" i="2" s="1"/>
  <c r="M32" i="2"/>
  <c r="M30" i="2"/>
  <c r="O42" i="2"/>
  <c r="K32" i="2"/>
  <c r="K30" i="2"/>
  <c r="K28" i="2"/>
  <c r="O32" i="2"/>
  <c r="O30" i="2"/>
  <c r="J32" i="2"/>
  <c r="J30" i="2"/>
  <c r="J28" i="2"/>
  <c r="N32" i="2"/>
  <c r="N30" i="2"/>
  <c r="P42" i="2"/>
  <c r="P32" i="2"/>
  <c r="L32" i="2"/>
  <c r="P30" i="2"/>
  <c r="L30" i="2"/>
  <c r="P28" i="2"/>
  <c r="O28" i="2"/>
  <c r="N28" i="2"/>
  <c r="M28" i="2"/>
  <c r="L28" i="2"/>
  <c r="O21" i="2"/>
  <c r="O24" i="2" s="1"/>
  <c r="N21" i="2"/>
  <c r="N24" i="2" s="1"/>
  <c r="M21" i="2"/>
  <c r="M24" i="2" s="1"/>
  <c r="L21" i="2"/>
  <c r="L24" i="2" s="1"/>
  <c r="K21" i="2"/>
  <c r="K24" i="2" s="1"/>
  <c r="K43" i="2" s="1"/>
  <c r="J21" i="2"/>
  <c r="J24" i="2" s="1"/>
  <c r="J43" i="2" s="1"/>
  <c r="P21" i="2"/>
  <c r="P24" i="2" s="1"/>
  <c r="K4" i="1"/>
  <c r="K7" i="1" s="1"/>
  <c r="R28" i="2" l="1"/>
  <c r="AV30" i="2"/>
  <c r="V25" i="2"/>
  <c r="AN29" i="2"/>
  <c r="AN31" i="2" s="1"/>
  <c r="AW15" i="2"/>
  <c r="AV16" i="2"/>
  <c r="AW14" i="2"/>
  <c r="AX14" i="2" s="1"/>
  <c r="AO29" i="2"/>
  <c r="S22" i="2"/>
  <c r="AW10" i="2"/>
  <c r="T22" i="2"/>
  <c r="S42" i="2"/>
  <c r="W28" i="2"/>
  <c r="T42" i="2"/>
  <c r="Q37" i="2"/>
  <c r="V22" i="2"/>
  <c r="T28" i="2"/>
  <c r="W22" i="2"/>
  <c r="U28" i="2"/>
  <c r="AW26" i="2"/>
  <c r="AX26" i="2" s="1"/>
  <c r="AY26" i="2" s="1"/>
  <c r="AZ26" i="2" s="1"/>
  <c r="BA26" i="2" s="1"/>
  <c r="BB26" i="2" s="1"/>
  <c r="BC26" i="2" s="1"/>
  <c r="BD26" i="2" s="1"/>
  <c r="R22" i="2"/>
  <c r="AV22" i="2" s="1"/>
  <c r="T23" i="2"/>
  <c r="AV10" i="2"/>
  <c r="AV42" i="2" s="1"/>
  <c r="W23" i="2"/>
  <c r="AW17" i="2"/>
  <c r="AX17" i="2" s="1"/>
  <c r="AY17" i="2" s="1"/>
  <c r="AZ17" i="2" s="1"/>
  <c r="BA17" i="2" s="1"/>
  <c r="BB17" i="2" s="1"/>
  <c r="BC17" i="2" s="1"/>
  <c r="BD17" i="2" s="1"/>
  <c r="AV27" i="2"/>
  <c r="R40" i="2"/>
  <c r="U22" i="2"/>
  <c r="S40" i="2"/>
  <c r="V23" i="2"/>
  <c r="AV12" i="2"/>
  <c r="AV38" i="2" s="1"/>
  <c r="AV13" i="2"/>
  <c r="U23" i="2"/>
  <c r="AV14" i="2"/>
  <c r="AV39" i="2" s="1"/>
  <c r="S23" i="2"/>
  <c r="R41" i="2"/>
  <c r="R39" i="2"/>
  <c r="R23" i="2"/>
  <c r="AV23" i="2" s="1"/>
  <c r="S39" i="2"/>
  <c r="R42" i="2"/>
  <c r="AV15" i="2"/>
  <c r="R21" i="2"/>
  <c r="R37" i="2" s="1"/>
  <c r="R38" i="2"/>
  <c r="V21" i="2"/>
  <c r="AV40" i="2"/>
  <c r="W21" i="2"/>
  <c r="AW40" i="2"/>
  <c r="AV41" i="2"/>
  <c r="AW13" i="2"/>
  <c r="AX13" i="2" s="1"/>
  <c r="AY13" i="2" s="1"/>
  <c r="AZ13" i="2" s="1"/>
  <c r="BA13" i="2" s="1"/>
  <c r="BB13" i="2" s="1"/>
  <c r="BC13" i="2" s="1"/>
  <c r="BD13" i="2" s="1"/>
  <c r="P53" i="2"/>
  <c r="AV25" i="2"/>
  <c r="S28" i="2"/>
  <c r="S41" i="2"/>
  <c r="AP29" i="2"/>
  <c r="AP31" i="2" s="1"/>
  <c r="AP33" i="2" s="1"/>
  <c r="AP34" i="2" s="1"/>
  <c r="S21" i="2"/>
  <c r="AN33" i="2"/>
  <c r="AN34" i="2" s="1"/>
  <c r="T21" i="2"/>
  <c r="AO31" i="2"/>
  <c r="AO33" i="2" s="1"/>
  <c r="AO34" i="2" s="1"/>
  <c r="AX10" i="2"/>
  <c r="AX42" i="2" s="1"/>
  <c r="AW16" i="2"/>
  <c r="AW41" i="2" s="1"/>
  <c r="S38" i="2"/>
  <c r="AV17" i="2"/>
  <c r="V27" i="2"/>
  <c r="AW27" i="2" s="1"/>
  <c r="AX27" i="2" s="1"/>
  <c r="AY27" i="2" s="1"/>
  <c r="AZ27" i="2" s="1"/>
  <c r="BA27" i="2" s="1"/>
  <c r="BB27" i="2" s="1"/>
  <c r="BC27" i="2" s="1"/>
  <c r="BD27" i="2" s="1"/>
  <c r="AV26" i="2"/>
  <c r="AW25" i="2"/>
  <c r="AX25" i="2" s="1"/>
  <c r="AY25" i="2" s="1"/>
  <c r="AZ25" i="2" s="1"/>
  <c r="BA25" i="2" s="1"/>
  <c r="V28" i="2"/>
  <c r="AX15" i="2"/>
  <c r="U21" i="2"/>
  <c r="U37" i="2" s="1"/>
  <c r="AY14" i="2"/>
  <c r="AX39" i="2"/>
  <c r="U38" i="2"/>
  <c r="AW12" i="2"/>
  <c r="AW35" i="2"/>
  <c r="AX35" i="2" s="1"/>
  <c r="AY35" i="2" s="1"/>
  <c r="AZ35" i="2" s="1"/>
  <c r="BA35" i="2" s="1"/>
  <c r="BB35" i="2" s="1"/>
  <c r="BC35" i="2" s="1"/>
  <c r="BD35" i="2" s="1"/>
  <c r="Q24" i="2"/>
  <c r="Q43" i="2" s="1"/>
  <c r="AT41" i="2"/>
  <c r="AS38" i="2"/>
  <c r="AT39" i="2"/>
  <c r="AS40" i="2"/>
  <c r="AO37" i="2"/>
  <c r="AU41" i="2"/>
  <c r="AU40" i="2"/>
  <c r="AU21" i="2"/>
  <c r="AU24" i="2" s="1"/>
  <c r="AU43" i="2" s="1"/>
  <c r="AP37" i="2"/>
  <c r="AT40" i="2"/>
  <c r="AS41" i="2"/>
  <c r="AT21" i="2"/>
  <c r="AT24" i="2" s="1"/>
  <c r="AT43" i="2" s="1"/>
  <c r="AS39" i="2"/>
  <c r="AU38" i="2"/>
  <c r="AQ37" i="2"/>
  <c r="AU39" i="2"/>
  <c r="AN37" i="2"/>
  <c r="AS28" i="2"/>
  <c r="AT38" i="2"/>
  <c r="AT30" i="2"/>
  <c r="AU42" i="2"/>
  <c r="AU28" i="2"/>
  <c r="AT32" i="2"/>
  <c r="AT42" i="2"/>
  <c r="AS21" i="2"/>
  <c r="AS24" i="2" s="1"/>
  <c r="AS43" i="2" s="1"/>
  <c r="AS30" i="2"/>
  <c r="AS32" i="2"/>
  <c r="AU30" i="2"/>
  <c r="AU32" i="2"/>
  <c r="AT28" i="2"/>
  <c r="I37" i="2"/>
  <c r="H37" i="2"/>
  <c r="G37" i="2"/>
  <c r="AR37" i="2"/>
  <c r="AQ29" i="2"/>
  <c r="AQ31" i="2" s="1"/>
  <c r="AQ33" i="2" s="1"/>
  <c r="AQ34" i="2" s="1"/>
  <c r="AQ43" i="2"/>
  <c r="AR29" i="2"/>
  <c r="AR31" i="2" s="1"/>
  <c r="AR33" i="2" s="1"/>
  <c r="AR34" i="2" s="1"/>
  <c r="E43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3" i="2"/>
  <c r="F29" i="2"/>
  <c r="F31" i="2" s="1"/>
  <c r="F33" i="2" s="1"/>
  <c r="F34" i="2" s="1"/>
  <c r="K37" i="2"/>
  <c r="D29" i="2"/>
  <c r="D31" i="2" s="1"/>
  <c r="D33" i="2" s="1"/>
  <c r="D34" i="2" s="1"/>
  <c r="F43" i="2"/>
  <c r="L37" i="2"/>
  <c r="H29" i="2"/>
  <c r="H31" i="2" s="1"/>
  <c r="H33" i="2" s="1"/>
  <c r="H34" i="2" s="1"/>
  <c r="H43" i="2"/>
  <c r="N37" i="2"/>
  <c r="M37" i="2"/>
  <c r="I29" i="2"/>
  <c r="I31" i="2" s="1"/>
  <c r="I33" i="2" s="1"/>
  <c r="I34" i="2" s="1"/>
  <c r="O37" i="2"/>
  <c r="I43" i="2"/>
  <c r="J29" i="2"/>
  <c r="J31" i="2" s="1"/>
  <c r="J33" i="2" s="1"/>
  <c r="J34" i="2" s="1"/>
  <c r="K29" i="2"/>
  <c r="K31" i="2" s="1"/>
  <c r="K33" i="2" s="1"/>
  <c r="K34" i="2" s="1"/>
  <c r="P37" i="2"/>
  <c r="P43" i="2"/>
  <c r="P29" i="2"/>
  <c r="P31" i="2" s="1"/>
  <c r="P33" i="2" s="1"/>
  <c r="L29" i="2"/>
  <c r="L31" i="2" s="1"/>
  <c r="L33" i="2" s="1"/>
  <c r="L34" i="2" s="1"/>
  <c r="L43" i="2"/>
  <c r="M43" i="2"/>
  <c r="M29" i="2"/>
  <c r="N29" i="2"/>
  <c r="N43" i="2"/>
  <c r="O29" i="2"/>
  <c r="O43" i="2"/>
  <c r="P34" i="2" l="1"/>
  <c r="P64" i="2"/>
  <c r="AW22" i="2"/>
  <c r="AW42" i="2"/>
  <c r="AX28" i="2"/>
  <c r="AW28" i="2"/>
  <c r="AW23" i="2"/>
  <c r="AV21" i="2"/>
  <c r="AW39" i="2"/>
  <c r="T24" i="2"/>
  <c r="T37" i="2"/>
  <c r="V24" i="2"/>
  <c r="V43" i="2" s="1"/>
  <c r="V37" i="2"/>
  <c r="S37" i="2"/>
  <c r="S24" i="2"/>
  <c r="AX16" i="2"/>
  <c r="AX41" i="2" s="1"/>
  <c r="AV24" i="2"/>
  <c r="AV43" i="2" s="1"/>
  <c r="AU29" i="2"/>
  <c r="AU31" i="2" s="1"/>
  <c r="AU33" i="2" s="1"/>
  <c r="AU34" i="2" s="1"/>
  <c r="AV28" i="2"/>
  <c r="AY10" i="2"/>
  <c r="AZ10" i="2" s="1"/>
  <c r="AV37" i="2"/>
  <c r="W24" i="2"/>
  <c r="W37" i="2"/>
  <c r="R24" i="2"/>
  <c r="Q29" i="2"/>
  <c r="Q31" i="2" s="1"/>
  <c r="AY15" i="2"/>
  <c r="AX40" i="2"/>
  <c r="AZ14" i="2"/>
  <c r="AY39" i="2"/>
  <c r="AX12" i="2"/>
  <c r="AW38" i="2"/>
  <c r="AW21" i="2"/>
  <c r="U24" i="2"/>
  <c r="AY28" i="2"/>
  <c r="BA28" i="2"/>
  <c r="BB25" i="2"/>
  <c r="AZ28" i="2"/>
  <c r="AU37" i="2"/>
  <c r="AS37" i="2"/>
  <c r="AT37" i="2"/>
  <c r="AT29" i="2"/>
  <c r="AT31" i="2" s="1"/>
  <c r="AT33" i="2" s="1"/>
  <c r="AT34" i="2" s="1"/>
  <c r="AS29" i="2"/>
  <c r="AS31" i="2" s="1"/>
  <c r="AS33" i="2" s="1"/>
  <c r="AS34" i="2" s="1"/>
  <c r="O31" i="2"/>
  <c r="O33" i="2" s="1"/>
  <c r="O34" i="2" s="1"/>
  <c r="N31" i="2"/>
  <c r="N33" i="2" s="1"/>
  <c r="N34" i="2" s="1"/>
  <c r="M31" i="2"/>
  <c r="M33" i="2" s="1"/>
  <c r="M34" i="2" s="1"/>
  <c r="AW37" i="2" l="1"/>
  <c r="AY16" i="2"/>
  <c r="AZ16" i="2" s="1"/>
  <c r="V29" i="2"/>
  <c r="V31" i="2" s="1"/>
  <c r="V32" i="2" s="1"/>
  <c r="AV29" i="2"/>
  <c r="AV31" i="2" s="1"/>
  <c r="V33" i="2"/>
  <c r="V34" i="2" s="1"/>
  <c r="R43" i="2"/>
  <c r="R29" i="2"/>
  <c r="R31" i="2" s="1"/>
  <c r="R32" i="2" s="1"/>
  <c r="R33" i="2" s="1"/>
  <c r="R34" i="2" s="1"/>
  <c r="W43" i="2"/>
  <c r="W29" i="2"/>
  <c r="W31" i="2" s="1"/>
  <c r="AY42" i="2"/>
  <c r="S43" i="2"/>
  <c r="S29" i="2"/>
  <c r="S31" i="2" s="1"/>
  <c r="S32" i="2" s="1"/>
  <c r="S33" i="2" s="1"/>
  <c r="S34" i="2" s="1"/>
  <c r="T43" i="2"/>
  <c r="T29" i="2"/>
  <c r="T31" i="2" s="1"/>
  <c r="T32" i="2" s="1"/>
  <c r="T33" i="2" s="1"/>
  <c r="T34" i="2" s="1"/>
  <c r="AW24" i="2"/>
  <c r="AW43" i="2" s="1"/>
  <c r="AZ15" i="2"/>
  <c r="AY40" i="2"/>
  <c r="BA14" i="2"/>
  <c r="AZ39" i="2"/>
  <c r="U43" i="2"/>
  <c r="U29" i="2"/>
  <c r="U31" i="2" s="1"/>
  <c r="U32" i="2" s="1"/>
  <c r="AY12" i="2"/>
  <c r="AX38" i="2"/>
  <c r="AX23" i="2"/>
  <c r="AX22" i="2"/>
  <c r="AX21" i="2"/>
  <c r="BA10" i="2"/>
  <c r="AZ42" i="2"/>
  <c r="Q33" i="2"/>
  <c r="BC25" i="2"/>
  <c r="BB28" i="2"/>
  <c r="AY41" i="2" l="1"/>
  <c r="AV32" i="2"/>
  <c r="AV33" i="2" s="1"/>
  <c r="AV34" i="2" s="1"/>
  <c r="Q34" i="2"/>
  <c r="Q64" i="2"/>
  <c r="W32" i="2"/>
  <c r="AW32" i="2" s="1"/>
  <c r="W33" i="2"/>
  <c r="W34" i="2" s="1"/>
  <c r="BA16" i="2"/>
  <c r="AZ41" i="2"/>
  <c r="U33" i="2"/>
  <c r="U34" i="2" s="1"/>
  <c r="AW29" i="2"/>
  <c r="AW31" i="2" s="1"/>
  <c r="BA15" i="2"/>
  <c r="AZ40" i="2"/>
  <c r="BB14" i="2"/>
  <c r="BA39" i="2"/>
  <c r="AX37" i="2"/>
  <c r="AX24" i="2"/>
  <c r="AZ12" i="2"/>
  <c r="AY38" i="2"/>
  <c r="AY23" i="2"/>
  <c r="AY21" i="2"/>
  <c r="AY22" i="2"/>
  <c r="BB10" i="2"/>
  <c r="BA42" i="2"/>
  <c r="Q45" i="2"/>
  <c r="R45" i="2" s="1"/>
  <c r="S45" i="2" s="1"/>
  <c r="AV45" i="2" s="1"/>
  <c r="BD25" i="2"/>
  <c r="BD28" i="2" s="1"/>
  <c r="BC28" i="2"/>
  <c r="AW33" i="2" l="1"/>
  <c r="AW34" i="2" s="1"/>
  <c r="T45" i="2"/>
  <c r="U45" i="2" s="1"/>
  <c r="V45" i="2" s="1"/>
  <c r="W45" i="2" s="1"/>
  <c r="AW45" i="2" s="1"/>
  <c r="AX30" i="2" s="1"/>
  <c r="BB16" i="2"/>
  <c r="BA41" i="2"/>
  <c r="BB15" i="2"/>
  <c r="BA40" i="2"/>
  <c r="BC14" i="2"/>
  <c r="BB39" i="2"/>
  <c r="AY24" i="2"/>
  <c r="AY37" i="2"/>
  <c r="BA12" i="2"/>
  <c r="AZ38" i="2"/>
  <c r="AZ23" i="2"/>
  <c r="AZ21" i="2"/>
  <c r="AZ22" i="2"/>
  <c r="AX43" i="2"/>
  <c r="AX29" i="2"/>
  <c r="BC10" i="2"/>
  <c r="BB42" i="2"/>
  <c r="AX31" i="2" l="1"/>
  <c r="AX32" i="2" s="1"/>
  <c r="AX33" i="2" s="1"/>
  <c r="AX45" i="2" s="1"/>
  <c r="AY30" i="2" s="1"/>
  <c r="BC16" i="2"/>
  <c r="BB41" i="2"/>
  <c r="BC15" i="2"/>
  <c r="BB40" i="2"/>
  <c r="BD14" i="2"/>
  <c r="BD39" i="2" s="1"/>
  <c r="BC39" i="2"/>
  <c r="AZ24" i="2"/>
  <c r="AZ37" i="2"/>
  <c r="BB12" i="2"/>
  <c r="BA38" i="2"/>
  <c r="BA23" i="2"/>
  <c r="BA21" i="2"/>
  <c r="BA22" i="2"/>
  <c r="AY43" i="2"/>
  <c r="AY29" i="2"/>
  <c r="BD10" i="2"/>
  <c r="BC42" i="2"/>
  <c r="AX34" i="2" l="1"/>
  <c r="AY31" i="2"/>
  <c r="AY32" i="2" s="1"/>
  <c r="AY33" i="2" s="1"/>
  <c r="AY34" i="2" s="1"/>
  <c r="BD16" i="2"/>
  <c r="BD41" i="2" s="1"/>
  <c r="BC41" i="2"/>
  <c r="BD15" i="2"/>
  <c r="BD40" i="2" s="1"/>
  <c r="BC40" i="2"/>
  <c r="BA37" i="2"/>
  <c r="BA24" i="2"/>
  <c r="BC12" i="2"/>
  <c r="BB38" i="2"/>
  <c r="BB23" i="2"/>
  <c r="BB21" i="2"/>
  <c r="BB22" i="2"/>
  <c r="AZ29" i="2"/>
  <c r="AZ43" i="2"/>
  <c r="BD42" i="2"/>
  <c r="AY45" i="2" l="1"/>
  <c r="AZ30" i="2" s="1"/>
  <c r="AZ31" i="2" s="1"/>
  <c r="AZ32" i="2" s="1"/>
  <c r="AZ33" i="2" s="1"/>
  <c r="AZ34" i="2" s="1"/>
  <c r="BB37" i="2"/>
  <c r="BB24" i="2"/>
  <c r="BD12" i="2"/>
  <c r="BC38" i="2"/>
  <c r="BC23" i="2"/>
  <c r="BC22" i="2"/>
  <c r="BC21" i="2"/>
  <c r="BA29" i="2"/>
  <c r="BA43" i="2"/>
  <c r="BC24" i="2" l="1"/>
  <c r="BC37" i="2"/>
  <c r="BD38" i="2"/>
  <c r="BD23" i="2"/>
  <c r="BD22" i="2"/>
  <c r="BD21" i="2"/>
  <c r="BB29" i="2"/>
  <c r="BB43" i="2"/>
  <c r="AZ45" i="2"/>
  <c r="BD24" i="2" l="1"/>
  <c r="BD37" i="2"/>
  <c r="BC43" i="2"/>
  <c r="BC29" i="2"/>
  <c r="BA30" i="2"/>
  <c r="BA31" i="2" s="1"/>
  <c r="BA32" i="2" s="1"/>
  <c r="BA33" i="2" s="1"/>
  <c r="BA34" i="2" s="1"/>
  <c r="BD43" i="2" l="1"/>
  <c r="BD29" i="2"/>
  <c r="BA45" i="2"/>
  <c r="BB30" i="2" l="1"/>
  <c r="BB31" i="2" s="1"/>
  <c r="BB32" i="2" s="1"/>
  <c r="BB33" i="2" s="1"/>
  <c r="BB34" i="2" s="1"/>
  <c r="BB45" i="2" l="1"/>
  <c r="BC30" i="2" l="1"/>
  <c r="BC31" i="2" s="1"/>
  <c r="BC32" i="2" s="1"/>
  <c r="BC33" i="2" s="1"/>
  <c r="BC34" i="2" s="1"/>
  <c r="BC45" i="2" l="1"/>
  <c r="BD30" i="2" s="1"/>
  <c r="BD31" i="2" s="1"/>
  <c r="BD32" i="2" s="1"/>
  <c r="BD33" i="2" s="1"/>
  <c r="BD34" i="2" s="1"/>
  <c r="BD45" i="2" l="1"/>
  <c r="BE33" i="2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BG46" i="2" s="1"/>
  <c r="BG4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tc={BC0611F9-311A-4928-9AD6-94F49AE6B822}</author>
  </authors>
  <commentList>
    <comment ref="R21" authorId="0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R29" authorId="1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</commentList>
</comments>
</file>

<file path=xl/sharedStrings.xml><?xml version="1.0" encoding="utf-8"?>
<sst xmlns="http://schemas.openxmlformats.org/spreadsheetml/2006/main" count="113" uniqueCount="100">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</sst>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19050</xdr:rowOff>
    </xdr:from>
    <xdr:to>
      <xdr:col>17</xdr:col>
      <xdr:colOff>19050</xdr:colOff>
      <xdr:row>105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0725150" y="19050"/>
          <a:ext cx="0" cy="13773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66675</xdr:colOff>
      <xdr:row>0</xdr:row>
      <xdr:rowOff>0</xdr:rowOff>
    </xdr:from>
    <xdr:to>
      <xdr:col>47</xdr:col>
      <xdr:colOff>66675</xdr:colOff>
      <xdr:row>87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1" dT="2022-07-29T15:08:40.16" personId="{9B8D1A3E-D1D5-4929-A5A0-67791399E886}" id="{89E45B5F-0C20-4B81-874E-AD8DF93707A2}">
    <text>Q222 guidance: 125-130B</text>
  </threadedComment>
  <threadedComment ref="R29" dT="2022-07-29T15:10:25.65" personId="{9B8D1A3E-D1D5-4929-A5A0-67791399E886}" id="{BC0611F9-311A-4928-9AD6-94F49AE6B822}">
    <text>Q222 guidance: 0.0-3.5B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J2:L9"/>
  <sheetViews>
    <sheetView workbookViewId="0">
      <selection activeCell="L7" sqref="L7"/>
    </sheetView>
  </sheetViews>
  <sheetFormatPr defaultRowHeight="12.75" x14ac:dyDescent="0.2"/>
  <sheetData>
    <row r="2" spans="10:12" x14ac:dyDescent="0.2">
      <c r="J2" t="s">
        <v>1</v>
      </c>
      <c r="K2" s="1">
        <v>110.63</v>
      </c>
    </row>
    <row r="3" spans="10:12" x14ac:dyDescent="0.2">
      <c r="J3" t="s">
        <v>2</v>
      </c>
      <c r="K3" s="2">
        <v>10187.554818000001</v>
      </c>
      <c r="L3" s="3" t="s">
        <v>17</v>
      </c>
    </row>
    <row r="4" spans="10:12" x14ac:dyDescent="0.2">
      <c r="J4" t="s">
        <v>3</v>
      </c>
      <c r="K4" s="2">
        <f>K3*K2</f>
        <v>1127049.1895153399</v>
      </c>
    </row>
    <row r="5" spans="10:12" x14ac:dyDescent="0.2">
      <c r="J5" t="s">
        <v>4</v>
      </c>
      <c r="K5" s="2">
        <v>60710</v>
      </c>
      <c r="L5" s="3" t="s">
        <v>17</v>
      </c>
    </row>
    <row r="6" spans="10:12" x14ac:dyDescent="0.2">
      <c r="J6" t="s">
        <v>5</v>
      </c>
      <c r="K6" s="2">
        <v>58053</v>
      </c>
      <c r="L6" s="3" t="s">
        <v>17</v>
      </c>
    </row>
    <row r="7" spans="10:12" x14ac:dyDescent="0.2">
      <c r="J7" t="s">
        <v>6</v>
      </c>
      <c r="K7" s="2">
        <f>K4-K5+K6</f>
        <v>1124392.1895153399</v>
      </c>
      <c r="L7" s="3"/>
    </row>
    <row r="9" spans="10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N90"/>
  <sheetViews>
    <sheetView tabSelected="1" workbookViewId="0">
      <pane xSplit="2" ySplit="3" topLeftCell="K76" activePane="bottomRight" state="frozen"/>
      <selection pane="topRight" activeCell="C1" sqref="C1"/>
      <selection pane="bottomLeft" activeCell="A4" sqref="A4"/>
      <selection pane="bottomRight" activeCell="Q88" sqref="Q88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</cols>
  <sheetData>
    <row r="1" spans="1:66" x14ac:dyDescent="0.2">
      <c r="A1" s="12" t="s">
        <v>0</v>
      </c>
    </row>
    <row r="3" spans="1:66" x14ac:dyDescent="0.2">
      <c r="C3" s="3" t="s">
        <v>51</v>
      </c>
      <c r="D3" s="3" t="s">
        <v>50</v>
      </c>
      <c r="E3" s="3" t="s">
        <v>49</v>
      </c>
      <c r="F3" s="3" t="s">
        <v>48</v>
      </c>
      <c r="G3" s="3" t="s">
        <v>47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52</v>
      </c>
      <c r="U3" s="3" t="s">
        <v>53</v>
      </c>
      <c r="V3" s="3" t="s">
        <v>54</v>
      </c>
      <c r="W3" s="3" t="s">
        <v>55</v>
      </c>
      <c r="Z3">
        <v>2000</v>
      </c>
      <c r="AA3">
        <f>+Z3+1</f>
        <v>2001</v>
      </c>
      <c r="AB3">
        <f t="shared" ref="AB3:BN3" si="0">+AA3+1</f>
        <v>2002</v>
      </c>
      <c r="AC3">
        <f t="shared" si="0"/>
        <v>2003</v>
      </c>
      <c r="AD3">
        <f t="shared" si="0"/>
        <v>2004</v>
      </c>
      <c r="AE3">
        <f t="shared" si="0"/>
        <v>2005</v>
      </c>
      <c r="AF3">
        <f t="shared" si="0"/>
        <v>2006</v>
      </c>
      <c r="AG3">
        <f t="shared" si="0"/>
        <v>2007</v>
      </c>
      <c r="AH3">
        <f t="shared" si="0"/>
        <v>2008</v>
      </c>
      <c r="AI3">
        <f t="shared" si="0"/>
        <v>2009</v>
      </c>
      <c r="AJ3">
        <f t="shared" si="0"/>
        <v>2010</v>
      </c>
      <c r="AK3">
        <f t="shared" si="0"/>
        <v>2011</v>
      </c>
      <c r="AL3">
        <f t="shared" si="0"/>
        <v>2012</v>
      </c>
      <c r="AM3">
        <f t="shared" si="0"/>
        <v>2013</v>
      </c>
      <c r="AN3">
        <f t="shared" si="0"/>
        <v>2014</v>
      </c>
      <c r="AO3">
        <f t="shared" si="0"/>
        <v>2015</v>
      </c>
      <c r="AP3">
        <f t="shared" si="0"/>
        <v>2016</v>
      </c>
      <c r="AQ3">
        <f t="shared" si="0"/>
        <v>2017</v>
      </c>
      <c r="AR3">
        <f t="shared" si="0"/>
        <v>2018</v>
      </c>
      <c r="AS3">
        <f t="shared" si="0"/>
        <v>2019</v>
      </c>
      <c r="AT3">
        <f t="shared" si="0"/>
        <v>2020</v>
      </c>
      <c r="AU3">
        <f t="shared" si="0"/>
        <v>2021</v>
      </c>
      <c r="AV3">
        <f t="shared" si="0"/>
        <v>2022</v>
      </c>
      <c r="AW3">
        <f t="shared" si="0"/>
        <v>2023</v>
      </c>
      <c r="AX3">
        <f t="shared" si="0"/>
        <v>2024</v>
      </c>
      <c r="AY3">
        <f t="shared" si="0"/>
        <v>2025</v>
      </c>
      <c r="AZ3">
        <f t="shared" si="0"/>
        <v>2026</v>
      </c>
      <c r="BA3">
        <f t="shared" si="0"/>
        <v>2027</v>
      </c>
      <c r="BB3">
        <f t="shared" si="0"/>
        <v>2028</v>
      </c>
      <c r="BC3">
        <f t="shared" si="0"/>
        <v>2029</v>
      </c>
      <c r="BD3">
        <f t="shared" si="0"/>
        <v>2030</v>
      </c>
      <c r="BE3">
        <f t="shared" si="0"/>
        <v>2031</v>
      </c>
      <c r="BF3">
        <f t="shared" si="0"/>
        <v>2032</v>
      </c>
      <c r="BG3">
        <f t="shared" si="0"/>
        <v>2033</v>
      </c>
      <c r="BH3">
        <f t="shared" si="0"/>
        <v>2034</v>
      </c>
      <c r="BI3">
        <f t="shared" si="0"/>
        <v>2035</v>
      </c>
      <c r="BJ3">
        <f t="shared" si="0"/>
        <v>2036</v>
      </c>
      <c r="BK3">
        <f t="shared" si="0"/>
        <v>2037</v>
      </c>
      <c r="BL3">
        <f t="shared" si="0"/>
        <v>2038</v>
      </c>
      <c r="BM3">
        <f t="shared" si="0"/>
        <v>2039</v>
      </c>
      <c r="BN3">
        <f t="shared" si="0"/>
        <v>2040</v>
      </c>
    </row>
    <row r="4" spans="1:66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>
        <v>74430</v>
      </c>
      <c r="R4" s="4"/>
      <c r="S4" s="4"/>
      <c r="AN4" s="2">
        <v>50834</v>
      </c>
      <c r="AO4" s="2">
        <v>63708</v>
      </c>
      <c r="AP4" s="2">
        <v>79785</v>
      </c>
      <c r="AQ4" s="2">
        <v>106110</v>
      </c>
      <c r="AR4" s="2">
        <v>141366</v>
      </c>
      <c r="AS4" s="2">
        <f>SUM(D4:G4)</f>
        <v>170773</v>
      </c>
      <c r="AT4" s="2">
        <f t="shared" ref="AT4:AT7" si="1">SUM(H4:K4)</f>
        <v>236282</v>
      </c>
      <c r="AU4" s="2">
        <f>SUM(L4:O4)</f>
        <v>279833</v>
      </c>
    </row>
    <row r="5" spans="1:66" s="2" customFormat="1" x14ac:dyDescent="0.2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N5" s="2">
        <v>11567</v>
      </c>
      <c r="AO5" s="2">
        <v>12483</v>
      </c>
      <c r="AP5" s="2">
        <v>13580</v>
      </c>
    </row>
    <row r="6" spans="1:66" s="2" customFormat="1" x14ac:dyDescent="0.2">
      <c r="B6" s="2" t="s">
        <v>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N6" s="2">
        <v>38517</v>
      </c>
      <c r="AO6" s="2">
        <v>50401</v>
      </c>
      <c r="AP6" s="2">
        <v>64887</v>
      </c>
    </row>
    <row r="7" spans="1:66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>
        <v>27065</v>
      </c>
      <c r="R7" s="4"/>
      <c r="S7" s="4"/>
      <c r="AN7" s="2">
        <v>33510</v>
      </c>
      <c r="AO7" s="2">
        <v>35418</v>
      </c>
      <c r="AP7" s="2">
        <v>43983</v>
      </c>
      <c r="AQ7" s="2">
        <v>103273</v>
      </c>
      <c r="AR7" s="2">
        <v>134099</v>
      </c>
      <c r="AS7" s="2">
        <f>SUM(D7:G7)</f>
        <v>74723</v>
      </c>
      <c r="AT7" s="2">
        <f t="shared" si="1"/>
        <v>104412</v>
      </c>
      <c r="AU7" s="2">
        <f t="shared" ref="AU7" si="2">SUM(L7:O7)</f>
        <v>127787</v>
      </c>
    </row>
    <row r="8" spans="1:66" s="2" customFormat="1" x14ac:dyDescent="0.2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N8" s="2">
        <v>10938</v>
      </c>
      <c r="AO8" s="2">
        <v>10026</v>
      </c>
      <c r="AP8" s="2">
        <v>10631</v>
      </c>
    </row>
    <row r="9" spans="1:66" s="2" customFormat="1" x14ac:dyDescent="0.2">
      <c r="B9" s="2" t="s">
        <v>61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N9" s="2">
        <v>22369</v>
      </c>
      <c r="AO9" s="2">
        <v>25196</v>
      </c>
      <c r="AP9" s="2">
        <v>33107</v>
      </c>
    </row>
    <row r="10" spans="1:66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v>19739</v>
      </c>
      <c r="R10" s="4">
        <f t="shared" ref="R10:W10" si="3">+N10*1.4</f>
        <v>22554</v>
      </c>
      <c r="S10" s="4">
        <f t="shared" si="3"/>
        <v>24892</v>
      </c>
      <c r="T10" s="4">
        <f t="shared" si="3"/>
        <v>25817.399999999998</v>
      </c>
      <c r="U10" s="4">
        <f t="shared" si="3"/>
        <v>27634.6</v>
      </c>
      <c r="V10" s="4">
        <f t="shared" si="3"/>
        <v>31575.599999999999</v>
      </c>
      <c r="W10" s="4">
        <f t="shared" si="3"/>
        <v>34848.799999999996</v>
      </c>
      <c r="AN10" s="17">
        <v>4644</v>
      </c>
      <c r="AO10" s="2">
        <v>7880</v>
      </c>
      <c r="AP10" s="2">
        <v>12219</v>
      </c>
      <c r="AQ10" s="2">
        <v>17459</v>
      </c>
      <c r="AR10" s="2">
        <v>25655</v>
      </c>
      <c r="AS10" s="2">
        <f>SUM(D10:G10)</f>
        <v>35026</v>
      </c>
      <c r="AT10" s="2">
        <f>SUM(H10:K10)</f>
        <v>45370</v>
      </c>
      <c r="AU10" s="2">
        <f>SUM(L10:O10)</f>
        <v>62202</v>
      </c>
      <c r="AV10" s="2">
        <f>SUM(P10:S10)</f>
        <v>85626</v>
      </c>
      <c r="AW10" s="2">
        <f>SUM(T10:W10)</f>
        <v>119876.4</v>
      </c>
      <c r="AX10" s="2">
        <f>+AW10*1.3</f>
        <v>155839.32</v>
      </c>
      <c r="AY10" s="2">
        <f t="shared" ref="AY10:BA10" si="4">+AX10*1.3</f>
        <v>202591.11600000001</v>
      </c>
      <c r="AZ10" s="2">
        <f t="shared" si="4"/>
        <v>263368.45080000005</v>
      </c>
      <c r="BA10" s="2">
        <f t="shared" si="4"/>
        <v>342378.98604000011</v>
      </c>
      <c r="BB10" s="2">
        <f>+BA10*1.2</f>
        <v>410854.78324800014</v>
      </c>
      <c r="BC10" s="2">
        <f t="shared" ref="BC10:BD10" si="5">+BB10*1.2</f>
        <v>493025.73989760014</v>
      </c>
      <c r="BD10" s="2">
        <f t="shared" si="5"/>
        <v>591630.88787712017</v>
      </c>
    </row>
    <row r="12" spans="1:66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v>50855</v>
      </c>
      <c r="R12" s="4">
        <f t="shared" ref="R12:W12" si="6">+N12*1.1</f>
        <v>54936.200000000004</v>
      </c>
      <c r="S12" s="4">
        <f t="shared" si="6"/>
        <v>72682.5</v>
      </c>
      <c r="T12" s="4">
        <f t="shared" si="6"/>
        <v>56241.9</v>
      </c>
      <c r="U12" s="4">
        <f t="shared" si="6"/>
        <v>55940.500000000007</v>
      </c>
      <c r="V12" s="4">
        <f t="shared" si="6"/>
        <v>60429.820000000007</v>
      </c>
      <c r="W12" s="4">
        <f t="shared" si="6"/>
        <v>79950.75</v>
      </c>
      <c r="AR12" s="2">
        <f>26939+27165+29061+39822</f>
        <v>122987</v>
      </c>
      <c r="AS12" s="2">
        <f t="shared" ref="AS12:AS27" si="7">SUM(D12:G12)</f>
        <v>141247</v>
      </c>
      <c r="AT12" s="2">
        <f t="shared" ref="AT12:AT17" si="8">SUM(H12:K12)</f>
        <v>197349</v>
      </c>
      <c r="AU12" s="2">
        <f t="shared" ref="AU12:AU17" si="9">SUM(L12:O12)</f>
        <v>222075</v>
      </c>
      <c r="AV12" s="2">
        <f t="shared" ref="AV12:AV17" si="10">SUM(P12:S12)</f>
        <v>229602.7</v>
      </c>
      <c r="AW12" s="2">
        <f t="shared" ref="AW12:AW17" si="11">SUM(T12:W12)</f>
        <v>252562.97000000003</v>
      </c>
      <c r="AX12" s="2">
        <f>+AW12*1.05</f>
        <v>265191.11850000004</v>
      </c>
      <c r="AY12" s="2">
        <f t="shared" ref="AY12:BD12" si="12">+AX12*1.05</f>
        <v>278450.67442500003</v>
      </c>
      <c r="AZ12" s="2">
        <f t="shared" si="12"/>
        <v>292373.20814625005</v>
      </c>
      <c r="BA12" s="2">
        <f t="shared" si="12"/>
        <v>306991.86855356256</v>
      </c>
      <c r="BB12" s="2">
        <f t="shared" si="12"/>
        <v>322341.46198124072</v>
      </c>
      <c r="BC12" s="2">
        <f t="shared" si="12"/>
        <v>338458.53508030274</v>
      </c>
      <c r="BD12" s="2">
        <f t="shared" si="12"/>
        <v>355381.46183431789</v>
      </c>
    </row>
    <row r="13" spans="1:66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v>4721</v>
      </c>
      <c r="R13" s="4">
        <f t="shared" ref="R13:W13" si="13">+N13</f>
        <v>4269</v>
      </c>
      <c r="S13" s="4">
        <f t="shared" si="13"/>
        <v>4688</v>
      </c>
      <c r="T13" s="4">
        <f t="shared" si="13"/>
        <v>4591</v>
      </c>
      <c r="U13" s="4">
        <f t="shared" si="13"/>
        <v>4721</v>
      </c>
      <c r="V13" s="4">
        <f t="shared" si="13"/>
        <v>4269</v>
      </c>
      <c r="W13" s="4">
        <f t="shared" si="13"/>
        <v>4688</v>
      </c>
      <c r="AR13" s="2">
        <f>4263+4312+4248+4401</f>
        <v>17224</v>
      </c>
      <c r="AS13" s="2">
        <f t="shared" si="7"/>
        <v>17192</v>
      </c>
      <c r="AT13" s="2">
        <f t="shared" si="8"/>
        <v>16224</v>
      </c>
      <c r="AU13" s="2">
        <f t="shared" si="9"/>
        <v>17075</v>
      </c>
      <c r="AV13" s="2">
        <f t="shared" si="10"/>
        <v>18269</v>
      </c>
      <c r="AW13" s="2">
        <f t="shared" si="11"/>
        <v>18269</v>
      </c>
      <c r="AX13" s="2">
        <f t="shared" ref="AX13:BD13" si="14">+AW13*1.05</f>
        <v>19182.45</v>
      </c>
      <c r="AY13" s="2">
        <f t="shared" si="14"/>
        <v>20141.572500000002</v>
      </c>
      <c r="AZ13" s="2">
        <f t="shared" si="14"/>
        <v>21148.651125000004</v>
      </c>
      <c r="BA13" s="2">
        <f t="shared" si="14"/>
        <v>22206.083681250006</v>
      </c>
      <c r="BB13" s="2">
        <f t="shared" si="14"/>
        <v>23316.387865312507</v>
      </c>
      <c r="BC13" s="2">
        <f t="shared" si="14"/>
        <v>24482.207258578132</v>
      </c>
      <c r="BD13" s="2">
        <f t="shared" si="14"/>
        <v>25706.317621507038</v>
      </c>
    </row>
    <row r="14" spans="1:66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v>27376</v>
      </c>
      <c r="R14" s="4">
        <f t="shared" ref="R14:W14" si="15">+N14*1.2</f>
        <v>29102.399999999998</v>
      </c>
      <c r="S14" s="4">
        <f t="shared" si="15"/>
        <v>36384</v>
      </c>
      <c r="T14" s="4">
        <f t="shared" si="15"/>
        <v>30402</v>
      </c>
      <c r="U14" s="4">
        <f t="shared" si="15"/>
        <v>32851.199999999997</v>
      </c>
      <c r="V14" s="4">
        <f t="shared" si="15"/>
        <v>34922.879999999997</v>
      </c>
      <c r="W14" s="4">
        <f t="shared" si="15"/>
        <v>43660.799999999996</v>
      </c>
      <c r="AR14" s="2">
        <f>9265+9702+10395+13383</f>
        <v>42745</v>
      </c>
      <c r="AS14" s="2">
        <f t="shared" si="7"/>
        <v>53761</v>
      </c>
      <c r="AT14" s="2">
        <f t="shared" si="8"/>
        <v>80437</v>
      </c>
      <c r="AU14" s="2">
        <f t="shared" si="9"/>
        <v>103366</v>
      </c>
      <c r="AV14" s="2">
        <f t="shared" si="10"/>
        <v>118197.4</v>
      </c>
      <c r="AW14" s="2">
        <f t="shared" si="11"/>
        <v>141836.87999999998</v>
      </c>
      <c r="AX14" s="2">
        <f t="shared" ref="AX14:BD14" si="16">+AW14*1.05</f>
        <v>148928.72399999999</v>
      </c>
      <c r="AY14" s="2">
        <f t="shared" si="16"/>
        <v>156375.16019999998</v>
      </c>
      <c r="AZ14" s="2">
        <f t="shared" si="16"/>
        <v>164193.91821</v>
      </c>
      <c r="BA14" s="2">
        <f t="shared" si="16"/>
        <v>172403.61412050002</v>
      </c>
      <c r="BB14" s="2">
        <f t="shared" si="16"/>
        <v>181023.79482652503</v>
      </c>
      <c r="BC14" s="2">
        <f t="shared" si="16"/>
        <v>190074.98456785129</v>
      </c>
      <c r="BD14" s="2">
        <f t="shared" si="16"/>
        <v>199578.73379624388</v>
      </c>
    </row>
    <row r="15" spans="1:66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v>8716</v>
      </c>
      <c r="R15" s="4">
        <f t="shared" ref="R15:R16" si="17">+N15*1.2</f>
        <v>9777.6</v>
      </c>
      <c r="S15" s="4">
        <f t="shared" ref="S15:S16" si="18">+O15*1.2</f>
        <v>9747.6</v>
      </c>
      <c r="T15" s="4">
        <f t="shared" ref="T15:T16" si="19">+P15*1.2</f>
        <v>10092</v>
      </c>
      <c r="U15" s="4">
        <f t="shared" ref="U15:U16" si="20">+Q15*1.2</f>
        <v>10459.199999999999</v>
      </c>
      <c r="V15" s="4">
        <f t="shared" ref="V15:V16" si="21">+R15*1.2</f>
        <v>11733.12</v>
      </c>
      <c r="W15" s="4">
        <f t="shared" ref="W15:W16" si="22">+S15*1.2</f>
        <v>11697.12</v>
      </c>
      <c r="AR15" s="2">
        <f>3102+3408+3698+3959</f>
        <v>14167</v>
      </c>
      <c r="AS15" s="2">
        <f t="shared" si="7"/>
        <v>19210</v>
      </c>
      <c r="AT15" s="2">
        <f t="shared" si="8"/>
        <v>25207</v>
      </c>
      <c r="AU15" s="2">
        <f t="shared" si="9"/>
        <v>31768</v>
      </c>
      <c r="AV15" s="2">
        <f t="shared" si="10"/>
        <v>36651.199999999997</v>
      </c>
      <c r="AW15" s="2">
        <f t="shared" si="11"/>
        <v>43981.440000000002</v>
      </c>
      <c r="AX15" s="2">
        <f>+AW15*1.1</f>
        <v>48379.58400000001</v>
      </c>
      <c r="AY15" s="2">
        <f t="shared" ref="AY15:BA15" si="23">+AX15*1.1</f>
        <v>53217.542400000013</v>
      </c>
      <c r="AZ15" s="2">
        <f t="shared" si="23"/>
        <v>58539.296640000022</v>
      </c>
      <c r="BA15" s="2">
        <f t="shared" si="23"/>
        <v>64393.226304000033</v>
      </c>
      <c r="BB15" s="2">
        <f t="shared" ref="BB15:BD15" si="24">+BA15*1.05</f>
        <v>67612.887619200032</v>
      </c>
      <c r="BC15" s="2">
        <f t="shared" si="24"/>
        <v>70993.532000160034</v>
      </c>
      <c r="BD15" s="2">
        <f t="shared" si="24"/>
        <v>74543.208600168044</v>
      </c>
    </row>
    <row r="16" spans="1:66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v>8757</v>
      </c>
      <c r="R16" s="4">
        <f t="shared" si="17"/>
        <v>9134.4</v>
      </c>
      <c r="S16" s="4">
        <f t="shared" si="18"/>
        <v>11659.199999999999</v>
      </c>
      <c r="T16" s="4">
        <f t="shared" si="19"/>
        <v>9452.4</v>
      </c>
      <c r="U16" s="4">
        <f t="shared" si="20"/>
        <v>10508.4</v>
      </c>
      <c r="V16" s="4">
        <f t="shared" si="21"/>
        <v>10961.279999999999</v>
      </c>
      <c r="W16" s="4">
        <f t="shared" si="22"/>
        <v>13991.039999999999</v>
      </c>
      <c r="AR16" s="2">
        <f>2031+2194+2495+3388</f>
        <v>10108</v>
      </c>
      <c r="AS16" s="2">
        <f t="shared" si="7"/>
        <v>14086</v>
      </c>
      <c r="AT16" s="2">
        <f t="shared" si="8"/>
        <v>20875</v>
      </c>
      <c r="AU16" s="2">
        <f t="shared" si="9"/>
        <v>31160</v>
      </c>
      <c r="AV16" s="2">
        <f t="shared" si="10"/>
        <v>37427.599999999999</v>
      </c>
      <c r="AW16" s="2">
        <f t="shared" si="11"/>
        <v>44913.119999999995</v>
      </c>
      <c r="AX16" s="2">
        <f t="shared" ref="AX16:BA16" si="25">+AW16*1.1</f>
        <v>49404.432000000001</v>
      </c>
      <c r="AY16" s="2">
        <f t="shared" si="25"/>
        <v>54344.875200000002</v>
      </c>
      <c r="AZ16" s="2">
        <f t="shared" si="25"/>
        <v>59779.362720000005</v>
      </c>
      <c r="BA16" s="2">
        <f t="shared" si="25"/>
        <v>65757.298992000011</v>
      </c>
      <c r="BB16" s="2">
        <f t="shared" ref="BB16:BD16" si="26">+BA16*1.05</f>
        <v>69045.163941600011</v>
      </c>
      <c r="BC16" s="2">
        <f t="shared" si="26"/>
        <v>72497.42213868002</v>
      </c>
      <c r="BD16" s="2">
        <f t="shared" si="26"/>
        <v>76122.293245614026</v>
      </c>
    </row>
    <row r="17" spans="2:56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v>1070</v>
      </c>
      <c r="R17" s="4">
        <f t="shared" ref="R17:W17" si="27">+N17</f>
        <v>479</v>
      </c>
      <c r="S17" s="4">
        <f t="shared" si="27"/>
        <v>710</v>
      </c>
      <c r="T17" s="4">
        <f t="shared" si="27"/>
        <v>661</v>
      </c>
      <c r="U17" s="4">
        <f t="shared" si="27"/>
        <v>1070</v>
      </c>
      <c r="V17" s="4">
        <f t="shared" si="27"/>
        <v>479</v>
      </c>
      <c r="W17" s="4">
        <f t="shared" si="27"/>
        <v>710</v>
      </c>
      <c r="AS17" s="2">
        <f t="shared" si="7"/>
        <v>0</v>
      </c>
      <c r="AT17" s="2">
        <f t="shared" si="8"/>
        <v>602</v>
      </c>
      <c r="AU17" s="2">
        <f t="shared" si="9"/>
        <v>2176</v>
      </c>
      <c r="AV17" s="2">
        <f t="shared" si="10"/>
        <v>2920</v>
      </c>
      <c r="AW17" s="2">
        <f t="shared" si="11"/>
        <v>2920</v>
      </c>
      <c r="AX17" s="2">
        <f t="shared" ref="AX17:BD17" si="28">+AW17*1.05</f>
        <v>3066</v>
      </c>
      <c r="AY17" s="2">
        <f t="shared" si="28"/>
        <v>3219.3</v>
      </c>
      <c r="AZ17" s="2">
        <f t="shared" si="28"/>
        <v>3380.2650000000003</v>
      </c>
      <c r="BA17" s="2">
        <f t="shared" si="28"/>
        <v>3549.2782500000003</v>
      </c>
      <c r="BB17" s="2">
        <f t="shared" si="28"/>
        <v>3726.7421625000006</v>
      </c>
      <c r="BC17" s="2">
        <f t="shared" si="28"/>
        <v>3913.0792706250008</v>
      </c>
      <c r="BD17" s="2">
        <f t="shared" si="28"/>
        <v>4108.7332341562515</v>
      </c>
    </row>
    <row r="18" spans="2:56" x14ac:dyDescent="0.2">
      <c r="AV18" s="2"/>
      <c r="AW18" s="2"/>
    </row>
    <row r="19" spans="2:56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>
        <v>56575</v>
      </c>
      <c r="R19" s="4"/>
      <c r="S19" s="4"/>
      <c r="AQ19" s="2">
        <v>118573</v>
      </c>
      <c r="AR19" s="2">
        <v>141915</v>
      </c>
      <c r="AS19" s="2">
        <f t="shared" si="7"/>
        <v>160407</v>
      </c>
      <c r="AT19" s="2">
        <f>SUM(H19:K19)</f>
        <v>215915</v>
      </c>
      <c r="AU19" s="2">
        <f t="shared" ref="AU19:AU27" si="29">SUM(L19:O19)</f>
        <v>241787</v>
      </c>
    </row>
    <row r="20" spans="2:56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>
        <v>64659</v>
      </c>
      <c r="R20" s="4"/>
      <c r="S20" s="4"/>
      <c r="AQ20" s="2">
        <v>59293</v>
      </c>
      <c r="AR20" s="2">
        <v>90972</v>
      </c>
      <c r="AS20" s="2">
        <f t="shared" si="7"/>
        <v>120115</v>
      </c>
      <c r="AT20" s="2">
        <f t="shared" ref="AT20:AT27" si="30">SUM(H20:K20)</f>
        <v>170149</v>
      </c>
      <c r="AU20" s="2">
        <f t="shared" si="29"/>
        <v>228035</v>
      </c>
    </row>
    <row r="21" spans="2:56" s="5" customFormat="1" x14ac:dyDescent="0.2">
      <c r="B21" s="5" t="s">
        <v>8</v>
      </c>
      <c r="C21" s="6">
        <f t="shared" ref="C21" si="31">C19+C20</f>
        <v>72383</v>
      </c>
      <c r="D21" s="6">
        <f t="shared" ref="D21:F21" si="32">D19+D20</f>
        <v>59700</v>
      </c>
      <c r="E21" s="6">
        <f t="shared" ref="E21" si="33">E19+E20</f>
        <v>63404</v>
      </c>
      <c r="F21" s="6">
        <f t="shared" si="32"/>
        <v>69981</v>
      </c>
      <c r="G21" s="6">
        <f t="shared" ref="G21" si="34">G19+G20</f>
        <v>87437</v>
      </c>
      <c r="H21" s="6">
        <f t="shared" ref="H21" si="35">H19+H20</f>
        <v>75452</v>
      </c>
      <c r="I21" s="6">
        <f t="shared" ref="I21" si="36">I19+I20</f>
        <v>88912</v>
      </c>
      <c r="J21" s="6">
        <f t="shared" ref="J21:O21" si="37">J19+J20</f>
        <v>96145</v>
      </c>
      <c r="K21" s="6">
        <f t="shared" si="37"/>
        <v>125555</v>
      </c>
      <c r="L21" s="6">
        <f t="shared" si="37"/>
        <v>108518</v>
      </c>
      <c r="M21" s="6">
        <f t="shared" si="37"/>
        <v>113080</v>
      </c>
      <c r="N21" s="6">
        <f t="shared" si="37"/>
        <v>110812</v>
      </c>
      <c r="O21" s="6">
        <f t="shared" si="37"/>
        <v>137412</v>
      </c>
      <c r="P21" s="6">
        <f>P19+P20</f>
        <v>116444</v>
      </c>
      <c r="Q21" s="6">
        <f>Q19+Q20</f>
        <v>121234</v>
      </c>
      <c r="R21" s="6">
        <f t="shared" ref="R21:W21" si="38">SUM(R10:R17)</f>
        <v>130252.6</v>
      </c>
      <c r="S21" s="6">
        <f t="shared" si="38"/>
        <v>160763.30000000002</v>
      </c>
      <c r="T21" s="6">
        <f t="shared" si="38"/>
        <v>137257.70000000001</v>
      </c>
      <c r="U21" s="6">
        <f t="shared" si="38"/>
        <v>143184.9</v>
      </c>
      <c r="V21" s="6">
        <f t="shared" si="38"/>
        <v>154370.70000000001</v>
      </c>
      <c r="W21" s="6">
        <f t="shared" si="38"/>
        <v>189546.50999999998</v>
      </c>
      <c r="AL21" s="5">
        <v>61093</v>
      </c>
      <c r="AM21" s="5">
        <v>74452</v>
      </c>
      <c r="AN21" s="5">
        <f>+AN4+AN7+AN10</f>
        <v>88988</v>
      </c>
      <c r="AO21" s="5">
        <f t="shared" ref="AO21:AP21" si="39">+AO4+AO7+AO10</f>
        <v>107006</v>
      </c>
      <c r="AP21" s="5">
        <f t="shared" si="39"/>
        <v>135987</v>
      </c>
      <c r="AQ21" s="6">
        <f t="shared" ref="AQ21" si="40">AQ19+AQ20</f>
        <v>177866</v>
      </c>
      <c r="AR21" s="6">
        <f t="shared" ref="AR21" si="41">AR19+AR20</f>
        <v>232887</v>
      </c>
      <c r="AS21" s="6">
        <f>AS19+AS20</f>
        <v>280522</v>
      </c>
      <c r="AT21" s="6">
        <f>AT19+AT20</f>
        <v>386064</v>
      </c>
      <c r="AU21" s="6">
        <f>AU19+AU20</f>
        <v>469822</v>
      </c>
      <c r="AV21" s="5">
        <f>SUM(AV10:AV17)</f>
        <v>528693.9</v>
      </c>
      <c r="AW21" s="5">
        <f>SUM(AW10:AW17)</f>
        <v>624359.80999999994</v>
      </c>
      <c r="AX21" s="5">
        <f t="shared" ref="AX21:BD21" si="42">SUM(AX10:AX17)</f>
        <v>689991.62850000011</v>
      </c>
      <c r="AY21" s="5">
        <f t="shared" si="42"/>
        <v>768340.24072500016</v>
      </c>
      <c r="AZ21" s="5">
        <f t="shared" si="42"/>
        <v>862783.15264125017</v>
      </c>
      <c r="BA21" s="5">
        <f t="shared" si="42"/>
        <v>977680.35594131274</v>
      </c>
      <c r="BB21" s="5">
        <f t="shared" si="42"/>
        <v>1077921.2216443785</v>
      </c>
      <c r="BC21" s="5">
        <f t="shared" si="42"/>
        <v>1193445.5002137974</v>
      </c>
      <c r="BD21" s="5">
        <f t="shared" si="42"/>
        <v>1327071.6362091273</v>
      </c>
    </row>
    <row r="22" spans="2:56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v>66424</v>
      </c>
      <c r="R22" s="4">
        <f>SUM(R12:R14)*0.68+R10*0.5</f>
        <v>71326.168000000005</v>
      </c>
      <c r="S22" s="4">
        <f t="shared" ref="S22:W22" si="43">SUM(S12:S14)*0.68+S10*0.5</f>
        <v>89799.060000000012</v>
      </c>
      <c r="T22" s="4">
        <f t="shared" si="43"/>
        <v>74948.432000000001</v>
      </c>
      <c r="U22" s="4">
        <f t="shared" si="43"/>
        <v>77405.936000000016</v>
      </c>
      <c r="V22" s="4">
        <f t="shared" si="43"/>
        <v>83530.556000000011</v>
      </c>
      <c r="W22" s="4">
        <f t="shared" si="43"/>
        <v>104668.094</v>
      </c>
      <c r="AN22" s="2">
        <v>62752</v>
      </c>
      <c r="AO22" s="2">
        <v>71651</v>
      </c>
      <c r="AP22" s="2">
        <v>88265</v>
      </c>
      <c r="AQ22" s="2">
        <v>111934</v>
      </c>
      <c r="AR22" s="2">
        <v>139156</v>
      </c>
      <c r="AS22" s="2">
        <f t="shared" si="7"/>
        <v>165536</v>
      </c>
      <c r="AT22" s="2">
        <f t="shared" si="30"/>
        <v>233307</v>
      </c>
      <c r="AU22" s="2">
        <f t="shared" si="29"/>
        <v>272344</v>
      </c>
      <c r="AV22" s="17">
        <f>SUM(P22:S22)</f>
        <v>294048.228</v>
      </c>
      <c r="AW22" s="17">
        <f>SUM(T22:W22)</f>
        <v>340553.01800000004</v>
      </c>
      <c r="AX22" s="4">
        <f t="shared" ref="AX22:BD22" si="44">SUM(AX12:AX14)*0.8+AX10*0.7</f>
        <v>455729.35800000001</v>
      </c>
      <c r="AY22" s="4">
        <f t="shared" si="44"/>
        <v>505787.70689999999</v>
      </c>
      <c r="AZ22" s="4">
        <f t="shared" si="44"/>
        <v>566530.53754500009</v>
      </c>
      <c r="BA22" s="4">
        <f t="shared" si="44"/>
        <v>640946.54331225017</v>
      </c>
      <c r="BB22" s="4">
        <f t="shared" si="44"/>
        <v>708943.66401206283</v>
      </c>
      <c r="BC22" s="4">
        <f t="shared" si="44"/>
        <v>787530.59945370583</v>
      </c>
      <c r="BD22" s="4">
        <f t="shared" si="44"/>
        <v>878674.83211563923</v>
      </c>
    </row>
    <row r="23" spans="2:56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v>20342</v>
      </c>
      <c r="R23" s="4">
        <f>(R14+R12)*0.25</f>
        <v>21009.65</v>
      </c>
      <c r="S23" s="4">
        <f t="shared" ref="S23:W23" si="45">(S14+S12)*0.25</f>
        <v>27266.625</v>
      </c>
      <c r="T23" s="4">
        <f t="shared" si="45"/>
        <v>21660.974999999999</v>
      </c>
      <c r="U23" s="4">
        <f t="shared" si="45"/>
        <v>22197.925000000003</v>
      </c>
      <c r="V23" s="4">
        <f t="shared" si="45"/>
        <v>23838.175000000003</v>
      </c>
      <c r="W23" s="4">
        <f t="shared" si="45"/>
        <v>30902.887499999997</v>
      </c>
      <c r="AN23" s="2">
        <v>10766</v>
      </c>
      <c r="AO23" s="2">
        <v>13410</v>
      </c>
      <c r="AP23" s="2">
        <v>17619</v>
      </c>
      <c r="AQ23" s="2">
        <v>25249</v>
      </c>
      <c r="AR23" s="2">
        <v>34027</v>
      </c>
      <c r="AS23" s="2">
        <f t="shared" si="7"/>
        <v>40231</v>
      </c>
      <c r="AT23" s="2">
        <f t="shared" si="30"/>
        <v>58516</v>
      </c>
      <c r="AU23" s="2">
        <f t="shared" si="29"/>
        <v>75111</v>
      </c>
      <c r="AV23" s="17">
        <f>SUM(P23:S23)</f>
        <v>88889.274999999994</v>
      </c>
      <c r="AW23" s="17">
        <f>SUM(T23:W23)</f>
        <v>98599.962500000009</v>
      </c>
      <c r="AX23" s="4">
        <f t="shared" ref="AX23:BD23" si="46">(AX14+AX12)*0.1</f>
        <v>41411.984250000009</v>
      </c>
      <c r="AY23" s="4">
        <f t="shared" si="46"/>
        <v>43482.583462500006</v>
      </c>
      <c r="AZ23" s="4">
        <f t="shared" si="46"/>
        <v>45656.712635625008</v>
      </c>
      <c r="BA23" s="4">
        <f t="shared" si="46"/>
        <v>47939.548267406266</v>
      </c>
      <c r="BB23" s="4">
        <f t="shared" si="46"/>
        <v>50336.525680776576</v>
      </c>
      <c r="BC23" s="4">
        <f t="shared" si="46"/>
        <v>52853.351964815403</v>
      </c>
      <c r="BD23" s="4">
        <f t="shared" si="46"/>
        <v>55496.019563056179</v>
      </c>
    </row>
    <row r="24" spans="2:56" s="2" customFormat="1" x14ac:dyDescent="0.2">
      <c r="B24" s="2" t="s">
        <v>29</v>
      </c>
      <c r="C24" s="4">
        <f t="shared" ref="C24" si="47">C21-C22-C23</f>
        <v>17569</v>
      </c>
      <c r="D24" s="4">
        <f>D21-D22-D23</f>
        <v>17179</v>
      </c>
      <c r="E24" s="4">
        <f t="shared" ref="E24" si="48">E21-E22-E23</f>
        <v>17796</v>
      </c>
      <c r="F24" s="4">
        <f>F21-F22-F23</f>
        <v>18512</v>
      </c>
      <c r="G24" s="4">
        <f t="shared" ref="G24" si="49">G21-G22-G23</f>
        <v>21268</v>
      </c>
      <c r="H24" s="4">
        <f t="shared" ref="H24" si="50">H21-H22-H23</f>
        <v>19664</v>
      </c>
      <c r="I24" s="4">
        <f t="shared" ref="I24" si="51">I21-I22-I23</f>
        <v>22446</v>
      </c>
      <c r="J24" s="4">
        <f>J21-J22-J23</f>
        <v>24334</v>
      </c>
      <c r="K24" s="4">
        <f t="shared" ref="K24" si="52">K21-K22-K23</f>
        <v>27797</v>
      </c>
      <c r="L24" s="4">
        <f>L21-L22-L23</f>
        <v>29585</v>
      </c>
      <c r="M24" s="4">
        <f t="shared" ref="M24:W24" si="53">M21-M22-M23</f>
        <v>31266</v>
      </c>
      <c r="N24" s="4">
        <f t="shared" si="53"/>
        <v>29384</v>
      </c>
      <c r="O24" s="4">
        <f t="shared" si="53"/>
        <v>32132</v>
      </c>
      <c r="P24" s="4">
        <f t="shared" si="53"/>
        <v>29674</v>
      </c>
      <c r="Q24" s="4">
        <f t="shared" si="53"/>
        <v>34468</v>
      </c>
      <c r="R24" s="4">
        <f>R21-R22-R23</f>
        <v>37916.781999999999</v>
      </c>
      <c r="S24" s="4">
        <f t="shared" si="53"/>
        <v>43697.615000000005</v>
      </c>
      <c r="T24" s="4">
        <f t="shared" si="53"/>
        <v>40648.293000000012</v>
      </c>
      <c r="U24" s="4">
        <f t="shared" si="53"/>
        <v>43581.038999999975</v>
      </c>
      <c r="V24" s="4">
        <f t="shared" si="53"/>
        <v>47001.968999999997</v>
      </c>
      <c r="W24" s="4">
        <f t="shared" si="53"/>
        <v>53975.528499999986</v>
      </c>
      <c r="AN24" s="4">
        <f t="shared" ref="AN24:AQ24" si="54">AN21-AN22-AN23</f>
        <v>15470</v>
      </c>
      <c r="AO24" s="4">
        <f t="shared" si="54"/>
        <v>21945</v>
      </c>
      <c r="AP24" s="4">
        <f t="shared" si="54"/>
        <v>30103</v>
      </c>
      <c r="AQ24" s="4">
        <f t="shared" si="54"/>
        <v>40683</v>
      </c>
      <c r="AR24" s="4">
        <f t="shared" ref="AR24:AS24" si="55">AR21-AR22-AR23</f>
        <v>59704</v>
      </c>
      <c r="AS24" s="4">
        <f t="shared" si="55"/>
        <v>74755</v>
      </c>
      <c r="AT24" s="4">
        <f t="shared" ref="AT24:BD24" si="56">AT21-AT22-AT23</f>
        <v>94241</v>
      </c>
      <c r="AU24" s="4">
        <f t="shared" si="56"/>
        <v>122367</v>
      </c>
      <c r="AV24" s="4">
        <f t="shared" si="56"/>
        <v>145756.39700000003</v>
      </c>
      <c r="AW24" s="4">
        <f t="shared" si="56"/>
        <v>185206.82949999988</v>
      </c>
      <c r="AX24" s="4">
        <f t="shared" si="56"/>
        <v>192850.28625000009</v>
      </c>
      <c r="AY24" s="4">
        <f t="shared" si="56"/>
        <v>219069.95036250015</v>
      </c>
      <c r="AZ24" s="4">
        <f t="shared" si="56"/>
        <v>250595.90246062508</v>
      </c>
      <c r="BA24" s="4">
        <f t="shared" si="56"/>
        <v>288794.26436165627</v>
      </c>
      <c r="BB24" s="4">
        <f t="shared" si="56"/>
        <v>318641.0319515391</v>
      </c>
      <c r="BC24" s="4">
        <f t="shared" si="56"/>
        <v>353061.54879527621</v>
      </c>
      <c r="BD24" s="4">
        <f t="shared" si="56"/>
        <v>392900.78453043185</v>
      </c>
    </row>
    <row r="25" spans="2:56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v>18072</v>
      </c>
      <c r="R25" s="4">
        <f>+N25*1.25</f>
        <v>17975</v>
      </c>
      <c r="S25" s="4">
        <f t="shared" ref="S25:W25" si="57">+O25*1.1</f>
        <v>16844.300000000003</v>
      </c>
      <c r="T25" s="4">
        <f t="shared" si="57"/>
        <v>16326.2</v>
      </c>
      <c r="U25" s="4">
        <f t="shared" si="57"/>
        <v>19879.2</v>
      </c>
      <c r="V25" s="4">
        <f t="shared" si="57"/>
        <v>19772.5</v>
      </c>
      <c r="W25" s="4">
        <f t="shared" si="57"/>
        <v>18528.730000000003</v>
      </c>
      <c r="AN25" s="2">
        <v>9275</v>
      </c>
      <c r="AO25" s="2">
        <v>12540</v>
      </c>
      <c r="AP25" s="2">
        <v>16085</v>
      </c>
      <c r="AQ25" s="2">
        <v>22620</v>
      </c>
      <c r="AR25" s="2">
        <v>28837</v>
      </c>
      <c r="AS25" s="2">
        <f t="shared" si="7"/>
        <v>35932</v>
      </c>
      <c r="AT25" s="2">
        <f t="shared" si="30"/>
        <v>42738</v>
      </c>
      <c r="AU25" s="2">
        <f t="shared" si="29"/>
        <v>56052</v>
      </c>
      <c r="AV25" s="17">
        <f>SUM(P25:S25)</f>
        <v>67733.3</v>
      </c>
      <c r="AW25" s="17">
        <f>SUM(T25:W25)</f>
        <v>74506.63</v>
      </c>
      <c r="AX25" s="2">
        <f>+AW25*1.03</f>
        <v>76741.828900000008</v>
      </c>
      <c r="AY25" s="2">
        <f t="shared" ref="AY25:BD25" si="58">+AX25*1.03</f>
        <v>79044.083767000004</v>
      </c>
      <c r="AZ25" s="2">
        <f t="shared" si="58"/>
        <v>81415.406280010007</v>
      </c>
      <c r="BA25" s="2">
        <f t="shared" si="58"/>
        <v>83857.868468410306</v>
      </c>
      <c r="BB25" s="2">
        <f t="shared" si="58"/>
        <v>86373.604522462614</v>
      </c>
      <c r="BC25" s="2">
        <f t="shared" si="58"/>
        <v>88964.812658136492</v>
      </c>
      <c r="BD25" s="2">
        <f t="shared" si="58"/>
        <v>91633.757037880583</v>
      </c>
    </row>
    <row r="26" spans="2:56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v>10086</v>
      </c>
      <c r="R26" s="4">
        <f>+N26*1.15</f>
        <v>9211.5</v>
      </c>
      <c r="S26" s="4">
        <f t="shared" ref="S26:S27" si="59">+O26*1.05</f>
        <v>11350.5</v>
      </c>
      <c r="T26" s="4">
        <f t="shared" ref="T26:T27" si="60">+P26*1.05</f>
        <v>8736</v>
      </c>
      <c r="U26" s="4">
        <f t="shared" ref="U26:U27" si="61">+Q26*1.05</f>
        <v>10590.300000000001</v>
      </c>
      <c r="V26" s="4">
        <f t="shared" ref="V26:V27" si="62">+R26*1.05</f>
        <v>9672.0750000000007</v>
      </c>
      <c r="W26" s="4">
        <f t="shared" ref="W26:W27" si="63">+S26*1.05</f>
        <v>11918.025</v>
      </c>
      <c r="AN26" s="2">
        <v>4332</v>
      </c>
      <c r="AO26" s="2">
        <v>5254</v>
      </c>
      <c r="AP26" s="2">
        <v>7233</v>
      </c>
      <c r="AQ26" s="2">
        <v>10069</v>
      </c>
      <c r="AR26" s="2">
        <v>13814</v>
      </c>
      <c r="AS26" s="2">
        <f t="shared" si="7"/>
        <v>18879</v>
      </c>
      <c r="AT26" s="2">
        <f t="shared" si="30"/>
        <v>22010</v>
      </c>
      <c r="AU26" s="2">
        <f t="shared" si="29"/>
        <v>32551</v>
      </c>
      <c r="AV26" s="17">
        <f>SUM(P26:S26)</f>
        <v>38968</v>
      </c>
      <c r="AW26" s="17">
        <f>SUM(T26:W26)</f>
        <v>40916.400000000001</v>
      </c>
      <c r="AX26" s="2">
        <f t="shared" ref="AX26:BD26" si="64">+AW26*1.03</f>
        <v>42143.892</v>
      </c>
      <c r="AY26" s="2">
        <f t="shared" si="64"/>
        <v>43408.208760000001</v>
      </c>
      <c r="AZ26" s="2">
        <f t="shared" si="64"/>
        <v>44710.455022800001</v>
      </c>
      <c r="BA26" s="2">
        <f t="shared" si="64"/>
        <v>46051.768673484003</v>
      </c>
      <c r="BB26" s="2">
        <f t="shared" si="64"/>
        <v>47433.321733688521</v>
      </c>
      <c r="BC26" s="2">
        <f t="shared" si="64"/>
        <v>48856.321385699179</v>
      </c>
      <c r="BD26" s="2">
        <f t="shared" si="64"/>
        <v>50322.011027270157</v>
      </c>
    </row>
    <row r="27" spans="2:56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v>2903</v>
      </c>
      <c r="R27" s="4">
        <f>+N27*1.15</f>
        <v>2475.9499999999998</v>
      </c>
      <c r="S27" s="4">
        <f t="shared" si="59"/>
        <v>2651.25</v>
      </c>
      <c r="T27" s="4">
        <f t="shared" si="60"/>
        <v>2723.7000000000003</v>
      </c>
      <c r="U27" s="4">
        <f t="shared" si="61"/>
        <v>3048.15</v>
      </c>
      <c r="V27" s="4">
        <f t="shared" si="62"/>
        <v>2599.7474999999999</v>
      </c>
      <c r="W27" s="4">
        <f t="shared" si="63"/>
        <v>2783.8125</v>
      </c>
      <c r="AN27" s="2">
        <v>1552</v>
      </c>
      <c r="AO27" s="2">
        <v>1747</v>
      </c>
      <c r="AP27" s="2">
        <v>2432</v>
      </c>
      <c r="AQ27" s="2">
        <v>3674</v>
      </c>
      <c r="AR27" s="2">
        <v>4336</v>
      </c>
      <c r="AS27" s="2">
        <f t="shared" si="7"/>
        <v>5203</v>
      </c>
      <c r="AT27" s="2">
        <f t="shared" si="30"/>
        <v>6668</v>
      </c>
      <c r="AU27" s="2">
        <f t="shared" si="29"/>
        <v>8823</v>
      </c>
      <c r="AV27" s="17">
        <f>SUM(P27:S27)</f>
        <v>10624.2</v>
      </c>
      <c r="AW27" s="17">
        <f>SUM(T27:W27)</f>
        <v>11155.41</v>
      </c>
      <c r="AX27" s="2">
        <f t="shared" ref="AX27:BD27" si="65">+AW27*1.03</f>
        <v>11490.0723</v>
      </c>
      <c r="AY27" s="2">
        <f t="shared" si="65"/>
        <v>11834.774469</v>
      </c>
      <c r="AZ27" s="2">
        <f t="shared" si="65"/>
        <v>12189.817703070001</v>
      </c>
      <c r="BA27" s="2">
        <f t="shared" si="65"/>
        <v>12555.512234162101</v>
      </c>
      <c r="BB27" s="2">
        <f t="shared" si="65"/>
        <v>12932.177601186964</v>
      </c>
      <c r="BC27" s="2">
        <f t="shared" si="65"/>
        <v>13320.142929222573</v>
      </c>
      <c r="BD27" s="2">
        <f t="shared" si="65"/>
        <v>13719.747217099251</v>
      </c>
    </row>
    <row r="28" spans="2:56" x14ac:dyDescent="0.2">
      <c r="B28" s="2" t="s">
        <v>27</v>
      </c>
      <c r="C28" s="4">
        <f t="shared" ref="C28" si="66">SUM(C25:C27)</f>
        <v>13697</v>
      </c>
      <c r="D28" s="4">
        <f>SUM(D25:D27)</f>
        <v>12764</v>
      </c>
      <c r="E28" s="4">
        <f t="shared" ref="E28" si="67">SUM(E25:E27)</f>
        <v>14626</v>
      </c>
      <c r="F28" s="4">
        <f>SUM(F25:F27)</f>
        <v>15300</v>
      </c>
      <c r="G28" s="4">
        <f t="shared" ref="G28" si="68">SUM(G25:G27)</f>
        <v>17324</v>
      </c>
      <c r="H28" s="4">
        <f t="shared" ref="H28" si="69">SUM(H25:H27)</f>
        <v>15605</v>
      </c>
      <c r="I28" s="4">
        <f t="shared" ref="I28" si="70">SUM(I25:I27)</f>
        <v>16313</v>
      </c>
      <c r="J28" s="4">
        <f>SUM(J25:J27)</f>
        <v>18078</v>
      </c>
      <c r="K28" s="4">
        <f t="shared" ref="K28" si="71">SUM(K25:K27)</f>
        <v>21420</v>
      </c>
      <c r="L28" s="4">
        <f>SUM(L25:L27)</f>
        <v>20682</v>
      </c>
      <c r="M28" s="4">
        <f t="shared" ref="M28:P28" si="72">SUM(M25:M27)</f>
        <v>23553</v>
      </c>
      <c r="N28" s="4">
        <f t="shared" si="72"/>
        <v>24543</v>
      </c>
      <c r="O28" s="4">
        <f t="shared" si="72"/>
        <v>28648</v>
      </c>
      <c r="P28" s="4">
        <f t="shared" si="72"/>
        <v>25756</v>
      </c>
      <c r="Q28" s="4">
        <f t="shared" ref="Q28:W28" si="73">SUM(Q25:Q27)</f>
        <v>31061</v>
      </c>
      <c r="R28" s="4">
        <f>SUM(R25:R27)</f>
        <v>29662.45</v>
      </c>
      <c r="S28" s="4">
        <f t="shared" si="73"/>
        <v>30846.050000000003</v>
      </c>
      <c r="T28" s="4">
        <f t="shared" si="73"/>
        <v>27785.9</v>
      </c>
      <c r="U28" s="4">
        <f t="shared" si="73"/>
        <v>33517.65</v>
      </c>
      <c r="V28" s="4">
        <f t="shared" si="73"/>
        <v>32044.322500000002</v>
      </c>
      <c r="W28" s="4">
        <f t="shared" si="73"/>
        <v>33230.567500000005</v>
      </c>
      <c r="AN28" s="4">
        <f t="shared" ref="AN28:AP28" si="74">SUM(AN25:AN27)</f>
        <v>15159</v>
      </c>
      <c r="AO28" s="4">
        <f t="shared" si="74"/>
        <v>19541</v>
      </c>
      <c r="AP28" s="4">
        <f t="shared" si="74"/>
        <v>25750</v>
      </c>
      <c r="AQ28" s="4">
        <f t="shared" ref="AQ28" si="75">SUM(AQ25:AQ27)</f>
        <v>36363</v>
      </c>
      <c r="AR28" s="4">
        <f t="shared" ref="AR28:AS28" si="76">SUM(AR25:AR27)</f>
        <v>46987</v>
      </c>
      <c r="AS28" s="4">
        <f t="shared" si="76"/>
        <v>60014</v>
      </c>
      <c r="AT28" s="4">
        <f t="shared" ref="AT28:AU28" si="77">SUM(AT25:AT27)</f>
        <v>71416</v>
      </c>
      <c r="AU28" s="4">
        <f t="shared" si="77"/>
        <v>97426</v>
      </c>
      <c r="AV28" s="4">
        <f t="shared" ref="AV28:AW28" si="78">SUM(AV25:AV27)</f>
        <v>117325.5</v>
      </c>
      <c r="AW28" s="4">
        <f t="shared" si="78"/>
        <v>126578.44</v>
      </c>
      <c r="AX28" s="4">
        <f t="shared" ref="AX28:BD28" si="79">SUM(AX25:AX27)</f>
        <v>130375.79320000001</v>
      </c>
      <c r="AY28" s="4">
        <f t="shared" si="79"/>
        <v>134287.06699600001</v>
      </c>
      <c r="AZ28" s="4">
        <f t="shared" si="79"/>
        <v>138315.67900588</v>
      </c>
      <c r="BA28" s="4">
        <f t="shared" si="79"/>
        <v>142465.14937605642</v>
      </c>
      <c r="BB28" s="4">
        <f t="shared" si="79"/>
        <v>146739.10385733811</v>
      </c>
      <c r="BC28" s="4">
        <f t="shared" si="79"/>
        <v>151141.27697305827</v>
      </c>
      <c r="BD28" s="4">
        <f t="shared" si="79"/>
        <v>155675.51528224998</v>
      </c>
    </row>
    <row r="29" spans="2:56" x14ac:dyDescent="0.2">
      <c r="B29" s="2" t="s">
        <v>28</v>
      </c>
      <c r="C29" s="4">
        <f t="shared" ref="C29" si="80">C24-C28</f>
        <v>3872</v>
      </c>
      <c r="D29" s="4">
        <f>D24-D28</f>
        <v>4415</v>
      </c>
      <c r="E29" s="4">
        <f t="shared" ref="E29" si="81">E24-E28</f>
        <v>3170</v>
      </c>
      <c r="F29" s="4">
        <f>F24-F28</f>
        <v>3212</v>
      </c>
      <c r="G29" s="4">
        <f t="shared" ref="G29" si="82">G24-G28</f>
        <v>3944</v>
      </c>
      <c r="H29" s="4">
        <f t="shared" ref="H29" si="83">H24-H28</f>
        <v>4059</v>
      </c>
      <c r="I29" s="4">
        <f t="shared" ref="I29" si="84">I24-I28</f>
        <v>6133</v>
      </c>
      <c r="J29" s="4">
        <f>J24-J28</f>
        <v>6256</v>
      </c>
      <c r="K29" s="4">
        <f t="shared" ref="K29" si="85">K24-K28</f>
        <v>6377</v>
      </c>
      <c r="L29" s="4">
        <f>L24-L28</f>
        <v>8903</v>
      </c>
      <c r="M29" s="4">
        <f t="shared" ref="M29:P29" si="86">M24-M28</f>
        <v>7713</v>
      </c>
      <c r="N29" s="4">
        <f t="shared" si="86"/>
        <v>4841</v>
      </c>
      <c r="O29" s="4">
        <f t="shared" si="86"/>
        <v>3484</v>
      </c>
      <c r="P29" s="4">
        <f t="shared" si="86"/>
        <v>3918</v>
      </c>
      <c r="Q29" s="4">
        <f t="shared" ref="Q29:W29" si="87">Q24-Q28</f>
        <v>3407</v>
      </c>
      <c r="R29" s="4">
        <f t="shared" si="87"/>
        <v>8254.3319999999985</v>
      </c>
      <c r="S29" s="4">
        <f t="shared" si="87"/>
        <v>12851.565000000002</v>
      </c>
      <c r="T29" s="4">
        <f t="shared" si="87"/>
        <v>12862.393000000011</v>
      </c>
      <c r="U29" s="4">
        <f t="shared" si="87"/>
        <v>10063.388999999974</v>
      </c>
      <c r="V29" s="4">
        <f t="shared" si="87"/>
        <v>14957.646499999995</v>
      </c>
      <c r="W29" s="4">
        <f t="shared" si="87"/>
        <v>20744.960999999981</v>
      </c>
      <c r="AN29" s="4">
        <f t="shared" ref="AN29:AP29" si="88">AN24-AN28</f>
        <v>311</v>
      </c>
      <c r="AO29" s="4">
        <f t="shared" si="88"/>
        <v>2404</v>
      </c>
      <c r="AP29" s="4">
        <f t="shared" si="88"/>
        <v>4353</v>
      </c>
      <c r="AQ29" s="4">
        <f t="shared" ref="AQ29" si="89">AQ24-AQ28</f>
        <v>4320</v>
      </c>
      <c r="AR29" s="4">
        <f t="shared" ref="AR29:AS29" si="90">AR24-AR28</f>
        <v>12717</v>
      </c>
      <c r="AS29" s="4">
        <f t="shared" si="90"/>
        <v>14741</v>
      </c>
      <c r="AT29" s="4">
        <f t="shared" ref="AT29:AU29" si="91">AT24-AT28</f>
        <v>22825</v>
      </c>
      <c r="AU29" s="4">
        <f t="shared" si="91"/>
        <v>24941</v>
      </c>
      <c r="AV29" s="4">
        <f t="shared" ref="AV29:AW29" si="92">AV24-AV28</f>
        <v>28430.897000000026</v>
      </c>
      <c r="AW29" s="4">
        <f t="shared" si="92"/>
        <v>58628.389499999874</v>
      </c>
      <c r="AX29" s="4">
        <f t="shared" ref="AX29:BD29" si="93">AX24-AX28</f>
        <v>62474.493050000077</v>
      </c>
      <c r="AY29" s="4">
        <f t="shared" si="93"/>
        <v>84782.883366500144</v>
      </c>
      <c r="AZ29" s="4">
        <f t="shared" si="93"/>
        <v>112280.22345474508</v>
      </c>
      <c r="BA29" s="4">
        <f t="shared" si="93"/>
        <v>146329.11498559985</v>
      </c>
      <c r="BB29" s="4">
        <f t="shared" si="93"/>
        <v>171901.92809420099</v>
      </c>
      <c r="BC29" s="4">
        <f t="shared" si="93"/>
        <v>201920.27182221794</v>
      </c>
      <c r="BD29" s="4">
        <f t="shared" si="93"/>
        <v>237225.26924818187</v>
      </c>
    </row>
    <row r="30" spans="2:56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>
        <f>159-584</f>
        <v>-425</v>
      </c>
      <c r="R30" s="4"/>
      <c r="S30" s="4"/>
      <c r="AN30" s="2">
        <f>-133+39-210-118</f>
        <v>-422</v>
      </c>
      <c r="AO30" s="2">
        <f>-171+50-459-256</f>
        <v>-836</v>
      </c>
      <c r="AP30" s="2">
        <f>-167+100-484+90</f>
        <v>-461</v>
      </c>
      <c r="AQ30" s="2">
        <f>-214+202-848+346</f>
        <v>-514</v>
      </c>
      <c r="AR30" s="2">
        <f>-296+440-1417-183</f>
        <v>-1456</v>
      </c>
      <c r="AS30" s="2">
        <f t="shared" ref="AS30" si="94">SUM(D30:G30)</f>
        <v>-766</v>
      </c>
      <c r="AT30" s="2">
        <f t="shared" ref="AT30" si="95">SUM(H30:K30)</f>
        <v>1353</v>
      </c>
      <c r="AU30" s="2">
        <f t="shared" ref="AU30" si="96">SUM(L30:O30)</f>
        <v>13210</v>
      </c>
      <c r="AV30" s="17">
        <f>SUM(P30:S30)</f>
        <v>-9608</v>
      </c>
      <c r="AW30" s="17">
        <f>SUM(T30:W30)</f>
        <v>0</v>
      </c>
      <c r="AX30" s="2">
        <f>+AW45*$BG$44</f>
        <v>895.85143524999967</v>
      </c>
      <c r="AY30" s="2">
        <f t="shared" ref="AY30:BD30" si="97">+AX45*$BG$44</f>
        <v>1434.4993633746251</v>
      </c>
      <c r="AZ30" s="2">
        <f t="shared" si="97"/>
        <v>2167.3471165785609</v>
      </c>
      <c r="BA30" s="2">
        <f t="shared" si="97"/>
        <v>3140.1514664348115</v>
      </c>
      <c r="BB30" s="2">
        <f t="shared" si="97"/>
        <v>4410.6402312771061</v>
      </c>
      <c r="BC30" s="2">
        <f t="shared" si="97"/>
        <v>5909.2970620436699</v>
      </c>
      <c r="BD30" s="2">
        <f t="shared" si="97"/>
        <v>7675.8483975598938</v>
      </c>
    </row>
    <row r="31" spans="2:56" s="2" customFormat="1" x14ac:dyDescent="0.2">
      <c r="B31" s="2" t="s">
        <v>30</v>
      </c>
      <c r="C31" s="4">
        <f t="shared" ref="C31" si="98">C29+C30</f>
        <v>3350</v>
      </c>
      <c r="D31" s="4">
        <f>D29+D30</f>
        <v>4401</v>
      </c>
      <c r="E31" s="4">
        <f t="shared" ref="E31" si="99">E29+E30</f>
        <v>2889</v>
      </c>
      <c r="F31" s="4">
        <f>F29+F30</f>
        <v>2632</v>
      </c>
      <c r="G31" s="4">
        <f t="shared" ref="G31" si="100">G29+G30</f>
        <v>4053</v>
      </c>
      <c r="H31" s="4">
        <f t="shared" ref="H31" si="101">H29+H30</f>
        <v>3383</v>
      </c>
      <c r="I31" s="4">
        <f t="shared" ref="I31" si="102">I29+I30</f>
        <v>6221</v>
      </c>
      <c r="J31" s="4">
        <f>J29+J30</f>
        <v>6809</v>
      </c>
      <c r="K31" s="4">
        <f t="shared" ref="K31" si="103">K29+K30</f>
        <v>7765</v>
      </c>
      <c r="L31" s="4">
        <f>L29+L30</f>
        <v>10268</v>
      </c>
      <c r="M31" s="4">
        <f t="shared" ref="M31:W31" si="104">M29+M30</f>
        <v>8634</v>
      </c>
      <c r="N31" s="4">
        <f t="shared" si="104"/>
        <v>4315</v>
      </c>
      <c r="O31" s="4">
        <f t="shared" si="104"/>
        <v>14934</v>
      </c>
      <c r="P31" s="4">
        <f t="shared" si="104"/>
        <v>-5265</v>
      </c>
      <c r="Q31" s="4">
        <f t="shared" si="104"/>
        <v>2982</v>
      </c>
      <c r="R31" s="4">
        <f t="shared" si="104"/>
        <v>8254.3319999999985</v>
      </c>
      <c r="S31" s="4">
        <f t="shared" si="104"/>
        <v>12851.565000000002</v>
      </c>
      <c r="T31" s="4">
        <f t="shared" si="104"/>
        <v>12862.393000000011</v>
      </c>
      <c r="U31" s="4">
        <f t="shared" si="104"/>
        <v>10063.388999999974</v>
      </c>
      <c r="V31" s="4">
        <f t="shared" si="104"/>
        <v>14957.646499999995</v>
      </c>
      <c r="W31" s="4">
        <f t="shared" si="104"/>
        <v>20744.960999999981</v>
      </c>
      <c r="AN31" s="4">
        <f t="shared" ref="AN31:AP31" si="105">AN29+AN30</f>
        <v>-111</v>
      </c>
      <c r="AO31" s="4">
        <f t="shared" si="105"/>
        <v>1568</v>
      </c>
      <c r="AP31" s="4">
        <f t="shared" si="105"/>
        <v>3892</v>
      </c>
      <c r="AQ31" s="4">
        <f t="shared" ref="AQ31" si="106">AQ29+AQ30</f>
        <v>3806</v>
      </c>
      <c r="AR31" s="4">
        <f t="shared" ref="AR31:AS31" si="107">AR29+AR30</f>
        <v>11261</v>
      </c>
      <c r="AS31" s="4">
        <f t="shared" si="107"/>
        <v>13975</v>
      </c>
      <c r="AT31" s="4">
        <f t="shared" ref="AT31:BD31" si="108">AT29+AT30</f>
        <v>24178</v>
      </c>
      <c r="AU31" s="4">
        <f t="shared" si="108"/>
        <v>38151</v>
      </c>
      <c r="AV31" s="4">
        <f t="shared" si="108"/>
        <v>18822.897000000026</v>
      </c>
      <c r="AW31" s="4">
        <f t="shared" si="108"/>
        <v>58628.389499999874</v>
      </c>
      <c r="AX31" s="4">
        <f t="shared" si="108"/>
        <v>63370.344485250076</v>
      </c>
      <c r="AY31" s="4">
        <f t="shared" si="108"/>
        <v>86217.382729874764</v>
      </c>
      <c r="AZ31" s="4">
        <f t="shared" si="108"/>
        <v>114447.57057132364</v>
      </c>
      <c r="BA31" s="4">
        <f t="shared" si="108"/>
        <v>149469.26645203467</v>
      </c>
      <c r="BB31" s="4">
        <f t="shared" si="108"/>
        <v>176312.56832547809</v>
      </c>
      <c r="BC31" s="4">
        <f t="shared" si="108"/>
        <v>207829.56888426162</v>
      </c>
      <c r="BD31" s="4">
        <f t="shared" si="108"/>
        <v>244901.11764574176</v>
      </c>
    </row>
    <row r="32" spans="2:56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v>0</v>
      </c>
      <c r="R32" s="4">
        <f t="shared" ref="R32:W32" si="109">+R31*0.15</f>
        <v>1238.1497999999997</v>
      </c>
      <c r="S32" s="4">
        <f t="shared" si="109"/>
        <v>1927.7347500000003</v>
      </c>
      <c r="T32" s="4">
        <f t="shared" si="109"/>
        <v>1929.3589500000016</v>
      </c>
      <c r="U32" s="4">
        <f t="shared" si="109"/>
        <v>1509.508349999996</v>
      </c>
      <c r="V32" s="4">
        <f t="shared" si="109"/>
        <v>2243.6469749999992</v>
      </c>
      <c r="W32" s="4">
        <f t="shared" si="109"/>
        <v>3111.7441499999973</v>
      </c>
      <c r="AN32" s="2">
        <f>167-37</f>
        <v>130</v>
      </c>
      <c r="AO32" s="2">
        <f>950+22</f>
        <v>972</v>
      </c>
      <c r="AP32" s="2">
        <f>1425+96</f>
        <v>1521</v>
      </c>
      <c r="AQ32" s="2">
        <f>769+4</f>
        <v>773</v>
      </c>
      <c r="AR32" s="2">
        <f>1197-9</f>
        <v>1188</v>
      </c>
      <c r="AS32" s="2">
        <f t="shared" ref="AS32" si="110">SUM(D32:G32)</f>
        <v>2387</v>
      </c>
      <c r="AT32" s="2">
        <f t="shared" ref="AT32" si="111">SUM(H32:K32)</f>
        <v>2847</v>
      </c>
      <c r="AU32" s="2">
        <f t="shared" ref="AU32" si="112">SUM(L32:O32)</f>
        <v>4787</v>
      </c>
      <c r="AV32" s="17">
        <f>SUM(P32:S32)</f>
        <v>1744.88455</v>
      </c>
      <c r="AW32" s="17">
        <f>SUM(T32:W32)</f>
        <v>8794.2584249999945</v>
      </c>
      <c r="AX32" s="2">
        <f>+AX31*0.15</f>
        <v>9505.5516727875111</v>
      </c>
      <c r="AY32" s="2">
        <f t="shared" ref="AY32:BD32" si="113">+AY31*0.15</f>
        <v>12932.607409481214</v>
      </c>
      <c r="AZ32" s="2">
        <f t="shared" si="113"/>
        <v>17167.135585698546</v>
      </c>
      <c r="BA32" s="2">
        <f t="shared" si="113"/>
        <v>22420.3899678052</v>
      </c>
      <c r="BB32" s="2">
        <f t="shared" si="113"/>
        <v>26446.885248821713</v>
      </c>
      <c r="BC32" s="2">
        <f t="shared" si="113"/>
        <v>31174.435332639241</v>
      </c>
      <c r="BD32" s="2">
        <f t="shared" si="113"/>
        <v>36735.167646861264</v>
      </c>
    </row>
    <row r="33" spans="2:118" s="2" customFormat="1" x14ac:dyDescent="0.2">
      <c r="B33" s="2" t="s">
        <v>33</v>
      </c>
      <c r="C33" s="4">
        <f t="shared" ref="C33" si="114">C31-C32</f>
        <v>3027</v>
      </c>
      <c r="D33" s="4">
        <f>D31-D32</f>
        <v>3561</v>
      </c>
      <c r="E33" s="4">
        <f t="shared" ref="E33" si="115">E31-E32</f>
        <v>2625</v>
      </c>
      <c r="F33" s="4">
        <f>F31-F32</f>
        <v>2134</v>
      </c>
      <c r="G33" s="4">
        <f t="shared" ref="G33" si="116">G31-G32</f>
        <v>3268</v>
      </c>
      <c r="H33" s="4">
        <f t="shared" ref="H33" si="117">H31-H32</f>
        <v>2535</v>
      </c>
      <c r="I33" s="4">
        <f t="shared" ref="I33" si="118">I31-I32</f>
        <v>5243</v>
      </c>
      <c r="J33" s="4">
        <f>J31-J32</f>
        <v>6331</v>
      </c>
      <c r="K33" s="4">
        <f t="shared" ref="K33" si="119">K31-K32</f>
        <v>7222</v>
      </c>
      <c r="L33" s="4">
        <f>L31-L32</f>
        <v>8107</v>
      </c>
      <c r="M33" s="4">
        <f t="shared" ref="M33:W33" si="120">M31-M32</f>
        <v>7778</v>
      </c>
      <c r="N33" s="4">
        <f t="shared" si="120"/>
        <v>3156</v>
      </c>
      <c r="O33" s="4">
        <f t="shared" si="120"/>
        <v>14323</v>
      </c>
      <c r="P33" s="4">
        <f t="shared" si="120"/>
        <v>-3844</v>
      </c>
      <c r="Q33" s="4">
        <f t="shared" si="120"/>
        <v>2982</v>
      </c>
      <c r="R33" s="4">
        <f t="shared" si="120"/>
        <v>7016.1821999999993</v>
      </c>
      <c r="S33" s="4">
        <f t="shared" si="120"/>
        <v>10923.830250000003</v>
      </c>
      <c r="T33" s="4">
        <f t="shared" si="120"/>
        <v>10933.034050000009</v>
      </c>
      <c r="U33" s="4">
        <f t="shared" si="120"/>
        <v>8553.8806499999773</v>
      </c>
      <c r="V33" s="4">
        <f t="shared" si="120"/>
        <v>12713.999524999996</v>
      </c>
      <c r="W33" s="4">
        <f t="shared" si="120"/>
        <v>17633.216849999983</v>
      </c>
      <c r="AN33" s="4">
        <f t="shared" ref="AN33:AP33" si="121">AN31-AN32</f>
        <v>-241</v>
      </c>
      <c r="AO33" s="4">
        <f t="shared" si="121"/>
        <v>596</v>
      </c>
      <c r="AP33" s="4">
        <f t="shared" si="121"/>
        <v>2371</v>
      </c>
      <c r="AQ33" s="4">
        <f t="shared" ref="AQ33" si="122">AQ31-AQ32</f>
        <v>3033</v>
      </c>
      <c r="AR33" s="4">
        <f t="shared" ref="AR33:AS33" si="123">AR31-AR32</f>
        <v>10073</v>
      </c>
      <c r="AS33" s="4">
        <f t="shared" si="123"/>
        <v>11588</v>
      </c>
      <c r="AT33" s="4">
        <f t="shared" ref="AT33:AW33" si="124">AT31-AT32</f>
        <v>21331</v>
      </c>
      <c r="AU33" s="4">
        <f t="shared" si="124"/>
        <v>33364</v>
      </c>
      <c r="AV33" s="4">
        <f t="shared" si="124"/>
        <v>17078.012450000027</v>
      </c>
      <c r="AW33" s="4">
        <f t="shared" si="124"/>
        <v>49834.131074999881</v>
      </c>
      <c r="AX33" s="4">
        <f t="shared" ref="AX33:BD33" si="125">AX31-AX32</f>
        <v>53864.792812462561</v>
      </c>
      <c r="AY33" s="4">
        <f t="shared" si="125"/>
        <v>73284.775320393557</v>
      </c>
      <c r="AZ33" s="4">
        <f t="shared" si="125"/>
        <v>97280.434985625092</v>
      </c>
      <c r="BA33" s="4">
        <f t="shared" si="125"/>
        <v>127048.87648422948</v>
      </c>
      <c r="BB33" s="4">
        <f t="shared" si="125"/>
        <v>149865.68307665637</v>
      </c>
      <c r="BC33" s="4">
        <f t="shared" si="125"/>
        <v>176655.13355162239</v>
      </c>
      <c r="BD33" s="4">
        <f t="shared" si="125"/>
        <v>208165.9499988805</v>
      </c>
      <c r="BE33" s="2">
        <f>+BD33*(1+$BG$45)</f>
        <v>208165.9499988805</v>
      </c>
      <c r="BF33" s="2">
        <f t="shared" ref="BF33:DN33" si="126">+BE33*(1+$BG$45)</f>
        <v>208165.9499988805</v>
      </c>
      <c r="BG33" s="2">
        <f t="shared" si="126"/>
        <v>208165.9499988805</v>
      </c>
      <c r="BH33" s="2">
        <f t="shared" si="126"/>
        <v>208165.9499988805</v>
      </c>
      <c r="BI33" s="2">
        <f t="shared" si="126"/>
        <v>208165.9499988805</v>
      </c>
      <c r="BJ33" s="2">
        <f t="shared" si="126"/>
        <v>208165.9499988805</v>
      </c>
      <c r="BK33" s="2">
        <f t="shared" si="126"/>
        <v>208165.9499988805</v>
      </c>
      <c r="BL33" s="2">
        <f t="shared" si="126"/>
        <v>208165.9499988805</v>
      </c>
      <c r="BM33" s="2">
        <f t="shared" si="126"/>
        <v>208165.9499988805</v>
      </c>
      <c r="BN33" s="2">
        <f t="shared" si="126"/>
        <v>208165.9499988805</v>
      </c>
      <c r="BO33" s="2">
        <f t="shared" si="126"/>
        <v>208165.9499988805</v>
      </c>
      <c r="BP33" s="2">
        <f t="shared" si="126"/>
        <v>208165.9499988805</v>
      </c>
      <c r="BQ33" s="2">
        <f t="shared" si="126"/>
        <v>208165.9499988805</v>
      </c>
      <c r="BR33" s="2">
        <f t="shared" si="126"/>
        <v>208165.9499988805</v>
      </c>
      <c r="BS33" s="2">
        <f t="shared" si="126"/>
        <v>208165.9499988805</v>
      </c>
      <c r="BT33" s="2">
        <f t="shared" si="126"/>
        <v>208165.9499988805</v>
      </c>
      <c r="BU33" s="2">
        <f t="shared" si="126"/>
        <v>208165.9499988805</v>
      </c>
      <c r="BV33" s="2">
        <f t="shared" si="126"/>
        <v>208165.9499988805</v>
      </c>
      <c r="BW33" s="2">
        <f t="shared" si="126"/>
        <v>208165.9499988805</v>
      </c>
      <c r="BX33" s="2">
        <f t="shared" si="126"/>
        <v>208165.9499988805</v>
      </c>
      <c r="BY33" s="2">
        <f t="shared" si="126"/>
        <v>208165.9499988805</v>
      </c>
      <c r="BZ33" s="2">
        <f t="shared" si="126"/>
        <v>208165.9499988805</v>
      </c>
      <c r="CA33" s="2">
        <f t="shared" si="126"/>
        <v>208165.9499988805</v>
      </c>
      <c r="CB33" s="2">
        <f t="shared" si="126"/>
        <v>208165.9499988805</v>
      </c>
      <c r="CC33" s="2">
        <f t="shared" si="126"/>
        <v>208165.9499988805</v>
      </c>
      <c r="CD33" s="2">
        <f t="shared" si="126"/>
        <v>208165.9499988805</v>
      </c>
      <c r="CE33" s="2">
        <f t="shared" si="126"/>
        <v>208165.9499988805</v>
      </c>
      <c r="CF33" s="2">
        <f t="shared" si="126"/>
        <v>208165.9499988805</v>
      </c>
      <c r="CG33" s="2">
        <f t="shared" si="126"/>
        <v>208165.9499988805</v>
      </c>
      <c r="CH33" s="2">
        <f t="shared" si="126"/>
        <v>208165.9499988805</v>
      </c>
      <c r="CI33" s="2">
        <f t="shared" si="126"/>
        <v>208165.9499988805</v>
      </c>
      <c r="CJ33" s="2">
        <f t="shared" si="126"/>
        <v>208165.9499988805</v>
      </c>
      <c r="CK33" s="2">
        <f t="shared" si="126"/>
        <v>208165.9499988805</v>
      </c>
      <c r="CL33" s="2">
        <f t="shared" si="126"/>
        <v>208165.9499988805</v>
      </c>
      <c r="CM33" s="2">
        <f t="shared" si="126"/>
        <v>208165.9499988805</v>
      </c>
      <c r="CN33" s="2">
        <f t="shared" si="126"/>
        <v>208165.9499988805</v>
      </c>
      <c r="CO33" s="2">
        <f t="shared" si="126"/>
        <v>208165.9499988805</v>
      </c>
      <c r="CP33" s="2">
        <f t="shared" si="126"/>
        <v>208165.9499988805</v>
      </c>
      <c r="CQ33" s="2">
        <f t="shared" si="126"/>
        <v>208165.9499988805</v>
      </c>
      <c r="CR33" s="2">
        <f t="shared" si="126"/>
        <v>208165.9499988805</v>
      </c>
      <c r="CS33" s="2">
        <f t="shared" si="126"/>
        <v>208165.9499988805</v>
      </c>
      <c r="CT33" s="2">
        <f t="shared" si="126"/>
        <v>208165.9499988805</v>
      </c>
      <c r="CU33" s="2">
        <f t="shared" si="126"/>
        <v>208165.9499988805</v>
      </c>
      <c r="CV33" s="2">
        <f t="shared" si="126"/>
        <v>208165.9499988805</v>
      </c>
      <c r="CW33" s="2">
        <f t="shared" si="126"/>
        <v>208165.9499988805</v>
      </c>
      <c r="CX33" s="2">
        <f t="shared" si="126"/>
        <v>208165.9499988805</v>
      </c>
      <c r="CY33" s="2">
        <f t="shared" si="126"/>
        <v>208165.9499988805</v>
      </c>
      <c r="CZ33" s="2">
        <f t="shared" si="126"/>
        <v>208165.9499988805</v>
      </c>
      <c r="DA33" s="2">
        <f t="shared" si="126"/>
        <v>208165.9499988805</v>
      </c>
      <c r="DB33" s="2">
        <f t="shared" si="126"/>
        <v>208165.9499988805</v>
      </c>
      <c r="DC33" s="2">
        <f t="shared" si="126"/>
        <v>208165.9499988805</v>
      </c>
      <c r="DD33" s="2">
        <f t="shared" si="126"/>
        <v>208165.9499988805</v>
      </c>
      <c r="DE33" s="2">
        <f t="shared" si="126"/>
        <v>208165.9499988805</v>
      </c>
      <c r="DF33" s="2">
        <f t="shared" si="126"/>
        <v>208165.9499988805</v>
      </c>
      <c r="DG33" s="2">
        <f t="shared" si="126"/>
        <v>208165.9499988805</v>
      </c>
      <c r="DH33" s="2">
        <f t="shared" si="126"/>
        <v>208165.9499988805</v>
      </c>
      <c r="DI33" s="2">
        <f t="shared" si="126"/>
        <v>208165.9499988805</v>
      </c>
      <c r="DJ33" s="2">
        <f t="shared" si="126"/>
        <v>208165.9499988805</v>
      </c>
      <c r="DK33" s="2">
        <f t="shared" si="126"/>
        <v>208165.9499988805</v>
      </c>
      <c r="DL33" s="2">
        <f t="shared" si="126"/>
        <v>208165.9499988805</v>
      </c>
      <c r="DM33" s="2">
        <f t="shared" si="126"/>
        <v>208165.9499988805</v>
      </c>
      <c r="DN33" s="2">
        <f t="shared" si="126"/>
        <v>208165.9499988805</v>
      </c>
    </row>
    <row r="34" spans="2:118" x14ac:dyDescent="0.2">
      <c r="B34" s="2" t="s">
        <v>34</v>
      </c>
      <c r="C34" s="7">
        <f t="shared" ref="C34" si="127">C33/C35</f>
        <v>6.0419161676646711</v>
      </c>
      <c r="D34" s="7">
        <f>D33/D35</f>
        <v>7.0936254980079685</v>
      </c>
      <c r="E34" s="7">
        <f t="shared" ref="E34" si="128">E33/E35</f>
        <v>5.2186878727634198</v>
      </c>
      <c r="F34" s="7">
        <f>F33/F35</f>
        <v>4.2341269841269842</v>
      </c>
      <c r="G34" s="7">
        <f t="shared" ref="G34" si="129">G33/G35</f>
        <v>6.4712871287128717</v>
      </c>
      <c r="H34" s="7">
        <f t="shared" ref="H34" si="130">H33/H35</f>
        <v>5.0098814229249014</v>
      </c>
      <c r="I34" s="7">
        <f t="shared" ref="I34" si="131">I33/I35</f>
        <v>10.300589390962672</v>
      </c>
      <c r="J34" s="7">
        <f>J33/J35</f>
        <v>12.365234375</v>
      </c>
      <c r="K34" s="7">
        <f t="shared" ref="K34" si="132">K33/K35</f>
        <v>14.077972709551657</v>
      </c>
      <c r="L34" s="7">
        <f>L33/L35</f>
        <v>15.803118908382066</v>
      </c>
      <c r="M34" s="7">
        <f>M33/M35</f>
        <v>0.75617343962667705</v>
      </c>
      <c r="N34" s="7">
        <f>N33/N35</f>
        <v>6.1281553398058248</v>
      </c>
      <c r="O34" s="7">
        <f>O33/O35</f>
        <v>27.757751937984494</v>
      </c>
      <c r="P34" s="7">
        <f>P33/P35</f>
        <v>-7.5520628683693518</v>
      </c>
      <c r="Q34" s="7">
        <f t="shared" ref="Q34:W34" si="133">Q33/Q35</f>
        <v>0.29307125307125309</v>
      </c>
      <c r="R34" s="7">
        <f t="shared" si="133"/>
        <v>0.68955107616707612</v>
      </c>
      <c r="S34" s="7">
        <f t="shared" si="133"/>
        <v>1.0735951105651109</v>
      </c>
      <c r="T34" s="7">
        <f t="shared" si="133"/>
        <v>1.0744996609336619</v>
      </c>
      <c r="U34" s="7">
        <f t="shared" si="133"/>
        <v>0.84067623095822874</v>
      </c>
      <c r="V34" s="7">
        <f t="shared" si="133"/>
        <v>1.2495331228501225</v>
      </c>
      <c r="W34" s="7">
        <f t="shared" si="133"/>
        <v>1.7329942850122833</v>
      </c>
      <c r="AN34" s="7">
        <f t="shared" ref="AN34" si="134">AN33/AN35</f>
        <v>-0.52164502164502169</v>
      </c>
      <c r="AO34" s="7">
        <f t="shared" ref="AO34" si="135">AO33/AO35</f>
        <v>1.249475890985325</v>
      </c>
      <c r="AP34" s="7">
        <f t="shared" ref="AP34" si="136">AP33/AP35</f>
        <v>4.8987603305785123</v>
      </c>
      <c r="AQ34" s="7">
        <f t="shared" ref="AQ34" si="137">AQ33/AQ35</f>
        <v>6.1521298174442194</v>
      </c>
      <c r="AR34" s="7">
        <f t="shared" ref="AR34:AS34" si="138">AR33/AR35</f>
        <v>20.146000000000001</v>
      </c>
      <c r="AS34" s="7">
        <f t="shared" si="138"/>
        <v>23.014895729890764</v>
      </c>
      <c r="AT34" s="7">
        <f>AT33/AT35</f>
        <v>41.825490196078434</v>
      </c>
      <c r="AU34" s="7">
        <f>AU33/AU35</f>
        <v>11.281149619611158</v>
      </c>
      <c r="AV34" s="7">
        <f t="shared" ref="AV34:AW34" si="139">AV33/AV35</f>
        <v>1.6784287420147448</v>
      </c>
      <c r="AW34" s="7">
        <f t="shared" si="139"/>
        <v>4.897703299754288</v>
      </c>
      <c r="AX34" s="7">
        <f t="shared" ref="AX34" si="140">AX33/AX35</f>
        <v>5.2938371314459518</v>
      </c>
      <c r="AY34" s="7">
        <f t="shared" ref="AY34" si="141">AY33/AY35</f>
        <v>7.2024349209232001</v>
      </c>
      <c r="AZ34" s="7">
        <f t="shared" ref="AZ34" si="142">AZ33/AZ35</f>
        <v>9.5607307111179445</v>
      </c>
      <c r="BA34" s="7">
        <f t="shared" ref="BA34" si="143">BA33/BA35</f>
        <v>12.486376067246141</v>
      </c>
      <c r="BB34" s="7">
        <f t="shared" ref="BB34" si="144">BB33/BB35</f>
        <v>14.728814061587849</v>
      </c>
      <c r="BC34" s="7">
        <f t="shared" ref="BC34" si="145">BC33/BC35</f>
        <v>17.361683887137335</v>
      </c>
      <c r="BD34" s="7">
        <f t="shared" ref="BD34" si="146">BD33/BD35</f>
        <v>20.458570024460002</v>
      </c>
    </row>
    <row r="35" spans="2:118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4">
        <v>10286</v>
      </c>
      <c r="N35" s="3">
        <v>515</v>
      </c>
      <c r="O35" s="3">
        <v>516</v>
      </c>
      <c r="P35" s="3">
        <v>509</v>
      </c>
      <c r="Q35" s="4">
        <v>10175</v>
      </c>
      <c r="R35" s="4">
        <f t="shared" ref="R35:W35" si="147">+Q35</f>
        <v>10175</v>
      </c>
      <c r="S35" s="4">
        <f t="shared" si="147"/>
        <v>10175</v>
      </c>
      <c r="T35" s="4">
        <f t="shared" si="147"/>
        <v>10175</v>
      </c>
      <c r="U35" s="4">
        <f t="shared" si="147"/>
        <v>10175</v>
      </c>
      <c r="V35" s="4">
        <f t="shared" si="147"/>
        <v>10175</v>
      </c>
      <c r="W35" s="4">
        <f t="shared" si="147"/>
        <v>10175</v>
      </c>
      <c r="AN35" s="2">
        <v>462</v>
      </c>
      <c r="AO35" s="2">
        <v>477</v>
      </c>
      <c r="AP35" s="2">
        <v>484</v>
      </c>
      <c r="AQ35" s="4">
        <v>493</v>
      </c>
      <c r="AR35" s="4">
        <v>500</v>
      </c>
      <c r="AS35" s="4">
        <f>AVERAGE(D35:G35)</f>
        <v>503.5</v>
      </c>
      <c r="AT35" s="4">
        <f>AVERAGE(H35:K35)</f>
        <v>510</v>
      </c>
      <c r="AU35" s="4">
        <f>AVERAGE(L35:O35)</f>
        <v>2957.5</v>
      </c>
      <c r="AV35" s="2">
        <f>Q35</f>
        <v>10175</v>
      </c>
      <c r="AW35" s="2">
        <f>AVERAGE(T35:W35)</f>
        <v>10175</v>
      </c>
      <c r="AX35" s="2">
        <f>+AW35</f>
        <v>10175</v>
      </c>
      <c r="AY35" s="2">
        <f t="shared" ref="AY35:BD35" si="148">+AX35</f>
        <v>10175</v>
      </c>
      <c r="AZ35" s="2">
        <f t="shared" si="148"/>
        <v>10175</v>
      </c>
      <c r="BA35" s="2">
        <f t="shared" si="148"/>
        <v>10175</v>
      </c>
      <c r="BB35" s="2">
        <f t="shared" si="148"/>
        <v>10175</v>
      </c>
      <c r="BC35" s="2">
        <f t="shared" si="148"/>
        <v>10175</v>
      </c>
      <c r="BD35" s="2">
        <f t="shared" si="148"/>
        <v>10175</v>
      </c>
    </row>
    <row r="37" spans="2:118" s="11" customFormat="1" x14ac:dyDescent="0.2">
      <c r="B37" s="5" t="s">
        <v>38</v>
      </c>
      <c r="C37" s="9"/>
      <c r="D37" s="9"/>
      <c r="E37" s="9"/>
      <c r="F37" s="9"/>
      <c r="G37" s="10">
        <f>G21/C21-1</f>
        <v>0.20797701117665746</v>
      </c>
      <c r="H37" s="10">
        <f>H21/D21-1</f>
        <v>0.26385259631490787</v>
      </c>
      <c r="I37" s="10">
        <f t="shared" ref="I37:K37" si="149">I21/E21-1</f>
        <v>0.40230900258658764</v>
      </c>
      <c r="J37" s="10">
        <f t="shared" si="149"/>
        <v>0.37387290836084075</v>
      </c>
      <c r="K37" s="10">
        <f t="shared" si="149"/>
        <v>0.43594816839553041</v>
      </c>
      <c r="L37" s="10">
        <f t="shared" ref="L37" si="150">L21/H21-1</f>
        <v>0.43823888034777081</v>
      </c>
      <c r="M37" s="10">
        <f t="shared" ref="M37" si="151">M21/I21-1</f>
        <v>0.27181932697498645</v>
      </c>
      <c r="N37" s="10">
        <f t="shared" ref="N37" si="152">N21/J21-1</f>
        <v>0.15255083467679031</v>
      </c>
      <c r="O37" s="10">
        <f t="shared" ref="O37" si="153">O21/K21-1</f>
        <v>9.4436701047349692E-2</v>
      </c>
      <c r="P37" s="10">
        <f>P21/L21-1</f>
        <v>7.3038574245747334E-2</v>
      </c>
      <c r="Q37" s="10">
        <f t="shared" ref="Q37:W37" si="154">Q21/M21-1</f>
        <v>7.2108241952600016E-2</v>
      </c>
      <c r="R37" s="10">
        <f t="shared" si="154"/>
        <v>0.17543767822979461</v>
      </c>
      <c r="S37" s="10">
        <f t="shared" si="154"/>
        <v>0.16993639565685692</v>
      </c>
      <c r="T37" s="10">
        <f t="shared" si="154"/>
        <v>0.17874428910034013</v>
      </c>
      <c r="U37" s="10">
        <f t="shared" si="154"/>
        <v>0.18106224326509057</v>
      </c>
      <c r="V37" s="10">
        <f t="shared" si="154"/>
        <v>0.18516405814548054</v>
      </c>
      <c r="W37" s="10">
        <f t="shared" si="154"/>
        <v>0.17904092538533334</v>
      </c>
      <c r="AM37" s="15">
        <f t="shared" ref="AM37:AQ37" si="155">AM21/AL21-1</f>
        <v>0.21866662301736706</v>
      </c>
      <c r="AN37" s="15">
        <f t="shared" si="155"/>
        <v>0.1952398861011122</v>
      </c>
      <c r="AO37" s="15">
        <f t="shared" si="155"/>
        <v>0.20247673843664304</v>
      </c>
      <c r="AP37" s="15">
        <f t="shared" si="155"/>
        <v>0.27083528026465808</v>
      </c>
      <c r="AQ37" s="15">
        <f t="shared" si="155"/>
        <v>0.30796326119408479</v>
      </c>
      <c r="AR37" s="15">
        <f t="shared" ref="AR37" si="156">AR21/AQ21-1</f>
        <v>0.3093396152159491</v>
      </c>
      <c r="AS37" s="15">
        <f t="shared" ref="AS37" si="157">AS21/AR21-1</f>
        <v>0.20454125820676983</v>
      </c>
      <c r="AT37" s="15">
        <f t="shared" ref="AT37" si="158">AT21/AS21-1</f>
        <v>0.37623430604373276</v>
      </c>
      <c r="AU37" s="15">
        <f>AU21/AT21-1</f>
        <v>0.21695366571345676</v>
      </c>
      <c r="AV37" s="15">
        <f t="shared" ref="AV37:BD37" si="159">AV21/AU21-1</f>
        <v>0.12530681832694079</v>
      </c>
      <c r="AW37" s="15">
        <f t="shared" si="159"/>
        <v>0.18094763340375208</v>
      </c>
      <c r="AX37" s="15">
        <f t="shared" si="159"/>
        <v>0.10511858298502608</v>
      </c>
      <c r="AY37" s="15">
        <f t="shared" si="159"/>
        <v>0.11355009102838709</v>
      </c>
      <c r="AZ37" s="15">
        <f t="shared" si="159"/>
        <v>0.12291808616861499</v>
      </c>
      <c r="BA37" s="15">
        <f t="shared" si="159"/>
        <v>0.13317042984477179</v>
      </c>
      <c r="BB37" s="15">
        <f t="shared" si="159"/>
        <v>0.10252928280077156</v>
      </c>
      <c r="BC37" s="15">
        <f t="shared" si="159"/>
        <v>0.10717321103780253</v>
      </c>
      <c r="BD37" s="15">
        <f t="shared" si="159"/>
        <v>0.1119666846717271</v>
      </c>
    </row>
    <row r="38" spans="2:118" s="16" customFormat="1" x14ac:dyDescent="0.2">
      <c r="B38" s="17" t="s">
        <v>56</v>
      </c>
      <c r="C38" s="18"/>
      <c r="D38" s="18"/>
      <c r="E38" s="18"/>
      <c r="F38" s="18"/>
      <c r="G38" s="19">
        <f t="shared" ref="G38" si="160">+G12/C12-1</f>
        <v>0.14652704535181549</v>
      </c>
      <c r="H38" s="19">
        <f t="shared" ref="H38" si="161">+H12/D12-1</f>
        <v>0.24252491694352152</v>
      </c>
      <c r="I38" s="19">
        <f t="shared" ref="I38" si="162">+I12/E12-1</f>
        <v>0.47798924419540789</v>
      </c>
      <c r="J38" s="19">
        <f t="shared" ref="J38" si="163">+J12/F12-1</f>
        <v>0.37989097862381915</v>
      </c>
      <c r="K38" s="19">
        <f t="shared" ref="K38:O38" si="164">+K12/G12-1</f>
        <v>0.45543947258908823</v>
      </c>
      <c r="L38" s="19">
        <f t="shared" si="164"/>
        <v>0.44333187820582776</v>
      </c>
      <c r="M38" s="19">
        <f t="shared" si="164"/>
        <v>0.15820550810528156</v>
      </c>
      <c r="N38" s="19">
        <f t="shared" si="164"/>
        <v>3.2926577042399208E-2</v>
      </c>
      <c r="O38" s="19">
        <f t="shared" si="164"/>
        <v>-5.6583046154309313E-3</v>
      </c>
      <c r="P38" s="19">
        <f>+P12/L12-1</f>
        <v>-3.3496531256497986E-2</v>
      </c>
      <c r="Q38" s="19">
        <f t="shared" ref="Q38:W38" si="165">+Q12/M12-1</f>
        <v>-4.3305679402524611E-2</v>
      </c>
      <c r="R38" s="19">
        <f t="shared" si="165"/>
        <v>0.10000000000000009</v>
      </c>
      <c r="S38" s="19">
        <f t="shared" si="165"/>
        <v>0.10000000000000009</v>
      </c>
      <c r="T38" s="19">
        <f t="shared" si="165"/>
        <v>0.10000000000000009</v>
      </c>
      <c r="U38" s="19">
        <f t="shared" si="165"/>
        <v>0.10000000000000009</v>
      </c>
      <c r="V38" s="19">
        <f t="shared" si="165"/>
        <v>0.10000000000000009</v>
      </c>
      <c r="W38" s="19">
        <f t="shared" si="165"/>
        <v>0.10000000000000009</v>
      </c>
      <c r="AR38" s="20"/>
      <c r="AS38" s="20">
        <f t="shared" ref="AS38" si="166">AS12/AR12-1</f>
        <v>0.14847097660728359</v>
      </c>
      <c r="AT38" s="20">
        <f t="shared" ref="AT38" si="167">AT12/AS12-1</f>
        <v>0.39719073679440986</v>
      </c>
      <c r="AU38" s="20">
        <f>AU12/AT12-1</f>
        <v>0.12529072860769497</v>
      </c>
      <c r="AV38" s="20">
        <f t="shared" ref="AV38:BD38" si="168">AV12/AU12-1</f>
        <v>3.389710683327718E-2</v>
      </c>
      <c r="AW38" s="20">
        <f t="shared" si="168"/>
        <v>0.10000000000000009</v>
      </c>
      <c r="AX38" s="20">
        <f t="shared" si="168"/>
        <v>5.0000000000000044E-2</v>
      </c>
      <c r="AY38" s="20">
        <f t="shared" si="168"/>
        <v>5.0000000000000044E-2</v>
      </c>
      <c r="AZ38" s="20">
        <f t="shared" si="168"/>
        <v>5.0000000000000044E-2</v>
      </c>
      <c r="BA38" s="20">
        <f t="shared" si="168"/>
        <v>5.0000000000000044E-2</v>
      </c>
      <c r="BB38" s="20">
        <f t="shared" si="168"/>
        <v>5.0000000000000044E-2</v>
      </c>
      <c r="BC38" s="20">
        <f t="shared" si="168"/>
        <v>5.0000000000000044E-2</v>
      </c>
      <c r="BD38" s="20">
        <f t="shared" si="168"/>
        <v>5.0000000000000044E-2</v>
      </c>
    </row>
    <row r="39" spans="2:118" s="16" customFormat="1" x14ac:dyDescent="0.2">
      <c r="B39" s="17" t="s">
        <v>57</v>
      </c>
      <c r="C39" s="18"/>
      <c r="D39" s="18"/>
      <c r="E39" s="18"/>
      <c r="F39" s="18"/>
      <c r="G39" s="19">
        <f t="shared" ref="G39:O39" si="169">+G14/C14-1</f>
        <v>0.30359411193304942</v>
      </c>
      <c r="H39" s="19">
        <f t="shared" si="169"/>
        <v>0.29961403823714217</v>
      </c>
      <c r="I39" s="19">
        <f t="shared" si="169"/>
        <v>0.52106671125229886</v>
      </c>
      <c r="J39" s="19">
        <f t="shared" si="169"/>
        <v>0.54677565849227983</v>
      </c>
      <c r="K39" s="19">
        <f t="shared" si="169"/>
        <v>0.56637624670411557</v>
      </c>
      <c r="L39" s="19">
        <f t="shared" si="169"/>
        <v>0.63747496374058987</v>
      </c>
      <c r="M39" s="19">
        <f t="shared" si="169"/>
        <v>0.37867546029128873</v>
      </c>
      <c r="N39" s="19">
        <f t="shared" si="169"/>
        <v>0.18672930123311793</v>
      </c>
      <c r="O39" s="19">
        <f t="shared" si="169"/>
        <v>0.10952537783144867</v>
      </c>
      <c r="P39" s="19">
        <f>+P14/L14-1</f>
        <v>6.8581551309629285E-2</v>
      </c>
      <c r="Q39" s="19">
        <f t="shared" ref="Q39:W39" si="170">+Q14/M14-1</f>
        <v>9.1329479768786026E-2</v>
      </c>
      <c r="R39" s="19">
        <f t="shared" si="170"/>
        <v>0.19999999999999996</v>
      </c>
      <c r="S39" s="19">
        <f t="shared" si="170"/>
        <v>0.19999999999999996</v>
      </c>
      <c r="T39" s="19">
        <f t="shared" si="170"/>
        <v>0.19999999999999996</v>
      </c>
      <c r="U39" s="19">
        <f t="shared" si="170"/>
        <v>0.19999999999999996</v>
      </c>
      <c r="V39" s="19">
        <f t="shared" si="170"/>
        <v>0.19999999999999996</v>
      </c>
      <c r="W39" s="19">
        <f t="shared" si="170"/>
        <v>0.19999999999999996</v>
      </c>
      <c r="AR39" s="20"/>
      <c r="AS39" s="20">
        <f t="shared" ref="AS39" si="171">AS14/AR14-1</f>
        <v>0.25771435255585451</v>
      </c>
      <c r="AT39" s="20">
        <f t="shared" ref="AT39" si="172">AT14/AS14-1</f>
        <v>0.4961961273041795</v>
      </c>
      <c r="AU39" s="20">
        <f>AU14/AT14-1</f>
        <v>0.28505538495965776</v>
      </c>
      <c r="AV39" s="20">
        <f t="shared" ref="AV39:BD39" si="173">AV14/AU14-1</f>
        <v>0.14348431786080518</v>
      </c>
      <c r="AW39" s="20">
        <f t="shared" si="173"/>
        <v>0.19999999999999996</v>
      </c>
      <c r="AX39" s="20">
        <f t="shared" si="173"/>
        <v>5.0000000000000044E-2</v>
      </c>
      <c r="AY39" s="20">
        <f t="shared" si="173"/>
        <v>5.0000000000000044E-2</v>
      </c>
      <c r="AZ39" s="20">
        <f t="shared" si="173"/>
        <v>5.0000000000000044E-2</v>
      </c>
      <c r="BA39" s="20">
        <f t="shared" si="173"/>
        <v>5.0000000000000044E-2</v>
      </c>
      <c r="BB39" s="20">
        <f t="shared" si="173"/>
        <v>5.0000000000000044E-2</v>
      </c>
      <c r="BC39" s="20">
        <f t="shared" si="173"/>
        <v>5.0000000000000044E-2</v>
      </c>
      <c r="BD39" s="20">
        <f t="shared" si="173"/>
        <v>5.0000000000000044E-2</v>
      </c>
    </row>
    <row r="40" spans="2:118" s="16" customFormat="1" x14ac:dyDescent="0.2">
      <c r="B40" s="17" t="s">
        <v>58</v>
      </c>
      <c r="C40" s="18"/>
      <c r="D40" s="18"/>
      <c r="E40" s="18"/>
      <c r="F40" s="18"/>
      <c r="G40" s="19">
        <f t="shared" ref="G40:O41" si="174">+G15/C15-1</f>
        <v>0.3223036120232381</v>
      </c>
      <c r="H40" s="19">
        <f t="shared" si="174"/>
        <v>0.27959465684016571</v>
      </c>
      <c r="I40" s="19">
        <f t="shared" si="174"/>
        <v>0.28699743370402042</v>
      </c>
      <c r="J40" s="19">
        <f t="shared" si="174"/>
        <v>0.32580189630825096</v>
      </c>
      <c r="K40" s="19">
        <f t="shared" si="174"/>
        <v>0.34880611270296091</v>
      </c>
      <c r="L40" s="19">
        <f t="shared" si="174"/>
        <v>0.36429085673146155</v>
      </c>
      <c r="M40" s="19">
        <f t="shared" si="174"/>
        <v>0.31555333998005985</v>
      </c>
      <c r="N40" s="19">
        <f t="shared" si="174"/>
        <v>0.23980523432744971</v>
      </c>
      <c r="O40" s="19">
        <f t="shared" si="174"/>
        <v>0.15040362554878905</v>
      </c>
      <c r="P40" s="19">
        <f>+P15/L15-1</f>
        <v>0.10949868073878632</v>
      </c>
      <c r="Q40" s="19">
        <f t="shared" ref="Q40:W41" si="175">+Q15/M15-1</f>
        <v>0.10092206643930779</v>
      </c>
      <c r="R40" s="19">
        <f t="shared" si="175"/>
        <v>0.19999999999999996</v>
      </c>
      <c r="S40" s="19">
        <f t="shared" si="175"/>
        <v>0.19999999999999996</v>
      </c>
      <c r="T40" s="19">
        <f t="shared" si="175"/>
        <v>0.19999999999999996</v>
      </c>
      <c r="U40" s="19">
        <f t="shared" si="175"/>
        <v>0.19999999999999996</v>
      </c>
      <c r="V40" s="19">
        <f t="shared" si="175"/>
        <v>0.19999999999999996</v>
      </c>
      <c r="W40" s="19">
        <f t="shared" si="175"/>
        <v>0.19999999999999996</v>
      </c>
      <c r="AR40" s="20"/>
      <c r="AS40" s="20">
        <f t="shared" ref="AS40" si="176">AS15/AR15-1</f>
        <v>0.35596809486835612</v>
      </c>
      <c r="AT40" s="20">
        <f t="shared" ref="AT40" si="177">AT15/AS15-1</f>
        <v>0.31218115564810001</v>
      </c>
      <c r="AU40" s="20">
        <f>AU15/AT15-1</f>
        <v>0.26028484151227826</v>
      </c>
      <c r="AV40" s="20">
        <f t="shared" ref="AV40:BD41" si="178">AV15/AU15-1</f>
        <v>0.1537144296147066</v>
      </c>
      <c r="AW40" s="20">
        <f t="shared" si="178"/>
        <v>0.20000000000000018</v>
      </c>
      <c r="AX40" s="20">
        <f t="shared" si="178"/>
        <v>0.10000000000000009</v>
      </c>
      <c r="AY40" s="20">
        <f t="shared" si="178"/>
        <v>0.10000000000000009</v>
      </c>
      <c r="AZ40" s="20">
        <f t="shared" si="178"/>
        <v>0.10000000000000009</v>
      </c>
      <c r="BA40" s="20">
        <f t="shared" si="178"/>
        <v>0.10000000000000009</v>
      </c>
      <c r="BB40" s="20">
        <f t="shared" si="178"/>
        <v>5.0000000000000044E-2</v>
      </c>
      <c r="BC40" s="20">
        <f t="shared" si="178"/>
        <v>5.0000000000000044E-2</v>
      </c>
      <c r="BD40" s="20">
        <f t="shared" si="178"/>
        <v>5.0000000000000044E-2</v>
      </c>
    </row>
    <row r="41" spans="2:118" s="16" customFormat="1" x14ac:dyDescent="0.2">
      <c r="B41" s="17" t="s">
        <v>59</v>
      </c>
      <c r="C41" s="18"/>
      <c r="D41" s="18"/>
      <c r="E41" s="18"/>
      <c r="F41" s="18"/>
      <c r="G41" s="19">
        <f t="shared" si="174"/>
        <v>0.41145218417945695</v>
      </c>
      <c r="H41" s="19">
        <f t="shared" si="174"/>
        <v>0.43814432989690721</v>
      </c>
      <c r="I41" s="19">
        <f t="shared" si="174"/>
        <v>0.40606262491672229</v>
      </c>
      <c r="J41" s="19">
        <f t="shared" si="174"/>
        <v>0.50529838259899607</v>
      </c>
      <c r="K41" s="19">
        <f t="shared" si="174"/>
        <v>0.53701380175658731</v>
      </c>
      <c r="L41" s="19">
        <f t="shared" si="174"/>
        <v>0.63364055299539168</v>
      </c>
      <c r="M41" s="19">
        <f t="shared" si="174"/>
        <v>0.76522151149016815</v>
      </c>
      <c r="N41" s="19">
        <f t="shared" si="174"/>
        <v>0.41015190811411628</v>
      </c>
      <c r="O41" s="19">
        <f t="shared" si="174"/>
        <v>0.32190476190476192</v>
      </c>
      <c r="P41" s="19">
        <f t="shared" ref="P41" si="179">+P16/L16-1</f>
        <v>0.23444601159692846</v>
      </c>
      <c r="Q41" s="19">
        <f t="shared" si="175"/>
        <v>0.17527848610924712</v>
      </c>
      <c r="R41" s="19">
        <f t="shared" si="175"/>
        <v>0.19999999999999996</v>
      </c>
      <c r="S41" s="19">
        <f t="shared" si="175"/>
        <v>0.19999999999999996</v>
      </c>
      <c r="T41" s="19">
        <f t="shared" si="175"/>
        <v>0.19999999999999996</v>
      </c>
      <c r="U41" s="19">
        <f t="shared" si="175"/>
        <v>0.19999999999999996</v>
      </c>
      <c r="V41" s="19">
        <f t="shared" si="175"/>
        <v>0.19999999999999996</v>
      </c>
      <c r="W41" s="19">
        <f t="shared" si="175"/>
        <v>0.19999999999999996</v>
      </c>
      <c r="AR41" s="20"/>
      <c r="AS41" s="20">
        <f t="shared" ref="AS41" si="180">AS16/AR16-1</f>
        <v>0.39354966363276622</v>
      </c>
      <c r="AT41" s="20">
        <f t="shared" ref="AT41:AU41" si="181">AT16/AS16-1</f>
        <v>0.4819679114013915</v>
      </c>
      <c r="AU41" s="20">
        <f t="shared" si="181"/>
        <v>0.49269461077844312</v>
      </c>
      <c r="AV41" s="20">
        <f t="shared" si="178"/>
        <v>0.20114249037227205</v>
      </c>
      <c r="AW41" s="20">
        <f t="shared" si="178"/>
        <v>0.19999999999999996</v>
      </c>
      <c r="AX41" s="20">
        <f t="shared" si="178"/>
        <v>0.10000000000000009</v>
      </c>
      <c r="AY41" s="20">
        <f t="shared" si="178"/>
        <v>0.10000000000000009</v>
      </c>
      <c r="AZ41" s="20">
        <f t="shared" si="178"/>
        <v>0.10000000000000009</v>
      </c>
      <c r="BA41" s="20">
        <f t="shared" si="178"/>
        <v>0.10000000000000009</v>
      </c>
      <c r="BB41" s="20">
        <f t="shared" si="178"/>
        <v>5.0000000000000044E-2</v>
      </c>
      <c r="BC41" s="20">
        <f t="shared" si="178"/>
        <v>5.0000000000000044E-2</v>
      </c>
      <c r="BD41" s="20">
        <f t="shared" si="178"/>
        <v>5.0000000000000044E-2</v>
      </c>
    </row>
    <row r="42" spans="2:118" x14ac:dyDescent="0.2">
      <c r="B42" s="2" t="s">
        <v>39</v>
      </c>
      <c r="G42" s="8">
        <f t="shared" ref="G42:H42" si="182">G10/C10-1</f>
        <v>0.33970390309555865</v>
      </c>
      <c r="H42" s="8">
        <f t="shared" si="182"/>
        <v>0.32783264033264037</v>
      </c>
      <c r="I42" s="8">
        <f t="shared" ref="I42" si="183">I10/E10-1</f>
        <v>0.28958358191146649</v>
      </c>
      <c r="J42" s="8">
        <f t="shared" ref="J42" si="184">J10/F10-1</f>
        <v>0.28971650917176217</v>
      </c>
      <c r="K42" s="8">
        <f t="shared" ref="K42" si="185">K10/G10-1</f>
        <v>0.28008840667068524</v>
      </c>
      <c r="L42" s="8">
        <f t="shared" ref="L42" si="186">L10/H10-1</f>
        <v>0.32136216850963883</v>
      </c>
      <c r="M42" s="8">
        <f t="shared" ref="M42" si="187">M10/I10-1</f>
        <v>0.37018874907475952</v>
      </c>
      <c r="N42" s="8">
        <f t="shared" ref="N42" si="188">N10/J10-1</f>
        <v>0.3886733902249806</v>
      </c>
      <c r="O42" s="8">
        <f t="shared" ref="O42" si="189">O10/K10-1</f>
        <v>0.39538533982106427</v>
      </c>
      <c r="P42" s="8">
        <f>P10/L10-1</f>
        <v>0.36569651188624741</v>
      </c>
      <c r="Q42" s="8">
        <f>Q10/M10-1</f>
        <v>0.33290566547369838</v>
      </c>
      <c r="R42" s="8">
        <f t="shared" ref="R42:W42" si="190">R10/N10-1</f>
        <v>0.39999999999999991</v>
      </c>
      <c r="S42" s="8">
        <f t="shared" si="190"/>
        <v>0.39999999999999991</v>
      </c>
      <c r="T42" s="8">
        <f t="shared" si="190"/>
        <v>0.39999999999999991</v>
      </c>
      <c r="U42" s="8">
        <f t="shared" si="190"/>
        <v>0.39999999999999991</v>
      </c>
      <c r="V42" s="8">
        <f t="shared" si="190"/>
        <v>0.39999999999999991</v>
      </c>
      <c r="W42" s="8">
        <f t="shared" si="190"/>
        <v>0.39999999999999991</v>
      </c>
      <c r="AO42" s="13">
        <f t="shared" ref="AO42:AQ42" si="191">AO10/AN10-1</f>
        <v>0.69681309216192933</v>
      </c>
      <c r="AP42" s="13">
        <f t="shared" si="191"/>
        <v>0.55063451776649752</v>
      </c>
      <c r="AQ42" s="13">
        <f t="shared" si="191"/>
        <v>0.42884033063262139</v>
      </c>
      <c r="AR42" s="13">
        <f t="shared" ref="AR42" si="192">AR10/AQ10-1</f>
        <v>0.46944269431238905</v>
      </c>
      <c r="AS42" s="13">
        <f t="shared" ref="AS42" si="193">AS10/AR10-1</f>
        <v>0.36526992788930035</v>
      </c>
      <c r="AT42" s="13">
        <f t="shared" ref="AT42" si="194">AT10/AS10-1</f>
        <v>0.29532347399074976</v>
      </c>
      <c r="AU42" s="13">
        <f>AU10/AT10-1</f>
        <v>0.37099404893101173</v>
      </c>
      <c r="AV42" s="13">
        <f t="shared" ref="AV42:BD42" si="195">AV10/AU10-1</f>
        <v>0.37657953120478438</v>
      </c>
      <c r="AW42" s="13">
        <f t="shared" si="195"/>
        <v>0.39999999999999991</v>
      </c>
      <c r="AX42" s="13">
        <f t="shared" si="195"/>
        <v>0.30000000000000004</v>
      </c>
      <c r="AY42" s="13">
        <f t="shared" si="195"/>
        <v>0.30000000000000004</v>
      </c>
      <c r="AZ42" s="13">
        <f t="shared" si="195"/>
        <v>0.30000000000000027</v>
      </c>
      <c r="BA42" s="13">
        <f t="shared" si="195"/>
        <v>0.30000000000000004</v>
      </c>
      <c r="BB42" s="13">
        <f t="shared" si="195"/>
        <v>0.19999999999999996</v>
      </c>
      <c r="BC42" s="13">
        <f t="shared" si="195"/>
        <v>0.19999999999999996</v>
      </c>
      <c r="BD42" s="13">
        <f t="shared" si="195"/>
        <v>0.19999999999999996</v>
      </c>
    </row>
    <row r="43" spans="2:118" x14ac:dyDescent="0.2">
      <c r="B43" s="2" t="s">
        <v>29</v>
      </c>
      <c r="C43" s="8">
        <f t="shared" ref="C43:H43" si="196">C24/C21</f>
        <v>0.24272273876462705</v>
      </c>
      <c r="D43" s="8">
        <f t="shared" si="196"/>
        <v>0.28775544388609714</v>
      </c>
      <c r="E43" s="8">
        <f t="shared" si="196"/>
        <v>0.28067629802536115</v>
      </c>
      <c r="F43" s="8">
        <f t="shared" si="196"/>
        <v>0.26452894357039769</v>
      </c>
      <c r="G43" s="8">
        <f t="shared" si="196"/>
        <v>0.24323798849457323</v>
      </c>
      <c r="H43" s="8">
        <f t="shared" si="196"/>
        <v>0.26061602078142393</v>
      </c>
      <c r="I43" s="8">
        <f>I24/I21</f>
        <v>0.25245186251574592</v>
      </c>
      <c r="J43" s="8">
        <f>J24/J21</f>
        <v>0.25309688491341203</v>
      </c>
      <c r="K43" s="8">
        <f>K24/K21</f>
        <v>0.22139301501334077</v>
      </c>
      <c r="L43" s="8">
        <f>L24/L21</f>
        <v>0.2726275825208721</v>
      </c>
      <c r="M43" s="8">
        <f t="shared" ref="M43:P43" si="197">M24/M21</f>
        <v>0.27649451715599577</v>
      </c>
      <c r="N43" s="8">
        <f t="shared" si="197"/>
        <v>0.26516983720174708</v>
      </c>
      <c r="O43" s="8">
        <f t="shared" si="197"/>
        <v>0.23383692836142403</v>
      </c>
      <c r="P43" s="8">
        <f t="shared" si="197"/>
        <v>0.25483494211809971</v>
      </c>
      <c r="Q43" s="8">
        <f t="shared" ref="Q43:W43" si="198">Q24/Q21</f>
        <v>0.2843096821023805</v>
      </c>
      <c r="R43" s="8">
        <f t="shared" si="198"/>
        <v>0.29110192042231786</v>
      </c>
      <c r="S43" s="8">
        <f t="shared" si="198"/>
        <v>0.27181337407231626</v>
      </c>
      <c r="T43" s="8">
        <f t="shared" si="198"/>
        <v>0.29614581185609268</v>
      </c>
      <c r="U43" s="8">
        <f t="shared" si="198"/>
        <v>0.30436895929668545</v>
      </c>
      <c r="V43" s="8">
        <f t="shared" si="198"/>
        <v>0.30447467686549323</v>
      </c>
      <c r="W43" s="8">
        <f t="shared" si="198"/>
        <v>0.28476139444614407</v>
      </c>
      <c r="AN43" s="14">
        <f t="shared" ref="AN43:AP43" si="199">AN24/AN21</f>
        <v>0.17384366431428958</v>
      </c>
      <c r="AO43" s="14">
        <f t="shared" si="199"/>
        <v>0.20508195802104554</v>
      </c>
      <c r="AP43" s="14">
        <f t="shared" si="199"/>
        <v>0.22136674829211617</v>
      </c>
      <c r="AQ43" s="14">
        <f t="shared" ref="AQ43" si="200">AQ24/AQ21</f>
        <v>0.22872836854710848</v>
      </c>
      <c r="AR43" s="14">
        <f t="shared" ref="AR43:AS43" si="201">AR24/AR21</f>
        <v>0.25636467471348767</v>
      </c>
      <c r="AS43" s="14">
        <f t="shared" si="201"/>
        <v>0.26648533804835273</v>
      </c>
      <c r="AT43" s="14">
        <f t="shared" ref="AT43" si="202">AT24/AT21</f>
        <v>0.24410719466202496</v>
      </c>
      <c r="AU43" s="14">
        <f>AU24/AU21</f>
        <v>0.26045395915900066</v>
      </c>
      <c r="AV43" s="14">
        <f t="shared" ref="AV43:BD43" si="203">AV24/AV21</f>
        <v>0.27569146721760934</v>
      </c>
      <c r="AW43" s="14">
        <f t="shared" si="203"/>
        <v>0.29663477138286637</v>
      </c>
      <c r="AX43" s="14">
        <f t="shared" si="203"/>
        <v>0.27949655950064917</v>
      </c>
      <c r="AY43" s="14">
        <f t="shared" si="203"/>
        <v>0.28512101638173654</v>
      </c>
      <c r="AZ43" s="14">
        <f t="shared" si="203"/>
        <v>0.29045062098566982</v>
      </c>
      <c r="BA43" s="14">
        <f t="shared" si="203"/>
        <v>0.29538720155996645</v>
      </c>
      <c r="BB43" s="14">
        <f t="shared" si="203"/>
        <v>0.29560697530887214</v>
      </c>
      <c r="BC43" s="14">
        <f t="shared" si="203"/>
        <v>0.29583382628869748</v>
      </c>
      <c r="BD43" s="14">
        <f t="shared" si="203"/>
        <v>0.2960659950903482</v>
      </c>
      <c r="BF43" t="s">
        <v>77</v>
      </c>
      <c r="BG43" s="13">
        <v>7.0000000000000007E-2</v>
      </c>
    </row>
    <row r="44" spans="2:118" x14ac:dyDescent="0.2">
      <c r="BF44" t="s">
        <v>76</v>
      </c>
      <c r="BG44" s="13">
        <v>0.01</v>
      </c>
    </row>
    <row r="45" spans="2:118" x14ac:dyDescent="0.2">
      <c r="B45" s="2" t="s">
        <v>75</v>
      </c>
      <c r="P45" s="4">
        <f>+P46-P59</f>
        <v>18829</v>
      </c>
      <c r="Q45" s="4">
        <f t="shared" ref="Q45:W45" si="204">+P45+Q33</f>
        <v>21811</v>
      </c>
      <c r="R45" s="4">
        <f t="shared" si="204"/>
        <v>28827.182199999999</v>
      </c>
      <c r="S45" s="4">
        <f t="shared" si="204"/>
        <v>39751.012450000002</v>
      </c>
      <c r="T45" s="4">
        <f t="shared" si="204"/>
        <v>50684.046500000011</v>
      </c>
      <c r="U45" s="4">
        <f t="shared" si="204"/>
        <v>59237.927149999989</v>
      </c>
      <c r="V45" s="4">
        <f t="shared" si="204"/>
        <v>71951.926674999981</v>
      </c>
      <c r="W45" s="4">
        <f t="shared" si="204"/>
        <v>89585.143524999963</v>
      </c>
      <c r="X45" s="4"/>
      <c r="AV45" s="2">
        <f>+S45</f>
        <v>39751.012450000002</v>
      </c>
      <c r="AW45" s="2">
        <f>+W45</f>
        <v>89585.143524999963</v>
      </c>
      <c r="AX45" s="2">
        <f>+AW45+AX33</f>
        <v>143449.93633746251</v>
      </c>
      <c r="AY45" s="2">
        <f t="shared" ref="AY45:BD45" si="205">+AX45+AY33</f>
        <v>216734.71165785607</v>
      </c>
      <c r="AZ45" s="2">
        <f t="shared" si="205"/>
        <v>314015.14664348116</v>
      </c>
      <c r="BA45" s="2">
        <f t="shared" si="205"/>
        <v>441064.02312771062</v>
      </c>
      <c r="BB45" s="2">
        <f t="shared" si="205"/>
        <v>590929.70620436699</v>
      </c>
      <c r="BC45" s="2">
        <f t="shared" si="205"/>
        <v>767584.83975598938</v>
      </c>
      <c r="BD45" s="2">
        <f t="shared" si="205"/>
        <v>975750.78975486988</v>
      </c>
      <c r="BF45" t="s">
        <v>78</v>
      </c>
      <c r="BG45" s="13">
        <v>0</v>
      </c>
    </row>
    <row r="46" spans="2:118" s="2" customFormat="1" x14ac:dyDescent="0.2">
      <c r="B46" s="2" t="s"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f>36393+29992</f>
        <v>66385</v>
      </c>
      <c r="Q46" s="4">
        <f>37478+23232</f>
        <v>60710</v>
      </c>
      <c r="R46" s="4"/>
      <c r="S46" s="4"/>
      <c r="BF46" s="2" t="s">
        <v>79</v>
      </c>
      <c r="BG46" s="2">
        <f>NPV(BG43,AW33:DN33)+Main!K5-Main!K6</f>
        <v>2356617.7507874882</v>
      </c>
    </row>
    <row r="47" spans="2:118" s="2" customFormat="1" x14ac:dyDescent="0.2">
      <c r="B47" s="2" t="s">
        <v>63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v>34987</v>
      </c>
      <c r="Q47" s="4">
        <v>38153</v>
      </c>
      <c r="R47" s="4"/>
      <c r="S47" s="4"/>
      <c r="BG47" s="1">
        <f>+BG46/Main!K3</f>
        <v>231.32319706625486</v>
      </c>
    </row>
    <row r="48" spans="2:118" s="2" customFormat="1" x14ac:dyDescent="0.2">
      <c r="B48" s="2" t="s">
        <v>64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32504</v>
      </c>
      <c r="Q48" s="4">
        <v>34804</v>
      </c>
      <c r="R48" s="4"/>
      <c r="S48" s="4"/>
    </row>
    <row r="49" spans="2:19" s="2" customFormat="1" x14ac:dyDescent="0.2">
      <c r="B49" s="2" t="s">
        <v>65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168468</v>
      </c>
      <c r="Q49" s="4">
        <v>173706</v>
      </c>
      <c r="R49" s="4"/>
      <c r="S49" s="4"/>
    </row>
    <row r="50" spans="2:19" s="2" customFormat="1" x14ac:dyDescent="0.2">
      <c r="B50" s="2" t="s">
        <v>66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56161</v>
      </c>
      <c r="Q50" s="4">
        <v>58430</v>
      </c>
      <c r="R50" s="4"/>
      <c r="S50" s="4"/>
    </row>
    <row r="51" spans="2:19" s="2" customFormat="1" x14ac:dyDescent="0.2">
      <c r="B51" s="2" t="s">
        <v>67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20229</v>
      </c>
      <c r="Q51" s="4">
        <v>20195</v>
      </c>
      <c r="R51" s="4"/>
      <c r="S51" s="4"/>
    </row>
    <row r="52" spans="2:19" s="2" customFormat="1" x14ac:dyDescent="0.2">
      <c r="B52" s="2" t="s">
        <v>68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v>32033</v>
      </c>
      <c r="Q52" s="4">
        <v>33730</v>
      </c>
      <c r="R52" s="4"/>
      <c r="S52" s="4"/>
    </row>
    <row r="53" spans="2:19" s="2" customFormat="1" x14ac:dyDescent="0.2">
      <c r="B53" s="2" t="s">
        <v>62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f>SUM(P46:P52)</f>
        <v>410767</v>
      </c>
      <c r="Q53" s="4">
        <f>SUM(Q46:Q52)</f>
        <v>419728</v>
      </c>
      <c r="R53" s="4"/>
      <c r="S53" s="4"/>
    </row>
    <row r="55" spans="2:19" s="2" customFormat="1" x14ac:dyDescent="0.2">
      <c r="B55" s="2" t="s">
        <v>71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v>68547</v>
      </c>
      <c r="Q55" s="4">
        <v>71219</v>
      </c>
      <c r="R55" s="4"/>
      <c r="S55" s="4"/>
    </row>
    <row r="56" spans="2:19" s="2" customFormat="1" x14ac:dyDescent="0.2">
      <c r="B56" s="2" t="s">
        <v>72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58141</v>
      </c>
      <c r="Q56" s="4">
        <v>56254</v>
      </c>
      <c r="R56" s="4"/>
      <c r="S56" s="4"/>
    </row>
    <row r="57" spans="2:19" s="2" customFormat="1" x14ac:dyDescent="0.2">
      <c r="B57" s="2" t="s">
        <v>73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12820</v>
      </c>
      <c r="Q57" s="4">
        <v>12818</v>
      </c>
      <c r="R57" s="4"/>
      <c r="S57" s="4"/>
    </row>
    <row r="58" spans="2:19" s="2" customFormat="1" x14ac:dyDescent="0.2">
      <c r="B58" s="2" t="s">
        <v>66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65731</v>
      </c>
      <c r="Q58" s="4">
        <v>66524</v>
      </c>
      <c r="R58" s="4"/>
      <c r="S58" s="4"/>
    </row>
    <row r="59" spans="2:19" s="2" customFormat="1" x14ac:dyDescent="0.2">
      <c r="B59" s="2" t="s">
        <v>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47556</v>
      </c>
      <c r="Q59" s="4">
        <v>58053</v>
      </c>
      <c r="R59" s="4"/>
      <c r="S59" s="4"/>
    </row>
    <row r="60" spans="2:19" s="2" customFormat="1" x14ac:dyDescent="0.2">
      <c r="B60" s="2" t="s">
        <v>74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23971</v>
      </c>
      <c r="Q60" s="4">
        <v>23458</v>
      </c>
      <c r="R60" s="4"/>
      <c r="S60" s="4"/>
    </row>
    <row r="61" spans="2:19" s="2" customFormat="1" x14ac:dyDescent="0.2">
      <c r="B61" s="2" t="s">
        <v>70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134001</v>
      </c>
      <c r="Q61" s="4">
        <v>131402</v>
      </c>
      <c r="R61" s="4"/>
      <c r="S61" s="4"/>
    </row>
    <row r="62" spans="2:19" s="2" customFormat="1" x14ac:dyDescent="0.2">
      <c r="B62" s="2" t="s">
        <v>69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f>SUM(P55:P61)</f>
        <v>410767</v>
      </c>
      <c r="Q62" s="4">
        <f>SUM(Q55:Q61)</f>
        <v>419728</v>
      </c>
      <c r="R62" s="4"/>
      <c r="S62" s="4"/>
    </row>
    <row r="64" spans="2:19" s="2" customFormat="1" x14ac:dyDescent="0.2">
      <c r="B64" s="2" t="s">
        <v>84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f>+P33</f>
        <v>-3844</v>
      </c>
      <c r="Q64" s="4">
        <f>+Q33</f>
        <v>2982</v>
      </c>
      <c r="R64" s="4"/>
      <c r="S64" s="4"/>
    </row>
    <row r="65" spans="2:19" s="2" customFormat="1" x14ac:dyDescent="0.2">
      <c r="B65" s="2" t="s">
        <v>85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>
        <v>-3844</v>
      </c>
      <c r="Q65" s="4">
        <v>-2028</v>
      </c>
      <c r="R65" s="4"/>
      <c r="S65" s="4"/>
    </row>
    <row r="66" spans="2:19" s="2" customFormat="1" x14ac:dyDescent="0.2">
      <c r="B66" s="2" t="s">
        <v>88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v>8978</v>
      </c>
      <c r="Q66" s="4">
        <v>9594</v>
      </c>
      <c r="R66" s="4"/>
      <c r="S66" s="4"/>
    </row>
    <row r="67" spans="2:19" s="2" customFormat="1" x14ac:dyDescent="0.2">
      <c r="B67" s="2" t="s">
        <v>89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3250</v>
      </c>
      <c r="Q67" s="4">
        <v>5209</v>
      </c>
      <c r="R67" s="4"/>
      <c r="S67" s="4"/>
    </row>
    <row r="68" spans="2:19" s="2" customFormat="1" x14ac:dyDescent="0.2">
      <c r="B68" s="2" t="s">
        <v>45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215</v>
      </c>
      <c r="Q68" s="4">
        <v>122</v>
      </c>
      <c r="R68" s="4"/>
      <c r="S68" s="4"/>
    </row>
    <row r="69" spans="2:19" s="2" customFormat="1" x14ac:dyDescent="0.2">
      <c r="B69" s="2" t="s">
        <v>45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8689</v>
      </c>
      <c r="Q69" s="4">
        <v>6104</v>
      </c>
      <c r="R69" s="4"/>
      <c r="S69" s="4"/>
    </row>
    <row r="70" spans="2:19" s="2" customFormat="1" x14ac:dyDescent="0.2">
      <c r="B70" s="2" t="s">
        <v>90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-2001</v>
      </c>
      <c r="Q70" s="4">
        <v>-1955</v>
      </c>
      <c r="R70" s="4"/>
      <c r="S70" s="4"/>
    </row>
    <row r="71" spans="2:19" s="2" customFormat="1" x14ac:dyDescent="0.2">
      <c r="B71" s="2" t="s">
        <v>87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f>-2614-1516-9380-5903+1336</f>
        <v>-18077</v>
      </c>
      <c r="Q71" s="4">
        <f>-3890-6799+3699-1412+321</f>
        <v>-8081</v>
      </c>
      <c r="R71" s="4"/>
      <c r="S71" s="4"/>
    </row>
    <row r="72" spans="2:19" s="2" customFormat="1" x14ac:dyDescent="0.2">
      <c r="B72" s="2" t="s">
        <v>86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f>SUM(P65:P71)</f>
        <v>-2790</v>
      </c>
      <c r="Q72" s="4">
        <f>SUM(Q65:Q71)</f>
        <v>8965</v>
      </c>
      <c r="R72" s="4"/>
      <c r="S72" s="4"/>
    </row>
    <row r="73" spans="2:19" s="2" customFormat="1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2:19" s="2" customFormat="1" x14ac:dyDescent="0.2">
      <c r="B74" s="2" t="s">
        <v>91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-14951</v>
      </c>
      <c r="Q74" s="4">
        <v>-15724</v>
      </c>
      <c r="R74" s="4"/>
      <c r="S74" s="4"/>
    </row>
    <row r="75" spans="2:19" s="2" customFormat="1" x14ac:dyDescent="0.2">
      <c r="B75" s="2" t="s">
        <v>93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v>1209</v>
      </c>
      <c r="Q75" s="4">
        <v>1626</v>
      </c>
      <c r="R75" s="4"/>
      <c r="S75" s="4"/>
    </row>
    <row r="76" spans="2:19" s="2" customFormat="1" x14ac:dyDescent="0.2">
      <c r="B76" s="2" t="s">
        <v>94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-6341</v>
      </c>
      <c r="Q76" s="4">
        <v>-259</v>
      </c>
      <c r="R76" s="4"/>
      <c r="S76" s="4"/>
    </row>
    <row r="77" spans="2:19" s="2" customFormat="1" x14ac:dyDescent="0.2">
      <c r="B77" s="2" t="s">
        <v>95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f>22753-1764</f>
        <v>20989</v>
      </c>
      <c r="Q77" s="4">
        <f>2608-329</f>
        <v>2279</v>
      </c>
      <c r="R77" s="4"/>
      <c r="S77" s="4"/>
    </row>
    <row r="78" spans="2:19" s="2" customFormat="1" x14ac:dyDescent="0.2">
      <c r="B78" s="2" t="s">
        <v>92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f>SUM(P74:P77)</f>
        <v>906</v>
      </c>
      <c r="Q78" s="4">
        <f>SUM(Q74:Q77)</f>
        <v>-12078</v>
      </c>
      <c r="R78" s="4"/>
      <c r="S78" s="4"/>
    </row>
    <row r="79" spans="2:19" s="2" customFormat="1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2:19" s="2" customFormat="1" x14ac:dyDescent="0.2">
      <c r="B80" s="2" t="s">
        <v>97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-2666</v>
      </c>
      <c r="Q80" s="4">
        <v>-3334</v>
      </c>
      <c r="R80" s="4"/>
      <c r="S80" s="4"/>
    </row>
    <row r="81" spans="2:19" s="2" customFormat="1" x14ac:dyDescent="0.2">
      <c r="B81" s="2" t="s">
        <v>5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f>13743-6231-2777-79</f>
        <v>4656</v>
      </c>
      <c r="Q81" s="4">
        <f>4865-7610+12824-1-2059-59</f>
        <v>7960</v>
      </c>
      <c r="R81" s="4"/>
      <c r="S81" s="4"/>
    </row>
    <row r="82" spans="2:19" s="2" customFormat="1" x14ac:dyDescent="0.2">
      <c r="B82" s="2" t="s">
        <v>96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f>SUM(P80:P81)</f>
        <v>1990</v>
      </c>
      <c r="Q82" s="4">
        <f>SUM(Q80:Q81)</f>
        <v>4626</v>
      </c>
      <c r="R82" s="4"/>
      <c r="S82" s="4"/>
    </row>
    <row r="83" spans="2:19" s="2" customFormat="1" x14ac:dyDescent="0.2">
      <c r="B83" s="2" t="s">
        <v>98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v>16</v>
      </c>
      <c r="Q83" s="4">
        <v>-412</v>
      </c>
      <c r="R83" s="4"/>
      <c r="S83" s="4"/>
    </row>
    <row r="84" spans="2:19" s="2" customFormat="1" x14ac:dyDescent="0.2">
      <c r="B84" s="2" t="s">
        <v>99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f>+P83+P82+P78+P72</f>
        <v>122</v>
      </c>
      <c r="Q84" s="4">
        <f>+Q83+Q82+Q78+Q72</f>
        <v>1101</v>
      </c>
      <c r="R84" s="4"/>
      <c r="S84" s="4"/>
    </row>
    <row r="86" spans="2:19" s="2" customFormat="1" x14ac:dyDescent="0.2">
      <c r="B86" s="2" t="s">
        <v>46</v>
      </c>
      <c r="C86" s="4"/>
      <c r="D86" s="4"/>
      <c r="E86" s="4"/>
      <c r="F86" s="4"/>
      <c r="G86" s="4"/>
      <c r="H86" s="4"/>
      <c r="I86" s="4"/>
      <c r="J86" s="4"/>
      <c r="K86" s="4">
        <v>1298</v>
      </c>
      <c r="L86" s="4">
        <v>1271</v>
      </c>
      <c r="M86" s="4">
        <v>1335</v>
      </c>
      <c r="N86" s="4">
        <v>1468</v>
      </c>
      <c r="O86" s="4">
        <v>1608</v>
      </c>
      <c r="P86" s="4">
        <v>1622</v>
      </c>
      <c r="Q86" s="4">
        <v>1523</v>
      </c>
      <c r="R86" s="4"/>
      <c r="S86" s="4"/>
    </row>
    <row r="88" spans="2:19" s="2" customFormat="1" x14ac:dyDescent="0.2">
      <c r="B88" s="2" t="s">
        <v>81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>
        <v>3147</v>
      </c>
      <c r="N88" s="4"/>
      <c r="O88" s="4"/>
      <c r="P88" s="4"/>
      <c r="Q88" s="4">
        <v>-627</v>
      </c>
      <c r="R88" s="4"/>
      <c r="S88" s="4"/>
    </row>
    <row r="89" spans="2:19" s="2" customFormat="1" x14ac:dyDescent="0.2">
      <c r="B89" s="2" t="s">
        <v>82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362</v>
      </c>
      <c r="N89" s="4"/>
      <c r="O89" s="4"/>
      <c r="P89" s="4"/>
      <c r="Q89" s="4">
        <v>-1771</v>
      </c>
      <c r="R89" s="4"/>
      <c r="S89" s="4"/>
    </row>
    <row r="90" spans="2:19" s="2" customFormat="1" x14ac:dyDescent="0.2">
      <c r="B90" s="2" t="s">
        <v>83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4193</v>
      </c>
      <c r="N90" s="4"/>
      <c r="O90" s="4"/>
      <c r="P90" s="4"/>
      <c r="Q90" s="4">
        <v>5715</v>
      </c>
      <c r="R90" s="4"/>
      <c r="S90" s="4"/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2022-08-23T18:06:26Z</dcterms:modified>
</cp:coreProperties>
</file>