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DC6A63E-DE74-4A6C-9531-289905C4B407}" xr6:coauthVersionLast="47" xr6:coauthVersionMax="47" xr10:uidLastSave="{00000000-0000-0000-0000-000000000000}"/>
  <bookViews>
    <workbookView xWindow="-18690" yWindow="540" windowWidth="18375" windowHeight="19260" activeTab="1" xr2:uid="{3FD86B5C-07F1-42A4-9D66-8FB9C4BAF17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2" l="1"/>
  <c r="M12" i="2"/>
  <c r="M8" i="2"/>
  <c r="M14" i="2"/>
  <c r="Q14" i="2"/>
  <c r="Q21" i="2"/>
  <c r="Q12" i="2"/>
  <c r="Q8" i="2"/>
  <c r="Q22" i="2" s="1"/>
  <c r="N14" i="2"/>
  <c r="N12" i="2"/>
  <c r="N13" i="2" s="1"/>
  <c r="N8" i="2"/>
  <c r="N22" i="2" s="1"/>
  <c r="R22" i="2"/>
  <c r="R21" i="2"/>
  <c r="R14" i="2"/>
  <c r="R12" i="2"/>
  <c r="R8" i="2"/>
  <c r="S36" i="2"/>
  <c r="S37" i="2"/>
  <c r="S41" i="2"/>
  <c r="S32" i="2"/>
  <c r="S26" i="2"/>
  <c r="S30" i="2"/>
  <c r="S24" i="2"/>
  <c r="S54" i="2"/>
  <c r="S53" i="2"/>
  <c r="S43" i="2"/>
  <c r="P22" i="2"/>
  <c r="P21" i="2"/>
  <c r="O22" i="2"/>
  <c r="O21" i="2"/>
  <c r="O14" i="2"/>
  <c r="O12" i="2"/>
  <c r="O8" i="2"/>
  <c r="S22" i="2"/>
  <c r="S21" i="2"/>
  <c r="S14" i="2"/>
  <c r="S12" i="2"/>
  <c r="S8" i="2"/>
  <c r="T43" i="2"/>
  <c r="T22" i="2"/>
  <c r="T21" i="2"/>
  <c r="P14" i="2"/>
  <c r="P12" i="2"/>
  <c r="P8" i="2"/>
  <c r="T18" i="2"/>
  <c r="T17" i="2"/>
  <c r="T15" i="2"/>
  <c r="T14" i="2"/>
  <c r="T13" i="2"/>
  <c r="T12" i="2"/>
  <c r="T8" i="2"/>
  <c r="T41" i="2"/>
  <c r="T37" i="2"/>
  <c r="T36" i="2"/>
  <c r="T26" i="2"/>
  <c r="T32" i="2" s="1"/>
  <c r="T30" i="2"/>
  <c r="T24" i="2"/>
  <c r="O3" i="1"/>
  <c r="K53" i="2"/>
  <c r="K54" i="2" s="1"/>
  <c r="K36" i="2"/>
  <c r="K37" i="2"/>
  <c r="K24" i="2"/>
  <c r="K26" i="2"/>
  <c r="K30" i="2"/>
  <c r="N21" i="2"/>
  <c r="M21" i="2"/>
  <c r="AB6" i="2"/>
  <c r="AA2" i="2"/>
  <c r="AB2" i="2" s="1"/>
  <c r="AC2" i="2" s="1"/>
  <c r="AD2" i="2" s="1"/>
  <c r="M22" i="2"/>
  <c r="K21" i="2"/>
  <c r="J21" i="2"/>
  <c r="I21" i="2"/>
  <c r="L21" i="2"/>
  <c r="E12" i="2"/>
  <c r="E8" i="2"/>
  <c r="E22" i="2" s="1"/>
  <c r="I12" i="2"/>
  <c r="I8" i="2"/>
  <c r="I22" i="2" s="1"/>
  <c r="F12" i="2"/>
  <c r="F8" i="2"/>
  <c r="F22" i="2" s="1"/>
  <c r="J14" i="2"/>
  <c r="J12" i="2"/>
  <c r="J8" i="2"/>
  <c r="J22" i="2" s="1"/>
  <c r="G14" i="2"/>
  <c r="G12" i="2"/>
  <c r="G8" i="2"/>
  <c r="G22" i="2" s="1"/>
  <c r="K14" i="2"/>
  <c r="K12" i="2"/>
  <c r="K8" i="2"/>
  <c r="K22" i="2" s="1"/>
  <c r="M15" i="2" l="1"/>
  <c r="M17" i="2" s="1"/>
  <c r="M18" i="2" s="1"/>
  <c r="Q13" i="2"/>
  <c r="Q15" i="2" s="1"/>
  <c r="Q17" i="2" s="1"/>
  <c r="Q18" i="2" s="1"/>
  <c r="N15" i="2"/>
  <c r="N17" i="2" s="1"/>
  <c r="N18" i="2" s="1"/>
  <c r="R13" i="2"/>
  <c r="R15" i="2" s="1"/>
  <c r="R17" i="2" s="1"/>
  <c r="R18" i="2" s="1"/>
  <c r="O13" i="2"/>
  <c r="O15" i="2" s="1"/>
  <c r="O17" i="2" s="1"/>
  <c r="O18" i="2" s="1"/>
  <c r="S13" i="2"/>
  <c r="S15" i="2" s="1"/>
  <c r="S17" i="2" s="1"/>
  <c r="S18" i="2" s="1"/>
  <c r="P13" i="2"/>
  <c r="P15" i="2" s="1"/>
  <c r="P17" i="2" s="1"/>
  <c r="P18" i="2" s="1"/>
  <c r="K32" i="2"/>
  <c r="K41" i="2"/>
  <c r="G13" i="2"/>
  <c r="G15" i="2" s="1"/>
  <c r="G17" i="2" s="1"/>
  <c r="G18" i="2" s="1"/>
  <c r="E13" i="2"/>
  <c r="E15" i="2" s="1"/>
  <c r="E17" i="2" s="1"/>
  <c r="E18" i="2" s="1"/>
  <c r="I13" i="2"/>
  <c r="I15" i="2" s="1"/>
  <c r="I17" i="2" s="1"/>
  <c r="I18" i="2" s="1"/>
  <c r="F13" i="2"/>
  <c r="F15" i="2" s="1"/>
  <c r="F17" i="2" s="1"/>
  <c r="F18" i="2" s="1"/>
  <c r="J13" i="2"/>
  <c r="J15" i="2" s="1"/>
  <c r="J17" i="2" s="1"/>
  <c r="J18" i="2" s="1"/>
  <c r="K13" i="2"/>
  <c r="K15" i="2" s="1"/>
  <c r="K17" i="2" s="1"/>
  <c r="K18" i="2" l="1"/>
  <c r="K43" i="2"/>
  <c r="O7" i="1"/>
  <c r="O4" i="1"/>
  <c r="L36" i="2"/>
  <c r="L37" i="2"/>
  <c r="L24" i="2"/>
  <c r="L26" i="2"/>
  <c r="L30" i="2"/>
  <c r="H14" i="2"/>
  <c r="L14" i="2"/>
  <c r="H12" i="2"/>
  <c r="L12" i="2"/>
  <c r="L8" i="2"/>
  <c r="L22" i="2" s="1"/>
  <c r="H8" i="2"/>
  <c r="H22" i="2" s="1"/>
  <c r="L13" i="2" l="1"/>
  <c r="L15" i="2" s="1"/>
  <c r="L17" i="2" s="1"/>
  <c r="L18" i="2" s="1"/>
  <c r="L32" i="2"/>
  <c r="L41" i="2"/>
  <c r="H13" i="2"/>
  <c r="H15" i="2" s="1"/>
  <c r="H17" i="2" s="1"/>
  <c r="H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tc={B694AA91-5F28-404D-8B9F-89A2BFECAE55}</author>
    <author>tc={15E8E758-37B6-468B-81A6-B3305FD6827A}</author>
    <author>tc={95169845-1F7F-4051-990A-FE3D69449576}</author>
  </authors>
  <commentList>
    <comment ref="L6" authorId="0" shapeId="0" xr:uid="{B694AA91-5F28-404D-8B9F-89A2BFECAE55}">
      <text>
        <t>[Threaded comment]
Your version of Excel allows you to read this threaded comment; however, any edits to it will get removed if the file is opened in a newer version of Excel. Learn more: https://go.microsoft.com/fwlink/?linkid=870924
Comment:
    Q1: 376-380m</t>
      </text>
    </comment>
    <comment ref="M6" authorId="1" shapeId="0" xr:uid="{15E8E758-37B6-468B-81A6-B3305FD6827A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410-414m</t>
      </text>
    </comment>
    <comment ref="AB6" authorId="2" shapeId="0" xr:uid="{95169845-1F7F-4051-990A-FE3D69449576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1610-1630m
Reply:
    Q1: 1600-1620m</t>
      </text>
    </comment>
  </commentList>
</comments>
</file>

<file path=xl/sharedStrings.xml><?xml version="1.0" encoding="utf-8"?>
<sst xmlns="http://schemas.openxmlformats.org/spreadsheetml/2006/main" count="76" uniqueCount="66">
  <si>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</si>
  <si>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</si>
  <si>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</si>
  <si>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</si>
  <si>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</si>
  <si>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</si>
  <si>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</si>
  <si>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</si>
  <si>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</si>
  <si>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</si>
  <si>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</si>
  <si>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</si>
  <si>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</si>
  <si>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</si>
  <si>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</si>
  <si>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</si>
  <si>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</si>
  <si>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</si>
  <si>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</si>
  <si>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</si>
  <si>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</si>
  <si>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</si>
  <si>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</si>
  <si>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</si>
  <si>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</si>
  <si>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OpEx</t>
  </si>
  <si>
    <t>OpInc</t>
  </si>
  <si>
    <t>Interest</t>
  </si>
  <si>
    <t>Pretax</t>
  </si>
  <si>
    <t>Net Income</t>
  </si>
  <si>
    <t>EPS</t>
  </si>
  <si>
    <t>Taxes</t>
  </si>
  <si>
    <t>Assets</t>
  </si>
  <si>
    <t>AR</t>
  </si>
  <si>
    <t>Deferred Contract</t>
  </si>
  <si>
    <t>Prepaids</t>
  </si>
  <si>
    <t>PP&amp;E</t>
  </si>
  <si>
    <t>Lease</t>
  </si>
  <si>
    <t>Goodwill</t>
  </si>
  <si>
    <t>Other</t>
  </si>
  <si>
    <t>AP</t>
  </si>
  <si>
    <t>AE</t>
  </si>
  <si>
    <t>DR</t>
  </si>
  <si>
    <t>SE</t>
  </si>
  <si>
    <t>L+SE</t>
  </si>
  <si>
    <t>Revenue y/y</t>
  </si>
  <si>
    <t>Gross Margin</t>
  </si>
  <si>
    <t>100k</t>
  </si>
  <si>
    <t>Model NI</t>
  </si>
  <si>
    <t>Reported NI</t>
  </si>
  <si>
    <t>D&amp;A</t>
  </si>
  <si>
    <t>Discounts</t>
  </si>
  <si>
    <t>Issuance</t>
  </si>
  <si>
    <t>D/Contracts</t>
  </si>
  <si>
    <t>SBC</t>
  </si>
  <si>
    <t>Loss on PP&amp;E</t>
  </si>
  <si>
    <t>WC</t>
  </si>
  <si>
    <t>CFFO</t>
  </si>
  <si>
    <t>Q123</t>
  </si>
  <si>
    <t>Q223</t>
  </si>
  <si>
    <t>Q323</t>
  </si>
  <si>
    <t>Q423</t>
  </si>
  <si>
    <t>Q124</t>
  </si>
  <si>
    <t>Q224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</si>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</sst>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B67D2C7-AFA5-4152-9AAB-B3E3F75CF9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76932</xdr:colOff>
      <xdr:row>0</xdr:row>
      <xdr:rowOff>0</xdr:rowOff>
    </xdr:from>
    <xdr:to>
      <xdr:col>20</xdr:col>
      <xdr:colOff>76932</xdr:colOff>
      <xdr:row>56</xdr:row>
      <xdr:rowOff>151668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DDFA4D5-0B38-8039-23CD-D7314E60DE78}"/>
            </a:ext>
          </a:extLst>
        </xdr:cNvPr>
        <xdr:cNvCxnSpPr/>
      </xdr:nvCxnSpPr>
      <xdr:spPr>
        <a:xfrm>
          <a:off x="12540028" y="0"/>
          <a:ext cx="0" cy="91784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EBEE36F-B86D-4667-B671-D0667117F4FF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6" dT="2022-09-02T15:00:42.62" personId="{6EBEE36F-B86D-4667-B671-D0667117F4FF}" id="{B694AA91-5F28-404D-8B9F-89A2BFECAE55}">
    <text>Q1: 376-380m</text>
  </threadedComment>
  <threadedComment ref="M6" dT="2022-09-02T14:59:12.36" personId="{6EBEE36F-B86D-4667-B671-D0667117F4FF}" id="{15E8E758-37B6-468B-81A6-B3305FD6827A}">
    <text>Q2: 410-414m</text>
  </threadedComment>
  <threadedComment ref="AB6" dT="2022-09-02T14:59:40.61" personId="{6EBEE36F-B86D-4667-B671-D0667117F4FF}" id="{95169845-1F7F-4051-990A-FE3D69449576}">
    <text>Q2: 1610-1630m</text>
  </threadedComment>
  <threadedComment ref="AB6" dT="2022-09-02T15:01:04.51" personId="{6EBEE36F-B86D-4667-B671-D0667117F4FF}" id="{618BFB8A-809A-468A-BF3E-6286A5CBAEB3}" parentId="{95169845-1F7F-4051-990A-FE3D69449576}">
    <text>Q1: 1600-1620m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D0B1-E685-4627-8A01-75A3D2BDF860}">
  <dimension ref="N2:P7"/>
  <sheetViews>
    <sheetView topLeftCell="C1" zoomScale="160" zoomScaleNormal="160" workbookViewId="0">
      <selection activeCell="O5" sqref="O5"/>
    </sheetView>
  </sheetViews>
  <sheetFormatPr defaultRowHeight="12.75" x14ac:dyDescent="0.2"/>
  <sheetData>
    <row r="2" spans="14:16" x14ac:dyDescent="0.2">
      <c r="N2" t="s">
        <v>0</v>
      </c>
      <c r="O2" s="1">
        <v>112</v>
      </c>
    </row>
    <row r="3" spans="14:16" x14ac:dyDescent="0.2">
      <c r="N3" t="s">
        <v>1</v>
      </c>
      <c r="O3" s="5">
        <f>311.11036+26.041915</f>
        <v>337.15227500000003</v>
      </c>
      <c r="P3" s="2" t="s">
        <v>63</v>
      </c>
    </row>
    <row r="4" spans="14:16" x14ac:dyDescent="0.2">
      <c r="N4" t="s">
        <v>2</v>
      </c>
      <c r="O4" s="5">
        <f>+O2*O3</f>
        <v>37761.054800000005</v>
      </c>
    </row>
    <row r="5" spans="14:16" x14ac:dyDescent="0.2">
      <c r="N5" t="s">
        <v>3</v>
      </c>
      <c r="O5" s="5">
        <v>1707</v>
      </c>
      <c r="P5" s="2" t="s">
        <v>17</v>
      </c>
    </row>
    <row r="6" spans="14:16" x14ac:dyDescent="0.2">
      <c r="N6" t="s">
        <v>4</v>
      </c>
      <c r="O6" s="5">
        <v>737</v>
      </c>
      <c r="P6" s="2" t="s">
        <v>17</v>
      </c>
    </row>
    <row r="7" spans="14:16" x14ac:dyDescent="0.2">
      <c r="N7" t="s">
        <v>5</v>
      </c>
      <c r="O7" s="5">
        <f>+O4-O5+O6</f>
        <v>36791.054800000005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D0F6-F818-4D6B-9D91-E5CB5E0CBE0F}">
  <dimension ref="A1:AD54"/>
  <sheetViews>
    <sheetView tabSelected="1" zoomScale="130" zoomScaleNormal="130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S21" sqref="S21"/>
    </sheetView>
  </sheetViews>
  <sheetFormatPr defaultRowHeight="12.75" x14ac:dyDescent="0.2"/>
  <cols>
    <col min="1" max="1" width="5" bestFit="1" customWidth="1"/>
    <col min="2" max="2" width="17.7109375" customWidth="1"/>
    <col min="3" max="23" width="9.140625" style="2"/>
  </cols>
  <sheetData>
    <row r="1" spans="1:30" x14ac:dyDescent="0.2">
      <c r="A1" s="8" t="s">
        <v>6</v>
      </c>
    </row>
    <row r="2" spans="1:30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58</v>
      </c>
      <c r="P2" s="2" t="s">
        <v>59</v>
      </c>
      <c r="Q2" s="2" t="s">
        <v>60</v>
      </c>
      <c r="R2" s="2" t="s">
        <v>61</v>
      </c>
      <c r="S2" s="2" t="s">
        <v>62</v>
      </c>
      <c r="T2" s="2" t="s">
        <v>63</v>
      </c>
      <c r="U2" s="2" t="s">
        <v>64</v>
      </c>
      <c r="V2" s="2" t="s">
        <v>65</v>
      </c>
      <c r="Z2">
        <v>2020</v>
      </c>
      <c r="AA2">
        <f>+Z2+1</f>
        <v>2021</v>
      </c>
      <c r="AB2">
        <f t="shared" ref="AB2:AD2" si="0">+AA2+1</f>
        <v>2022</v>
      </c>
      <c r="AC2">
        <f t="shared" si="0"/>
        <v>2023</v>
      </c>
      <c r="AD2">
        <f t="shared" si="0"/>
        <v>2024</v>
      </c>
    </row>
    <row r="3" spans="1:30" x14ac:dyDescent="0.2">
      <c r="B3" t="s">
        <v>47</v>
      </c>
      <c r="G3" s="2">
        <v>1406</v>
      </c>
      <c r="H3" s="2">
        <v>1570</v>
      </c>
      <c r="K3" s="2">
        <v>2250</v>
      </c>
      <c r="L3" s="2">
        <v>2420</v>
      </c>
    </row>
    <row r="6" spans="1:30" s="3" customFormat="1" x14ac:dyDescent="0.2">
      <c r="B6" s="3" t="s">
        <v>7</v>
      </c>
      <c r="C6" s="4"/>
      <c r="D6" s="4"/>
      <c r="E6" s="4">
        <v>154.67500000000001</v>
      </c>
      <c r="F6" s="4">
        <v>177.53100000000001</v>
      </c>
      <c r="G6" s="4">
        <v>198.54900000000001</v>
      </c>
      <c r="H6" s="4">
        <v>233.54900000000001</v>
      </c>
      <c r="I6" s="4">
        <v>270.488</v>
      </c>
      <c r="J6" s="4">
        <v>326.19799999999998</v>
      </c>
      <c r="K6" s="4">
        <v>363.03</v>
      </c>
      <c r="L6" s="4">
        <v>406.13799999999998</v>
      </c>
      <c r="M6" s="4">
        <v>436.53300000000002</v>
      </c>
      <c r="N6" s="4">
        <v>469.399</v>
      </c>
      <c r="O6" s="4">
        <v>481.714</v>
      </c>
      <c r="P6" s="4">
        <v>509.46</v>
      </c>
      <c r="Q6" s="4">
        <v>547.53599999999994</v>
      </c>
      <c r="R6" s="4">
        <v>589.649</v>
      </c>
      <c r="S6" s="4">
        <v>611.25300000000004</v>
      </c>
      <c r="T6" s="4">
        <v>645.279</v>
      </c>
      <c r="U6" s="4"/>
      <c r="V6" s="4"/>
      <c r="W6" s="4"/>
      <c r="AB6" s="3">
        <f>SUM(K6:N6)</f>
        <v>1675.1</v>
      </c>
    </row>
    <row r="7" spans="1:30" s="5" customFormat="1" x14ac:dyDescent="0.2">
      <c r="B7" s="5" t="s">
        <v>20</v>
      </c>
      <c r="C7" s="6"/>
      <c r="D7" s="6"/>
      <c r="E7" s="6">
        <v>33.984000000000002</v>
      </c>
      <c r="F7" s="6">
        <v>40.856000000000002</v>
      </c>
      <c r="G7" s="6">
        <v>46.665999999999997</v>
      </c>
      <c r="H7" s="6">
        <v>57.097999999999999</v>
      </c>
      <c r="I7" s="6">
        <v>63.332000000000001</v>
      </c>
      <c r="J7" s="6">
        <v>67.149000000000001</v>
      </c>
      <c r="K7" s="6">
        <v>74.462000000000003</v>
      </c>
      <c r="L7" s="6">
        <v>81.924999999999997</v>
      </c>
      <c r="M7" s="6">
        <v>93.599000000000004</v>
      </c>
      <c r="N7" s="6">
        <v>96.757000000000005</v>
      </c>
      <c r="O7" s="6">
        <v>99.914000000000001</v>
      </c>
      <c r="P7" s="6">
        <v>101.846</v>
      </c>
      <c r="Q7" s="6">
        <v>103.319</v>
      </c>
      <c r="R7" s="6">
        <v>104.82899999999999</v>
      </c>
      <c r="S7" s="6">
        <v>110.098</v>
      </c>
      <c r="T7" s="6">
        <v>123.499</v>
      </c>
      <c r="U7" s="6"/>
      <c r="V7" s="6"/>
      <c r="W7" s="6"/>
    </row>
    <row r="8" spans="1:30" s="5" customFormat="1" x14ac:dyDescent="0.2">
      <c r="B8" s="5" t="s">
        <v>21</v>
      </c>
      <c r="C8" s="6"/>
      <c r="D8" s="6"/>
      <c r="E8" s="6">
        <f t="shared" ref="E8:L8" si="1">+E6-E7</f>
        <v>120.691</v>
      </c>
      <c r="F8" s="6">
        <f t="shared" si="1"/>
        <v>136.67500000000001</v>
      </c>
      <c r="G8" s="6">
        <f t="shared" si="1"/>
        <v>151.88300000000001</v>
      </c>
      <c r="H8" s="6">
        <f t="shared" si="1"/>
        <v>176.45100000000002</v>
      </c>
      <c r="I8" s="6">
        <f t="shared" si="1"/>
        <v>207.15600000000001</v>
      </c>
      <c r="J8" s="6">
        <f t="shared" si="1"/>
        <v>259.04899999999998</v>
      </c>
      <c r="K8" s="6">
        <f t="shared" si="1"/>
        <v>288.56799999999998</v>
      </c>
      <c r="L8" s="6">
        <f t="shared" si="1"/>
        <v>324.21299999999997</v>
      </c>
      <c r="M8" s="6">
        <f>+M6-M7</f>
        <v>342.93400000000003</v>
      </c>
      <c r="N8" s="6">
        <f>+N6-N7</f>
        <v>372.642</v>
      </c>
      <c r="O8" s="6">
        <f>+O6-O7</f>
        <v>381.8</v>
      </c>
      <c r="P8" s="6">
        <f>+P6-P7</f>
        <v>407.61399999999998</v>
      </c>
      <c r="Q8" s="6">
        <f>+Q6-Q7</f>
        <v>444.21699999999993</v>
      </c>
      <c r="R8" s="6">
        <f>+R6-R7</f>
        <v>484.82</v>
      </c>
      <c r="S8" s="6">
        <f>+S6-S7</f>
        <v>501.15500000000003</v>
      </c>
      <c r="T8" s="6">
        <f>+T6-T7</f>
        <v>521.78</v>
      </c>
      <c r="U8" s="6"/>
      <c r="V8" s="6"/>
      <c r="W8" s="6"/>
    </row>
    <row r="9" spans="1:30" s="5" customFormat="1" x14ac:dyDescent="0.2">
      <c r="B9" s="5" t="s">
        <v>22</v>
      </c>
      <c r="C9" s="6"/>
      <c r="D9" s="6"/>
      <c r="E9" s="6">
        <v>56.44</v>
      </c>
      <c r="F9" s="6">
        <v>67.697999999999993</v>
      </c>
      <c r="G9" s="6">
        <v>79.266000000000005</v>
      </c>
      <c r="H9" s="6">
        <v>94.778999999999996</v>
      </c>
      <c r="I9" s="6">
        <v>112.675</v>
      </c>
      <c r="J9" s="6">
        <v>133.04900000000001</v>
      </c>
      <c r="K9" s="6">
        <v>150.608</v>
      </c>
      <c r="L9" s="6">
        <v>177.69900000000001</v>
      </c>
      <c r="M9" s="6">
        <v>205.38800000000001</v>
      </c>
      <c r="N9" s="6">
        <v>218.65600000000001</v>
      </c>
      <c r="O9" s="6">
        <v>229.47800000000001</v>
      </c>
      <c r="P9" s="6">
        <v>239.494</v>
      </c>
      <c r="Q9" s="6">
        <v>240.22499999999999</v>
      </c>
      <c r="R9" s="6">
        <v>253.25</v>
      </c>
      <c r="S9" s="6">
        <v>269.988</v>
      </c>
      <c r="T9" s="6">
        <v>274.59899999999999</v>
      </c>
      <c r="U9" s="6"/>
      <c r="V9" s="6"/>
      <c r="W9" s="6"/>
    </row>
    <row r="10" spans="1:30" s="5" customFormat="1" x14ac:dyDescent="0.2">
      <c r="B10" s="5" t="s">
        <v>23</v>
      </c>
      <c r="C10" s="6"/>
      <c r="D10" s="6"/>
      <c r="E10" s="6">
        <v>57.142000000000003</v>
      </c>
      <c r="F10" s="6">
        <v>60.033999999999999</v>
      </c>
      <c r="G10" s="6">
        <v>64.352999999999994</v>
      </c>
      <c r="H10" s="6">
        <v>70.412000000000006</v>
      </c>
      <c r="I10" s="6">
        <v>75.826999999999998</v>
      </c>
      <c r="J10" s="6">
        <v>88.905000000000001</v>
      </c>
      <c r="K10" s="6">
        <v>101.166</v>
      </c>
      <c r="L10" s="6">
        <v>115.27</v>
      </c>
      <c r="M10" s="6">
        <v>129.49299999999999</v>
      </c>
      <c r="N10" s="6">
        <v>149.35900000000001</v>
      </c>
      <c r="O10" s="6">
        <v>144.971</v>
      </c>
      <c r="P10" s="6">
        <v>147.45500000000001</v>
      </c>
      <c r="Q10" s="6">
        <v>156.87</v>
      </c>
      <c r="R10" s="6">
        <v>159.97999999999999</v>
      </c>
      <c r="S10" s="6">
        <v>173.881</v>
      </c>
      <c r="T10" s="6">
        <v>187.005</v>
      </c>
      <c r="U10" s="6"/>
      <c r="V10" s="6"/>
      <c r="W10" s="6"/>
    </row>
    <row r="11" spans="1:30" s="5" customFormat="1" x14ac:dyDescent="0.2">
      <c r="B11" s="5" t="s">
        <v>24</v>
      </c>
      <c r="C11" s="6"/>
      <c r="D11" s="6"/>
      <c r="E11" s="6">
        <v>16.376000000000001</v>
      </c>
      <c r="F11" s="6">
        <v>17.881</v>
      </c>
      <c r="G11" s="6">
        <v>21.094000000000001</v>
      </c>
      <c r="H11" s="6">
        <v>21.146000000000001</v>
      </c>
      <c r="I11" s="6">
        <v>23.548999999999999</v>
      </c>
      <c r="J11" s="6">
        <v>28.64</v>
      </c>
      <c r="K11" s="6">
        <v>26.38</v>
      </c>
      <c r="L11" s="6">
        <v>34.383000000000003</v>
      </c>
      <c r="M11" s="6">
        <v>39.395000000000003</v>
      </c>
      <c r="N11" s="6">
        <v>39.255000000000003</v>
      </c>
      <c r="O11" s="6">
        <v>42.320999999999998</v>
      </c>
      <c r="P11" s="6">
        <v>42.670999999999999</v>
      </c>
      <c r="Q11" s="6">
        <v>51.351999999999997</v>
      </c>
      <c r="R11" s="6">
        <v>43.847999999999999</v>
      </c>
      <c r="S11" s="6">
        <v>45.29</v>
      </c>
      <c r="T11" s="6">
        <v>47.558</v>
      </c>
      <c r="U11" s="6"/>
      <c r="V11" s="6"/>
      <c r="W11" s="6"/>
    </row>
    <row r="12" spans="1:30" s="5" customFormat="1" x14ac:dyDescent="0.2">
      <c r="B12" s="5" t="s">
        <v>25</v>
      </c>
      <c r="C12" s="6"/>
      <c r="D12" s="6"/>
      <c r="E12" s="6">
        <f t="shared" ref="E12:L12" si="2">SUM(E9:E11)</f>
        <v>129.958</v>
      </c>
      <c r="F12" s="6">
        <f t="shared" si="2"/>
        <v>145.613</v>
      </c>
      <c r="G12" s="6">
        <f t="shared" si="2"/>
        <v>164.71299999999999</v>
      </c>
      <c r="H12" s="6">
        <f t="shared" si="2"/>
        <v>186.33699999999999</v>
      </c>
      <c r="I12" s="6">
        <f t="shared" si="2"/>
        <v>212.05100000000002</v>
      </c>
      <c r="J12" s="6">
        <f t="shared" si="2"/>
        <v>250.59399999999999</v>
      </c>
      <c r="K12" s="6">
        <f t="shared" si="2"/>
        <v>278.154</v>
      </c>
      <c r="L12" s="6">
        <f t="shared" si="2"/>
        <v>327.35199999999998</v>
      </c>
      <c r="M12" s="6">
        <f>+M11+M10+M9</f>
        <v>374.27600000000001</v>
      </c>
      <c r="N12" s="6">
        <f>+N11+N10+N9</f>
        <v>407.27</v>
      </c>
      <c r="O12" s="6">
        <f>+O11+O10+O9</f>
        <v>416.77</v>
      </c>
      <c r="P12" s="6">
        <f>+P11+P10+P9</f>
        <v>429.62</v>
      </c>
      <c r="Q12" s="6">
        <f>+Q11+Q10+Q9</f>
        <v>448.447</v>
      </c>
      <c r="R12" s="6">
        <f>+R11+R10+R9</f>
        <v>457.07799999999997</v>
      </c>
      <c r="S12" s="6">
        <f>+S11+S10+S9</f>
        <v>489.15899999999999</v>
      </c>
      <c r="T12" s="6">
        <f>+T11+T10+T9</f>
        <v>509.16199999999998</v>
      </c>
      <c r="U12" s="6"/>
      <c r="V12" s="6"/>
      <c r="W12" s="6"/>
    </row>
    <row r="13" spans="1:30" s="5" customFormat="1" x14ac:dyDescent="0.2">
      <c r="B13" s="5" t="s">
        <v>26</v>
      </c>
      <c r="C13" s="6"/>
      <c r="D13" s="6"/>
      <c r="E13" s="6">
        <f t="shared" ref="E13:L13" si="3">E8-E12</f>
        <v>-9.2669999999999959</v>
      </c>
      <c r="F13" s="6">
        <f t="shared" si="3"/>
        <v>-8.9379999999999882</v>
      </c>
      <c r="G13" s="6">
        <f t="shared" si="3"/>
        <v>-12.829999999999984</v>
      </c>
      <c r="H13" s="6">
        <f t="shared" si="3"/>
        <v>-9.8859999999999673</v>
      </c>
      <c r="I13" s="6">
        <f t="shared" si="3"/>
        <v>-4.8950000000000102</v>
      </c>
      <c r="J13" s="6">
        <f t="shared" si="3"/>
        <v>8.4549999999999841</v>
      </c>
      <c r="K13" s="6">
        <f t="shared" si="3"/>
        <v>10.413999999999987</v>
      </c>
      <c r="L13" s="6">
        <f t="shared" si="3"/>
        <v>-3.13900000000001</v>
      </c>
      <c r="M13" s="6">
        <f>+M8-M12</f>
        <v>-31.341999999999985</v>
      </c>
      <c r="N13" s="6">
        <f>+N8-N12</f>
        <v>-34.627999999999986</v>
      </c>
      <c r="O13" s="6">
        <f>+O8-O12</f>
        <v>-34.96999999999997</v>
      </c>
      <c r="P13" s="6">
        <f>+P8-P12</f>
        <v>-22.006000000000029</v>
      </c>
      <c r="Q13" s="6">
        <f>+Q8-Q12</f>
        <v>-4.230000000000075</v>
      </c>
      <c r="R13" s="6">
        <f>+R8-R12</f>
        <v>27.742000000000019</v>
      </c>
      <c r="S13" s="6">
        <f>+S8-S12</f>
        <v>11.996000000000038</v>
      </c>
      <c r="T13" s="6">
        <f>+T8-T12</f>
        <v>12.617999999999995</v>
      </c>
      <c r="U13" s="6"/>
      <c r="V13" s="6"/>
      <c r="W13" s="6"/>
    </row>
    <row r="14" spans="1:30" s="5" customFormat="1" x14ac:dyDescent="0.2">
      <c r="B14" s="5" t="s">
        <v>27</v>
      </c>
      <c r="C14" s="6"/>
      <c r="D14" s="6"/>
      <c r="E14" s="6">
        <v>-5.2880000000000003</v>
      </c>
      <c r="F14" s="6">
        <v>-6.2290000000000001</v>
      </c>
      <c r="G14" s="6">
        <f>-5.472+5.773</f>
        <v>0.30099999999999927</v>
      </c>
      <c r="H14" s="6">
        <f>-5.064+5.292</f>
        <v>0.22799999999999976</v>
      </c>
      <c r="I14" s="6">
        <v>0.128</v>
      </c>
      <c r="J14" s="6">
        <f>-5.604+5.681</f>
        <v>7.6999999999999957E-2</v>
      </c>
      <c r="K14" s="6">
        <f>-5.247+5.687</f>
        <v>0.44000000000000039</v>
      </c>
      <c r="L14" s="6">
        <f>-4.541+7.669</f>
        <v>3.1279999999999992</v>
      </c>
      <c r="M14" s="6">
        <f>-3.728+12.011</f>
        <v>8.2829999999999995</v>
      </c>
      <c r="N14" s="6">
        <f>-3.019+11.793</f>
        <v>8.7739999999999991</v>
      </c>
      <c r="O14" s="6">
        <f>-2.181+16.727</f>
        <v>14.545999999999999</v>
      </c>
      <c r="P14" s="6">
        <f>-1.526+22.624</f>
        <v>21.097999999999999</v>
      </c>
      <c r="Q14" s="6">
        <f>-1.303+29.833</f>
        <v>28.529999999999998</v>
      </c>
      <c r="R14" s="6">
        <f>-1.292+30.817</f>
        <v>29.524999999999999</v>
      </c>
      <c r="S14" s="6">
        <f>-1.374+35.563</f>
        <v>34.189</v>
      </c>
      <c r="T14" s="6">
        <f>-1.477+36.652</f>
        <v>35.175000000000004</v>
      </c>
      <c r="U14" s="6"/>
      <c r="V14" s="6"/>
      <c r="W14" s="6"/>
    </row>
    <row r="15" spans="1:30" s="5" customFormat="1" x14ac:dyDescent="0.2">
      <c r="B15" s="5" t="s">
        <v>28</v>
      </c>
      <c r="C15" s="6"/>
      <c r="D15" s="6"/>
      <c r="E15" s="6">
        <f t="shared" ref="E15:L15" si="4">+E13+E14</f>
        <v>-14.554999999999996</v>
      </c>
      <c r="F15" s="6">
        <f t="shared" si="4"/>
        <v>-15.166999999999987</v>
      </c>
      <c r="G15" s="6">
        <f t="shared" si="4"/>
        <v>-12.528999999999986</v>
      </c>
      <c r="H15" s="6">
        <f t="shared" si="4"/>
        <v>-9.6579999999999675</v>
      </c>
      <c r="I15" s="6">
        <f t="shared" si="4"/>
        <v>-4.7670000000000101</v>
      </c>
      <c r="J15" s="6">
        <f t="shared" si="4"/>
        <v>8.531999999999984</v>
      </c>
      <c r="K15" s="6">
        <f t="shared" si="4"/>
        <v>10.853999999999989</v>
      </c>
      <c r="L15" s="6">
        <f t="shared" si="4"/>
        <v>-1.1000000000010779E-2</v>
      </c>
      <c r="M15" s="6">
        <f>+M13+M14</f>
        <v>-23.058999999999983</v>
      </c>
      <c r="N15" s="6">
        <f>+N13+N14</f>
        <v>-25.853999999999985</v>
      </c>
      <c r="O15" s="6">
        <f>+O13+O14</f>
        <v>-20.423999999999971</v>
      </c>
      <c r="P15" s="6">
        <f>+P13+P14</f>
        <v>-0.90800000000002967</v>
      </c>
      <c r="Q15" s="6">
        <f>+Q13+Q14</f>
        <v>24.299999999999923</v>
      </c>
      <c r="R15" s="6">
        <f>+R13+R14</f>
        <v>57.267000000000017</v>
      </c>
      <c r="S15" s="6">
        <f>+S13+S14</f>
        <v>46.185000000000038</v>
      </c>
      <c r="T15" s="6">
        <f>+T13+T14</f>
        <v>47.792999999999999</v>
      </c>
      <c r="U15" s="6"/>
      <c r="V15" s="6"/>
      <c r="W15" s="6"/>
    </row>
    <row r="16" spans="1:30" s="5" customFormat="1" x14ac:dyDescent="0.2">
      <c r="B16" s="5" t="s">
        <v>31</v>
      </c>
      <c r="C16" s="6"/>
      <c r="D16" s="6"/>
      <c r="E16" s="6">
        <v>0.59499999999999997</v>
      </c>
      <c r="F16" s="6">
        <v>0.99299999999999999</v>
      </c>
      <c r="G16" s="6">
        <v>-0.53900000000000003</v>
      </c>
      <c r="H16" s="6">
        <v>-2.96</v>
      </c>
      <c r="I16" s="6">
        <v>-0.71699999999999997</v>
      </c>
      <c r="J16" s="6">
        <v>1.363</v>
      </c>
      <c r="K16" s="6">
        <v>1.1160000000000001</v>
      </c>
      <c r="L16" s="6">
        <v>4.8680000000000003</v>
      </c>
      <c r="M16" s="6">
        <v>2.9260000000000002</v>
      </c>
      <c r="N16" s="6">
        <v>3.18</v>
      </c>
      <c r="O16" s="6">
        <v>3.6619999999999999</v>
      </c>
      <c r="P16" s="6">
        <v>3.0609999999999999</v>
      </c>
      <c r="Q16" s="6">
        <v>1.67</v>
      </c>
      <c r="R16" s="6">
        <v>3.274</v>
      </c>
      <c r="S16" s="6">
        <v>3.5539999999999998</v>
      </c>
      <c r="T16" s="6">
        <v>3.9689999999999999</v>
      </c>
      <c r="U16" s="6"/>
      <c r="V16" s="6"/>
      <c r="W16" s="6"/>
    </row>
    <row r="17" spans="2:23" s="5" customFormat="1" x14ac:dyDescent="0.2">
      <c r="B17" s="5" t="s">
        <v>29</v>
      </c>
      <c r="C17" s="6"/>
      <c r="D17" s="6"/>
      <c r="E17" s="6">
        <f t="shared" ref="E17:L17" si="5">+E15-E16</f>
        <v>-15.149999999999997</v>
      </c>
      <c r="F17" s="6">
        <f t="shared" si="5"/>
        <v>-16.159999999999986</v>
      </c>
      <c r="G17" s="6">
        <f t="shared" si="5"/>
        <v>-11.989999999999986</v>
      </c>
      <c r="H17" s="6">
        <f t="shared" si="5"/>
        <v>-6.6979999999999675</v>
      </c>
      <c r="I17" s="6">
        <f t="shared" si="5"/>
        <v>-4.0500000000000105</v>
      </c>
      <c r="J17" s="6">
        <f t="shared" si="5"/>
        <v>7.1689999999999845</v>
      </c>
      <c r="K17" s="6">
        <f t="shared" si="5"/>
        <v>9.7379999999999889</v>
      </c>
      <c r="L17" s="6">
        <f t="shared" si="5"/>
        <v>-4.8790000000000111</v>
      </c>
      <c r="M17" s="6">
        <f>+M15-M16</f>
        <v>-25.984999999999985</v>
      </c>
      <c r="N17" s="6">
        <f>+N15-N16</f>
        <v>-29.033999999999985</v>
      </c>
      <c r="O17" s="6">
        <f>+O15-O16</f>
        <v>-24.08599999999997</v>
      </c>
      <c r="P17" s="6">
        <f>+P15-P16</f>
        <v>-3.9690000000000296</v>
      </c>
      <c r="Q17" s="6">
        <f>+Q15-Q16</f>
        <v>22.629999999999924</v>
      </c>
      <c r="R17" s="6">
        <f>+R15-R16</f>
        <v>53.993000000000016</v>
      </c>
      <c r="S17" s="6">
        <f>+S15-S16</f>
        <v>42.631000000000036</v>
      </c>
      <c r="T17" s="6">
        <f>+T15-T16</f>
        <v>43.823999999999998</v>
      </c>
      <c r="U17" s="6"/>
      <c r="V17" s="6"/>
      <c r="W17" s="6"/>
    </row>
    <row r="18" spans="2:23" s="1" customFormat="1" x14ac:dyDescent="0.2">
      <c r="B18" s="1" t="s">
        <v>30</v>
      </c>
      <c r="C18" s="7"/>
      <c r="D18" s="7"/>
      <c r="E18" s="7">
        <f t="shared" ref="E18:L18" si="6">+E17/E19</f>
        <v>-5.0073705850856368E-2</v>
      </c>
      <c r="F18" s="7">
        <f t="shared" si="6"/>
        <v>-5.3147929500060795E-2</v>
      </c>
      <c r="G18" s="7">
        <f t="shared" si="6"/>
        <v>-3.9178653352241861E-2</v>
      </c>
      <c r="H18" s="7">
        <f t="shared" si="6"/>
        <v>-2.1745411809011676E-2</v>
      </c>
      <c r="I18" s="7">
        <f t="shared" si="6"/>
        <v>-1.3054114947122809E-2</v>
      </c>
      <c r="J18" s="7">
        <f t="shared" si="6"/>
        <v>2.0727021455604115E-2</v>
      </c>
      <c r="K18" s="7">
        <f t="shared" si="6"/>
        <v>2.8171540321927365E-2</v>
      </c>
      <c r="L18" s="7">
        <f t="shared" si="6"/>
        <v>-1.5498975523753589E-2</v>
      </c>
      <c r="M18" s="7">
        <f>+M17/M19</f>
        <v>-8.223361498781602E-2</v>
      </c>
      <c r="N18" s="7">
        <f>+N17/N19</f>
        <v>-9.1489468974122995E-2</v>
      </c>
      <c r="O18" s="7">
        <f>+O17/O19</f>
        <v>-7.5437068960117162E-2</v>
      </c>
      <c r="P18" s="7">
        <f>+P17/P19</f>
        <v>-1.2317862296913644E-2</v>
      </c>
      <c r="Q18" s="7">
        <f>+Q17/Q19</f>
        <v>6.4416226171262123E-2</v>
      </c>
      <c r="R18" s="7">
        <f>+R17/R19</f>
        <v>0.15299498168072614</v>
      </c>
      <c r="S18" s="7">
        <f>+S17/S19</f>
        <v>0.11975706432121007</v>
      </c>
      <c r="T18" s="7">
        <f>+T17/T19</f>
        <v>0.12284577002859225</v>
      </c>
      <c r="U18" s="7"/>
      <c r="V18" s="7"/>
      <c r="W18" s="7"/>
    </row>
    <row r="19" spans="2:23" s="5" customFormat="1" x14ac:dyDescent="0.2">
      <c r="B19" s="5" t="s">
        <v>1</v>
      </c>
      <c r="C19" s="6"/>
      <c r="D19" s="6"/>
      <c r="E19" s="6">
        <v>302.55399999999997</v>
      </c>
      <c r="F19" s="6">
        <v>304.05700000000002</v>
      </c>
      <c r="G19" s="6">
        <v>306.03399999999999</v>
      </c>
      <c r="H19" s="6">
        <v>308.01900000000001</v>
      </c>
      <c r="I19" s="6">
        <v>310.24700000000001</v>
      </c>
      <c r="J19" s="6">
        <v>345.87700000000001</v>
      </c>
      <c r="K19" s="6">
        <v>345.66800000000001</v>
      </c>
      <c r="L19" s="6">
        <v>314.79500000000002</v>
      </c>
      <c r="M19" s="6">
        <v>315.99</v>
      </c>
      <c r="N19" s="6">
        <v>317.34800000000001</v>
      </c>
      <c r="O19" s="6">
        <v>319.286</v>
      </c>
      <c r="P19" s="6">
        <v>322.21499999999997</v>
      </c>
      <c r="Q19" s="6">
        <v>351.30900000000003</v>
      </c>
      <c r="R19" s="6">
        <v>352.90699999999998</v>
      </c>
      <c r="S19" s="6">
        <v>355.97899999999998</v>
      </c>
      <c r="T19" s="6">
        <v>356.74</v>
      </c>
      <c r="U19" s="6"/>
      <c r="V19" s="6"/>
      <c r="W19" s="6"/>
    </row>
    <row r="21" spans="2:23" s="11" customFormat="1" x14ac:dyDescent="0.2">
      <c r="B21" s="3" t="s">
        <v>45</v>
      </c>
      <c r="C21" s="9"/>
      <c r="D21" s="9"/>
      <c r="E21" s="9"/>
      <c r="F21" s="9"/>
      <c r="G21" s="9"/>
      <c r="H21" s="9"/>
      <c r="I21" s="10">
        <f t="shared" ref="I21:K21" si="7">+I6/E6-1</f>
        <v>0.74875060610958455</v>
      </c>
      <c r="J21" s="10">
        <f t="shared" si="7"/>
        <v>0.83741431074009598</v>
      </c>
      <c r="K21" s="10">
        <f t="shared" si="7"/>
        <v>0.82841515192723181</v>
      </c>
      <c r="L21" s="10">
        <f>+L6/H6-1</f>
        <v>0.73898411040081502</v>
      </c>
      <c r="M21" s="10">
        <f>+M6/I6-1</f>
        <v>0.61387196474520134</v>
      </c>
      <c r="N21" s="10">
        <f>+N6/J6-1</f>
        <v>0.43900023911857233</v>
      </c>
      <c r="O21" s="10">
        <f>+O6/K6-1</f>
        <v>0.32692614935404807</v>
      </c>
      <c r="P21" s="10">
        <f>+P6/L6-1</f>
        <v>0.25440121338067367</v>
      </c>
      <c r="Q21" s="10">
        <f>+Q6/M6-1</f>
        <v>0.25428318134024219</v>
      </c>
      <c r="R21" s="10">
        <f>+R6/N6-1</f>
        <v>0.25617864545940661</v>
      </c>
      <c r="S21" s="10">
        <f>+S6/O6-1</f>
        <v>0.26891267432542976</v>
      </c>
      <c r="T21" s="10">
        <f>+T6/P6-1</f>
        <v>0.26659404074902837</v>
      </c>
      <c r="U21" s="10"/>
      <c r="V21" s="10"/>
      <c r="W21" s="10"/>
    </row>
    <row r="22" spans="2:23" x14ac:dyDescent="0.2">
      <c r="B22" s="5" t="s">
        <v>46</v>
      </c>
      <c r="E22" s="12">
        <f t="shared" ref="E22:H22" si="8">+E8/E6</f>
        <v>0.78028770001616288</v>
      </c>
      <c r="F22" s="12">
        <f t="shared" si="8"/>
        <v>0.76986554460911061</v>
      </c>
      <c r="G22" s="12">
        <f t="shared" si="8"/>
        <v>0.7649648197674126</v>
      </c>
      <c r="H22" s="12">
        <f t="shared" si="8"/>
        <v>0.75552025485015994</v>
      </c>
      <c r="I22" s="12">
        <f t="shared" ref="I22:K22" si="9">+I8/I6</f>
        <v>0.76586022300434775</v>
      </c>
      <c r="J22" s="12">
        <f t="shared" si="9"/>
        <v>0.79414649997854059</v>
      </c>
      <c r="K22" s="12">
        <f t="shared" si="9"/>
        <v>0.79488747486433631</v>
      </c>
      <c r="L22" s="12">
        <f>+L8/L6</f>
        <v>0.79828284967178642</v>
      </c>
      <c r="M22" s="12">
        <f t="shared" ref="M22:P22" si="10">+M8/M6</f>
        <v>0.78558551129009724</v>
      </c>
      <c r="N22" s="12">
        <f t="shared" si="10"/>
        <v>0.79387045988593929</v>
      </c>
      <c r="O22" s="12">
        <f t="shared" si="10"/>
        <v>0.79258647247121738</v>
      </c>
      <c r="P22" s="12">
        <f t="shared" si="10"/>
        <v>0.80009029168138812</v>
      </c>
      <c r="Q22" s="12">
        <f t="shared" ref="Q22:R22" si="11">+Q8/Q6</f>
        <v>0.81130190526285029</v>
      </c>
      <c r="R22" s="12">
        <f t="shared" si="11"/>
        <v>0.82221796356815668</v>
      </c>
      <c r="S22" s="12">
        <f t="shared" ref="S22:T22" si="12">+S8/S6</f>
        <v>0.81988145661452783</v>
      </c>
      <c r="T22" s="12">
        <f t="shared" si="12"/>
        <v>0.80861146883751056</v>
      </c>
      <c r="U22" s="12"/>
      <c r="V22" s="12"/>
      <c r="W22" s="12"/>
    </row>
    <row r="24" spans="2:23" s="5" customFormat="1" x14ac:dyDescent="0.2">
      <c r="B24" s="5" t="s">
        <v>3</v>
      </c>
      <c r="C24" s="6"/>
      <c r="D24" s="6"/>
      <c r="E24" s="6"/>
      <c r="F24" s="6"/>
      <c r="G24" s="6"/>
      <c r="H24" s="6"/>
      <c r="I24" s="6"/>
      <c r="J24" s="6"/>
      <c r="K24" s="6">
        <f>271.686+1399.323+3.424</f>
        <v>1674.433</v>
      </c>
      <c r="L24" s="6">
        <f>238.859+1464.681+3.214</f>
        <v>1706.7539999999999</v>
      </c>
      <c r="M24" s="6"/>
      <c r="N24" s="6"/>
      <c r="O24" s="6"/>
      <c r="P24" s="6"/>
      <c r="Q24" s="6"/>
      <c r="R24" s="6"/>
      <c r="S24" s="6">
        <f>282.218+2499.151</f>
        <v>2781.3689999999997</v>
      </c>
      <c r="T24" s="6">
        <f>410.963+2549.143</f>
        <v>2960.1060000000002</v>
      </c>
      <c r="U24" s="6"/>
      <c r="V24" s="6"/>
      <c r="W24" s="6"/>
    </row>
    <row r="25" spans="2:23" s="5" customFormat="1" x14ac:dyDescent="0.2">
      <c r="B25" s="5" t="s">
        <v>33</v>
      </c>
      <c r="C25" s="6"/>
      <c r="D25" s="6"/>
      <c r="E25" s="6"/>
      <c r="F25" s="6"/>
      <c r="G25" s="6"/>
      <c r="H25" s="6"/>
      <c r="I25" s="6"/>
      <c r="J25" s="6"/>
      <c r="K25" s="6">
        <v>275.34199999999998</v>
      </c>
      <c r="L25" s="6">
        <v>305.50099999999998</v>
      </c>
      <c r="M25" s="6"/>
      <c r="N25" s="6"/>
      <c r="O25" s="6"/>
      <c r="P25" s="6"/>
      <c r="Q25" s="6"/>
      <c r="R25" s="6"/>
      <c r="S25" s="6">
        <v>451.05700000000002</v>
      </c>
      <c r="T25" s="6">
        <v>533.29200000000003</v>
      </c>
      <c r="U25" s="6"/>
      <c r="V25" s="6"/>
      <c r="W25" s="6"/>
    </row>
    <row r="26" spans="2:23" s="5" customFormat="1" x14ac:dyDescent="0.2">
      <c r="B26" s="5" t="s">
        <v>34</v>
      </c>
      <c r="C26" s="6"/>
      <c r="D26" s="6"/>
      <c r="E26" s="6"/>
      <c r="F26" s="6"/>
      <c r="G26" s="6"/>
      <c r="H26" s="6"/>
      <c r="I26" s="6"/>
      <c r="J26" s="6"/>
      <c r="K26" s="6">
        <f>24.688+42.753</f>
        <v>67.441000000000003</v>
      </c>
      <c r="L26" s="6">
        <f>27.345+46.84</f>
        <v>74.185000000000002</v>
      </c>
      <c r="M26" s="6"/>
      <c r="N26" s="6"/>
      <c r="O26" s="6"/>
      <c r="P26" s="6"/>
      <c r="Q26" s="6"/>
      <c r="R26" s="6"/>
      <c r="S26" s="6">
        <f>46.391+73.067</f>
        <v>119.458</v>
      </c>
      <c r="T26" s="6">
        <f>49.518+77.04</f>
        <v>126.55800000000001</v>
      </c>
      <c r="U26" s="6"/>
      <c r="V26" s="6"/>
      <c r="W26" s="6"/>
    </row>
    <row r="27" spans="2:23" s="5" customFormat="1" x14ac:dyDescent="0.2">
      <c r="B27" s="5" t="s">
        <v>35</v>
      </c>
      <c r="C27" s="6"/>
      <c r="D27" s="6"/>
      <c r="E27" s="6"/>
      <c r="F27" s="6"/>
      <c r="G27" s="6"/>
      <c r="H27" s="6"/>
      <c r="I27" s="6"/>
      <c r="J27" s="6"/>
      <c r="K27" s="6">
        <v>32.631999999999998</v>
      </c>
      <c r="L27" s="6">
        <v>33.201999999999998</v>
      </c>
      <c r="M27" s="6"/>
      <c r="N27" s="6"/>
      <c r="O27" s="6"/>
      <c r="P27" s="6"/>
      <c r="Q27" s="6"/>
      <c r="R27" s="6"/>
      <c r="S27" s="6">
        <v>54.845999999999997</v>
      </c>
      <c r="T27" s="6">
        <v>49.173999999999999</v>
      </c>
      <c r="U27" s="6"/>
      <c r="V27" s="6"/>
      <c r="W27" s="6"/>
    </row>
    <row r="28" spans="2:23" s="5" customFormat="1" x14ac:dyDescent="0.2">
      <c r="B28" s="5" t="s">
        <v>36</v>
      </c>
      <c r="C28" s="6"/>
      <c r="D28" s="6"/>
      <c r="E28" s="6"/>
      <c r="F28" s="6"/>
      <c r="G28" s="6"/>
      <c r="H28" s="6"/>
      <c r="I28" s="6"/>
      <c r="J28" s="6"/>
      <c r="K28" s="6">
        <v>90.712999999999994</v>
      </c>
      <c r="L28" s="6">
        <v>97.790999999999997</v>
      </c>
      <c r="M28" s="6"/>
      <c r="N28" s="6"/>
      <c r="O28" s="6"/>
      <c r="P28" s="6"/>
      <c r="Q28" s="6"/>
      <c r="R28" s="6"/>
      <c r="S28" s="6">
        <v>182.41900000000001</v>
      </c>
      <c r="T28" s="6">
        <v>198.911</v>
      </c>
      <c r="U28" s="6"/>
      <c r="V28" s="6"/>
      <c r="W28" s="6"/>
    </row>
    <row r="29" spans="2:23" s="5" customFormat="1" x14ac:dyDescent="0.2">
      <c r="B29" s="5" t="s">
        <v>37</v>
      </c>
      <c r="C29" s="6"/>
      <c r="D29" s="6"/>
      <c r="E29" s="6"/>
      <c r="F29" s="6"/>
      <c r="G29" s="6"/>
      <c r="H29" s="6"/>
      <c r="I29" s="6"/>
      <c r="J29" s="6"/>
      <c r="K29" s="6">
        <v>61.920999999999999</v>
      </c>
      <c r="L29" s="6">
        <v>64.016000000000005</v>
      </c>
      <c r="M29" s="6"/>
      <c r="N29" s="6"/>
      <c r="O29" s="6"/>
      <c r="P29" s="6"/>
      <c r="Q29" s="6"/>
      <c r="R29" s="6"/>
      <c r="S29" s="6">
        <v>173.27</v>
      </c>
      <c r="T29" s="6">
        <v>166.941</v>
      </c>
      <c r="U29" s="6"/>
      <c r="V29" s="6"/>
      <c r="W29" s="6"/>
    </row>
    <row r="30" spans="2:23" s="5" customFormat="1" x14ac:dyDescent="0.2">
      <c r="B30" s="5" t="s">
        <v>38</v>
      </c>
      <c r="C30" s="6"/>
      <c r="D30" s="6"/>
      <c r="E30" s="6"/>
      <c r="F30" s="6"/>
      <c r="G30" s="6"/>
      <c r="H30" s="6"/>
      <c r="I30" s="6"/>
      <c r="J30" s="6"/>
      <c r="K30" s="6">
        <f>292.032+14.088</f>
        <v>306.12</v>
      </c>
      <c r="L30" s="6">
        <f>334.687+17.96</f>
        <v>352.64699999999999</v>
      </c>
      <c r="M30" s="6"/>
      <c r="N30" s="6"/>
      <c r="O30" s="6"/>
      <c r="P30" s="6"/>
      <c r="Q30" s="6"/>
      <c r="R30" s="6"/>
      <c r="S30" s="6">
        <f>351.437+7.312</f>
        <v>358.74900000000002</v>
      </c>
      <c r="T30" s="6">
        <f>350.864+5.804</f>
        <v>356.66799999999995</v>
      </c>
      <c r="U30" s="6"/>
      <c r="V30" s="6"/>
      <c r="W30" s="6"/>
    </row>
    <row r="31" spans="2:23" s="5" customFormat="1" x14ac:dyDescent="0.2">
      <c r="B31" s="5" t="s">
        <v>39</v>
      </c>
      <c r="C31" s="6"/>
      <c r="D31" s="6"/>
      <c r="E31" s="6"/>
      <c r="F31" s="6"/>
      <c r="G31" s="6"/>
      <c r="H31" s="6"/>
      <c r="I31" s="6"/>
      <c r="J31" s="6"/>
      <c r="K31" s="6">
        <v>20.413</v>
      </c>
      <c r="L31" s="6">
        <v>20.390999999999998</v>
      </c>
      <c r="M31" s="6"/>
      <c r="N31" s="6"/>
      <c r="O31" s="6"/>
      <c r="P31" s="6"/>
      <c r="Q31" s="6"/>
      <c r="R31" s="6"/>
      <c r="S31" s="6">
        <v>20.297999999999998</v>
      </c>
      <c r="T31" s="6">
        <v>20.741</v>
      </c>
      <c r="U31" s="6"/>
      <c r="V31" s="6"/>
      <c r="W31" s="6"/>
    </row>
    <row r="32" spans="2:23" s="5" customFormat="1" x14ac:dyDescent="0.2">
      <c r="B32" s="5" t="s">
        <v>32</v>
      </c>
      <c r="C32" s="6"/>
      <c r="D32" s="6"/>
      <c r="E32" s="6"/>
      <c r="F32" s="6"/>
      <c r="G32" s="6"/>
      <c r="H32" s="6"/>
      <c r="I32" s="6"/>
      <c r="J32" s="6"/>
      <c r="K32" s="6">
        <f>SUM(K24:K31)</f>
        <v>2529.0149999999999</v>
      </c>
      <c r="L32" s="6">
        <f>SUM(L24:L31)</f>
        <v>2654.4870000000001</v>
      </c>
      <c r="M32" s="6"/>
      <c r="N32" s="6"/>
      <c r="O32" s="6"/>
      <c r="P32" s="6"/>
      <c r="Q32" s="6"/>
      <c r="R32" s="6"/>
      <c r="S32" s="6">
        <f>SUM(S24:S31)</f>
        <v>4141.4659999999994</v>
      </c>
      <c r="T32" s="6">
        <f>SUM(T24:T31)</f>
        <v>4412.3909999999996</v>
      </c>
      <c r="U32" s="6"/>
      <c r="V32" s="6"/>
      <c r="W32" s="6"/>
    </row>
    <row r="34" spans="2:23" s="5" customFormat="1" x14ac:dyDescent="0.2">
      <c r="B34" s="5" t="s">
        <v>40</v>
      </c>
      <c r="C34" s="6"/>
      <c r="D34" s="6"/>
      <c r="E34" s="6"/>
      <c r="F34" s="6"/>
      <c r="G34" s="6"/>
      <c r="H34" s="6"/>
      <c r="I34" s="6"/>
      <c r="J34" s="6"/>
      <c r="K34" s="6">
        <v>18.629000000000001</v>
      </c>
      <c r="L34" s="6">
        <v>47.65</v>
      </c>
      <c r="M34" s="6"/>
      <c r="N34" s="6"/>
      <c r="O34" s="6"/>
      <c r="P34" s="6"/>
      <c r="Q34" s="6"/>
      <c r="R34" s="6"/>
      <c r="S34" s="6">
        <v>64.316000000000003</v>
      </c>
      <c r="T34" s="6">
        <v>115.991</v>
      </c>
      <c r="U34" s="6"/>
      <c r="V34" s="6"/>
      <c r="W34" s="6"/>
    </row>
    <row r="35" spans="2:23" s="5" customFormat="1" x14ac:dyDescent="0.2">
      <c r="B35" s="5" t="s">
        <v>41</v>
      </c>
      <c r="C35" s="6"/>
      <c r="D35" s="6"/>
      <c r="E35" s="6"/>
      <c r="F35" s="6"/>
      <c r="G35" s="6"/>
      <c r="H35" s="6"/>
      <c r="I35" s="6"/>
      <c r="J35" s="6"/>
      <c r="K35" s="6">
        <v>108.211</v>
      </c>
      <c r="L35" s="6">
        <v>111.622</v>
      </c>
      <c r="M35" s="6"/>
      <c r="N35" s="6"/>
      <c r="O35" s="6"/>
      <c r="P35" s="6"/>
      <c r="Q35" s="6"/>
      <c r="R35" s="6"/>
      <c r="S35" s="6">
        <v>117.41200000000001</v>
      </c>
      <c r="T35" s="6">
        <v>104.791</v>
      </c>
      <c r="U35" s="6"/>
      <c r="V35" s="6"/>
      <c r="W35" s="6"/>
    </row>
    <row r="36" spans="2:23" s="5" customFormat="1" x14ac:dyDescent="0.2">
      <c r="B36" s="5" t="s">
        <v>37</v>
      </c>
      <c r="C36" s="6"/>
      <c r="D36" s="6"/>
      <c r="E36" s="6"/>
      <c r="F36" s="6"/>
      <c r="G36" s="6"/>
      <c r="H36" s="6"/>
      <c r="I36" s="6"/>
      <c r="J36" s="6"/>
      <c r="K36" s="6">
        <f>20.32+51.817</f>
        <v>72.137</v>
      </c>
      <c r="L36" s="6">
        <f>22.357+51.771</f>
        <v>74.128</v>
      </c>
      <c r="M36" s="6"/>
      <c r="N36" s="6"/>
      <c r="O36" s="6"/>
      <c r="P36" s="6"/>
      <c r="Q36" s="6"/>
      <c r="R36" s="6"/>
      <c r="S36" s="6">
        <f>23.591+190.891</f>
        <v>214.482</v>
      </c>
      <c r="T36" s="6">
        <f>24.565+193.835</f>
        <v>218.4</v>
      </c>
      <c r="U36" s="6"/>
      <c r="V36" s="6"/>
      <c r="W36" s="6"/>
    </row>
    <row r="37" spans="2:23" s="5" customFormat="1" x14ac:dyDescent="0.2">
      <c r="B37" s="5" t="s">
        <v>42</v>
      </c>
      <c r="C37" s="6"/>
      <c r="D37" s="6"/>
      <c r="E37" s="6"/>
      <c r="F37" s="6"/>
      <c r="G37" s="6"/>
      <c r="H37" s="6"/>
      <c r="I37" s="6"/>
      <c r="J37" s="6"/>
      <c r="K37" s="6">
        <f>454.812+12.798</f>
        <v>467.61</v>
      </c>
      <c r="L37" s="6">
        <f>444.247+14.526</f>
        <v>458.77300000000002</v>
      </c>
      <c r="M37" s="6"/>
      <c r="N37" s="6"/>
      <c r="O37" s="6"/>
      <c r="P37" s="6"/>
      <c r="Q37" s="6"/>
      <c r="R37" s="6"/>
      <c r="S37" s="6">
        <f>767.474+26.191</f>
        <v>793.66500000000008</v>
      </c>
      <c r="T37" s="6">
        <f>801.562+14.049</f>
        <v>815.61099999999999</v>
      </c>
      <c r="U37" s="6"/>
      <c r="V37" s="6"/>
      <c r="W37" s="6"/>
    </row>
    <row r="38" spans="2:23" s="5" customFormat="1" x14ac:dyDescent="0.2">
      <c r="B38" s="5" t="s">
        <v>4</v>
      </c>
      <c r="C38" s="6"/>
      <c r="D38" s="6"/>
      <c r="E38" s="6"/>
      <c r="F38" s="6"/>
      <c r="G38" s="6"/>
      <c r="H38" s="6"/>
      <c r="I38" s="6"/>
      <c r="J38" s="6"/>
      <c r="K38" s="6">
        <v>736.31799999999998</v>
      </c>
      <c r="L38" s="6">
        <v>737.16</v>
      </c>
      <c r="M38" s="6"/>
      <c r="N38" s="6"/>
      <c r="O38" s="6"/>
      <c r="P38" s="6"/>
      <c r="Q38" s="6"/>
      <c r="R38" s="6"/>
      <c r="S38" s="6">
        <v>743.08500000000004</v>
      </c>
      <c r="T38" s="6">
        <v>743.97</v>
      </c>
      <c r="U38" s="6"/>
      <c r="V38" s="6"/>
      <c r="W38" s="6"/>
    </row>
    <row r="39" spans="2:23" s="5" customFormat="1" x14ac:dyDescent="0.2">
      <c r="B39" s="5" t="s">
        <v>39</v>
      </c>
      <c r="C39" s="6"/>
      <c r="D39" s="6"/>
      <c r="E39" s="6"/>
      <c r="F39" s="6"/>
      <c r="G39" s="6"/>
      <c r="H39" s="6"/>
      <c r="I39" s="6"/>
      <c r="J39" s="6"/>
      <c r="K39" s="6">
        <v>9.2530000000000001</v>
      </c>
      <c r="L39" s="6">
        <v>10.034000000000001</v>
      </c>
      <c r="M39" s="6"/>
      <c r="N39" s="6"/>
      <c r="O39" s="6"/>
      <c r="P39" s="6"/>
      <c r="Q39" s="6"/>
      <c r="R39" s="6"/>
      <c r="S39" s="6">
        <v>6.1509999999999998</v>
      </c>
      <c r="T39" s="6">
        <v>6.32</v>
      </c>
      <c r="U39" s="6"/>
      <c r="V39" s="6"/>
      <c r="W39" s="6"/>
    </row>
    <row r="40" spans="2:23" s="5" customFormat="1" x14ac:dyDescent="0.2">
      <c r="B40" s="5" t="s">
        <v>43</v>
      </c>
      <c r="C40" s="6"/>
      <c r="D40" s="6"/>
      <c r="E40" s="6"/>
      <c r="F40" s="6"/>
      <c r="G40" s="6"/>
      <c r="H40" s="6"/>
      <c r="I40" s="6"/>
      <c r="J40" s="6"/>
      <c r="K40" s="6">
        <v>1116.857</v>
      </c>
      <c r="L40" s="6">
        <v>1215.1199999999999</v>
      </c>
      <c r="M40" s="6"/>
      <c r="N40" s="6"/>
      <c r="O40" s="6"/>
      <c r="P40" s="6"/>
      <c r="Q40" s="6"/>
      <c r="R40" s="6"/>
      <c r="S40" s="6">
        <v>2202.355</v>
      </c>
      <c r="T40" s="6">
        <v>2407.308</v>
      </c>
      <c r="U40" s="6"/>
      <c r="V40" s="6"/>
      <c r="W40" s="6"/>
    </row>
    <row r="41" spans="2:23" s="5" customFormat="1" x14ac:dyDescent="0.2">
      <c r="B41" s="5" t="s">
        <v>44</v>
      </c>
      <c r="C41" s="6"/>
      <c r="D41" s="6"/>
      <c r="E41" s="6"/>
      <c r="F41" s="6"/>
      <c r="G41" s="6"/>
      <c r="H41" s="6"/>
      <c r="I41" s="6"/>
      <c r="J41" s="6"/>
      <c r="K41" s="6">
        <f>SUM(K34:K40)</f>
        <v>2529.0149999999999</v>
      </c>
      <c r="L41" s="6">
        <f>SUM(L34:L40)</f>
        <v>2654.4870000000001</v>
      </c>
      <c r="M41" s="6"/>
      <c r="N41" s="6"/>
      <c r="O41" s="6"/>
      <c r="P41" s="6"/>
      <c r="Q41" s="6"/>
      <c r="R41" s="6"/>
      <c r="S41" s="6">
        <f>SUM(S34:S40)</f>
        <v>4141.4660000000003</v>
      </c>
      <c r="T41" s="6">
        <f>SUM(T34:T40)</f>
        <v>4412.3909999999996</v>
      </c>
      <c r="U41" s="6"/>
      <c r="V41" s="6"/>
      <c r="W41" s="6"/>
    </row>
    <row r="43" spans="2:23" s="5" customFormat="1" x14ac:dyDescent="0.2">
      <c r="B43" s="5" t="s">
        <v>48</v>
      </c>
      <c r="C43" s="6"/>
      <c r="D43" s="6"/>
      <c r="E43" s="6"/>
      <c r="F43" s="6"/>
      <c r="G43" s="6"/>
      <c r="H43" s="6"/>
      <c r="I43" s="6"/>
      <c r="J43" s="6"/>
      <c r="K43" s="6">
        <f>+K17</f>
        <v>9.7379999999999889</v>
      </c>
      <c r="L43" s="6"/>
      <c r="M43" s="6"/>
      <c r="N43" s="6"/>
      <c r="O43" s="6"/>
      <c r="P43" s="6"/>
      <c r="Q43" s="6"/>
      <c r="R43" s="6"/>
      <c r="S43" s="6">
        <f>+S17</f>
        <v>42.631000000000036</v>
      </c>
      <c r="T43" s="6">
        <f>+T17</f>
        <v>43.823999999999998</v>
      </c>
      <c r="U43" s="6"/>
      <c r="V43" s="6"/>
      <c r="W43" s="6"/>
    </row>
    <row r="44" spans="2:23" s="5" customFormat="1" x14ac:dyDescent="0.2">
      <c r="B44" s="5" t="s">
        <v>49</v>
      </c>
      <c r="C44" s="6"/>
      <c r="D44" s="6"/>
      <c r="E44" s="6"/>
      <c r="F44" s="6"/>
      <c r="G44" s="6"/>
      <c r="H44" s="6"/>
      <c r="I44" s="6"/>
      <c r="J44" s="6"/>
      <c r="K44" s="6">
        <v>9.7379999999999995</v>
      </c>
      <c r="L44" s="6"/>
      <c r="M44" s="6"/>
      <c r="N44" s="6"/>
      <c r="O44" s="6"/>
      <c r="P44" s="6"/>
      <c r="Q44" s="6"/>
      <c r="R44" s="6"/>
      <c r="S44" s="6">
        <v>42.631</v>
      </c>
      <c r="T44" s="6"/>
      <c r="U44" s="6"/>
      <c r="V44" s="6"/>
      <c r="W44" s="6"/>
    </row>
    <row r="45" spans="2:23" s="5" customFormat="1" x14ac:dyDescent="0.2">
      <c r="B45" s="5" t="s">
        <v>50</v>
      </c>
      <c r="C45" s="6"/>
      <c r="D45" s="6"/>
      <c r="E45" s="6"/>
      <c r="F45" s="6"/>
      <c r="G45" s="6"/>
      <c r="H45" s="6"/>
      <c r="I45" s="6"/>
      <c r="J45" s="6"/>
      <c r="K45" s="6">
        <v>7.3940000000000001</v>
      </c>
      <c r="L45" s="6"/>
      <c r="M45" s="6"/>
      <c r="N45" s="6"/>
      <c r="O45" s="6"/>
      <c r="P45" s="6"/>
      <c r="Q45" s="6"/>
      <c r="R45" s="6"/>
      <c r="S45" s="6">
        <v>12.895</v>
      </c>
      <c r="T45" s="6"/>
      <c r="U45" s="6"/>
      <c r="V45" s="6"/>
      <c r="W45" s="6"/>
    </row>
    <row r="46" spans="2:23" s="5" customFormat="1" x14ac:dyDescent="0.2">
      <c r="B46" s="5" t="s">
        <v>51</v>
      </c>
      <c r="C46" s="6"/>
      <c r="D46" s="6"/>
      <c r="E46" s="6"/>
      <c r="F46" s="6"/>
      <c r="G46" s="6"/>
      <c r="H46" s="6"/>
      <c r="I46" s="6"/>
      <c r="J46" s="6"/>
      <c r="K46" s="6">
        <v>3.9590000000000001</v>
      </c>
      <c r="L46" s="6"/>
      <c r="M46" s="6"/>
      <c r="N46" s="6"/>
      <c r="O46" s="6"/>
      <c r="P46" s="6"/>
      <c r="Q46" s="6"/>
      <c r="R46" s="6"/>
      <c r="S46" s="6">
        <v>-14.125999999999999</v>
      </c>
      <c r="T46" s="6"/>
      <c r="U46" s="6"/>
      <c r="V46" s="6"/>
      <c r="W46" s="6"/>
    </row>
    <row r="47" spans="2:23" s="5" customFormat="1" x14ac:dyDescent="0.2">
      <c r="B47" s="5" t="s">
        <v>52</v>
      </c>
      <c r="C47" s="6"/>
      <c r="D47" s="6"/>
      <c r="E47" s="6"/>
      <c r="F47" s="6"/>
      <c r="G47" s="6"/>
      <c r="H47" s="6"/>
      <c r="I47" s="6"/>
      <c r="J47" s="6"/>
      <c r="K47" s="6">
        <v>0.84</v>
      </c>
      <c r="L47" s="6"/>
      <c r="M47" s="6"/>
      <c r="N47" s="6"/>
      <c r="O47" s="6"/>
      <c r="P47" s="6"/>
      <c r="Q47" s="6"/>
      <c r="R47" s="6"/>
      <c r="S47" s="6">
        <v>0.85</v>
      </c>
      <c r="T47" s="6"/>
      <c r="U47" s="6"/>
      <c r="V47" s="6"/>
      <c r="W47" s="6"/>
    </row>
    <row r="48" spans="2:23" s="5" customFormat="1" x14ac:dyDescent="0.2">
      <c r="B48" s="5" t="s">
        <v>53</v>
      </c>
      <c r="C48" s="6"/>
      <c r="D48" s="6"/>
      <c r="E48" s="6"/>
      <c r="F48" s="6"/>
      <c r="G48" s="6"/>
      <c r="H48" s="6"/>
      <c r="I48" s="6"/>
      <c r="J48" s="6"/>
      <c r="K48" s="6">
        <v>6.0220000000000002</v>
      </c>
      <c r="L48" s="6"/>
      <c r="M48" s="6"/>
      <c r="N48" s="6"/>
      <c r="O48" s="6"/>
      <c r="P48" s="6"/>
      <c r="Q48" s="6"/>
      <c r="R48" s="6"/>
      <c r="S48" s="6">
        <v>11.843999999999999</v>
      </c>
      <c r="T48" s="6"/>
      <c r="U48" s="6"/>
      <c r="V48" s="6"/>
      <c r="W48" s="6"/>
    </row>
    <row r="49" spans="2:23" s="5" customFormat="1" x14ac:dyDescent="0.2">
      <c r="B49" s="5" t="s">
        <v>54</v>
      </c>
      <c r="C49" s="6"/>
      <c r="D49" s="6"/>
      <c r="E49" s="6"/>
      <c r="F49" s="6"/>
      <c r="G49" s="6"/>
      <c r="H49" s="6"/>
      <c r="I49" s="6"/>
      <c r="J49" s="6"/>
      <c r="K49" s="6">
        <v>66.884</v>
      </c>
      <c r="L49" s="6"/>
      <c r="M49" s="6"/>
      <c r="N49" s="6"/>
      <c r="O49" s="6"/>
      <c r="P49" s="6"/>
      <c r="Q49" s="6"/>
      <c r="R49" s="6"/>
      <c r="S49" s="6">
        <v>135.03299999999999</v>
      </c>
      <c r="T49" s="6"/>
      <c r="U49" s="6"/>
      <c r="V49" s="6"/>
      <c r="W49" s="6"/>
    </row>
    <row r="50" spans="2:23" s="5" customFormat="1" x14ac:dyDescent="0.2">
      <c r="B50" s="5" t="s">
        <v>37</v>
      </c>
      <c r="C50" s="6"/>
      <c r="D50" s="6"/>
      <c r="E50" s="6"/>
      <c r="F50" s="6"/>
      <c r="G50" s="6"/>
      <c r="H50" s="6"/>
      <c r="I50" s="6"/>
      <c r="J50" s="6"/>
      <c r="K50" s="6">
        <v>4.4109999999999996</v>
      </c>
      <c r="L50" s="6"/>
      <c r="M50" s="6"/>
      <c r="N50" s="6"/>
      <c r="O50" s="6"/>
      <c r="P50" s="6"/>
      <c r="Q50" s="6"/>
      <c r="R50" s="6"/>
      <c r="S50" s="6">
        <v>6.81</v>
      </c>
      <c r="T50" s="6"/>
      <c r="U50" s="6"/>
      <c r="V50" s="6"/>
      <c r="W50" s="6"/>
    </row>
    <row r="51" spans="2:23" s="5" customFormat="1" x14ac:dyDescent="0.2">
      <c r="B51" s="5" t="s">
        <v>33</v>
      </c>
      <c r="C51" s="6"/>
      <c r="D51" s="6"/>
      <c r="E51" s="6"/>
      <c r="F51" s="6"/>
      <c r="G51" s="6"/>
      <c r="H51" s="6"/>
      <c r="I51" s="6"/>
      <c r="J51" s="6"/>
      <c r="K51" s="6">
        <v>0.79800000000000004</v>
      </c>
      <c r="L51" s="6"/>
      <c r="M51" s="6"/>
      <c r="N51" s="6"/>
      <c r="O51" s="6"/>
      <c r="P51" s="6"/>
      <c r="Q51" s="6"/>
      <c r="R51" s="6"/>
      <c r="S51" s="6">
        <v>2.7320000000000002</v>
      </c>
      <c r="T51" s="6"/>
      <c r="U51" s="6"/>
      <c r="V51" s="6"/>
      <c r="W51" s="6"/>
    </row>
    <row r="52" spans="2:23" s="5" customFormat="1" x14ac:dyDescent="0.2">
      <c r="B52" s="5" t="s">
        <v>55</v>
      </c>
      <c r="C52" s="6"/>
      <c r="D52" s="6"/>
      <c r="E52" s="6"/>
      <c r="F52" s="6"/>
      <c r="G52" s="6"/>
      <c r="H52" s="6"/>
      <c r="I52" s="6"/>
      <c r="J52" s="6"/>
      <c r="K52" s="6">
        <v>0.82299999999999995</v>
      </c>
      <c r="L52" s="6"/>
      <c r="M52" s="6"/>
      <c r="N52" s="6"/>
      <c r="O52" s="6"/>
      <c r="P52" s="6"/>
      <c r="Q52" s="6"/>
      <c r="R52" s="6"/>
      <c r="S52" s="6">
        <v>4.2999999999999997E-2</v>
      </c>
      <c r="T52" s="6"/>
      <c r="U52" s="6"/>
      <c r="V52" s="6"/>
      <c r="W52" s="6"/>
    </row>
    <row r="53" spans="2:23" s="5" customFormat="1" x14ac:dyDescent="0.2">
      <c r="B53" s="5" t="s">
        <v>56</v>
      </c>
      <c r="C53" s="6"/>
      <c r="D53" s="6"/>
      <c r="E53" s="6"/>
      <c r="F53" s="6"/>
      <c r="G53" s="6"/>
      <c r="H53" s="6"/>
      <c r="I53" s="6"/>
      <c r="J53" s="6"/>
      <c r="K53" s="6">
        <f>-7.319-8.166-8.391-0.805-7.624-2.911+81.735</f>
        <v>46.518999999999998</v>
      </c>
      <c r="L53" s="6"/>
      <c r="M53" s="6"/>
      <c r="N53" s="6"/>
      <c r="O53" s="6"/>
      <c r="P53" s="6"/>
      <c r="Q53" s="6"/>
      <c r="R53" s="6"/>
      <c r="S53" s="6">
        <f>55.49-12.636-14.075+2.614-17.122-7.433+6.72</f>
        <v>13.558</v>
      </c>
      <c r="T53" s="6"/>
      <c r="U53" s="6"/>
      <c r="V53" s="6"/>
      <c r="W53" s="6"/>
    </row>
    <row r="54" spans="2:23" s="5" customFormat="1" x14ac:dyDescent="0.2">
      <c r="B54" s="5" t="s">
        <v>57</v>
      </c>
      <c r="C54" s="6"/>
      <c r="D54" s="6"/>
      <c r="E54" s="6"/>
      <c r="F54" s="6"/>
      <c r="G54" s="6"/>
      <c r="H54" s="6"/>
      <c r="I54" s="6"/>
      <c r="J54" s="6"/>
      <c r="K54" s="6">
        <f>SUM(K44:K53)</f>
        <v>147.38799999999998</v>
      </c>
      <c r="L54" s="6"/>
      <c r="M54" s="6"/>
      <c r="N54" s="6"/>
      <c r="O54" s="6"/>
      <c r="P54" s="6"/>
      <c r="Q54" s="6"/>
      <c r="R54" s="6"/>
      <c r="S54" s="6">
        <f>SUM(S44:S53)</f>
        <v>212.26999999999998</v>
      </c>
      <c r="T54" s="6"/>
      <c r="U54" s="6"/>
      <c r="V54" s="6"/>
      <c r="W54" s="6"/>
    </row>
  </sheetData>
  <hyperlinks>
    <hyperlink ref="A1" location="Main!A1" display="Main" xr:uid="{0C2CB192-972E-49C2-986E-DB4F425D454A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2022-09-02T02:52:19Z</dcterms:created>
  <dcterms:modified xsi:type="dcterms:W3CDTF">2024-08-10T05:39:56Z</dcterms:modified>
</cp:coreProperties>
</file>