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D70C225-6134-4ACB-AAF4-20E750817C55}" xr6:coauthVersionLast="47" xr6:coauthVersionMax="47" xr10:uidLastSave="{00000000-0000-0000-0000-000000000000}"/>
  <bookViews>
    <workbookView xWindow="-26880" yWindow="2040" windowWidth="23265" windowHeight="17910" activeTab="1" xr2:uid="{45C6FE0B-6151-49F1-9E4F-580AA412CB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2" l="1"/>
  <c r="P16" i="2"/>
  <c r="P10" i="2"/>
  <c r="P12" i="2" s="1"/>
  <c r="M18" i="2"/>
  <c r="M12" i="2"/>
  <c r="M26" i="2" s="1"/>
  <c r="M10" i="2"/>
  <c r="Q18" i="2"/>
  <c r="Q16" i="2"/>
  <c r="Q10" i="2"/>
  <c r="Q25" i="2" s="1"/>
  <c r="N18" i="2"/>
  <c r="N12" i="2"/>
  <c r="N10" i="2"/>
  <c r="R11" i="2"/>
  <c r="R16" i="2"/>
  <c r="R10" i="2"/>
  <c r="R25" i="2" s="1"/>
  <c r="O18" i="2"/>
  <c r="O12" i="2"/>
  <c r="O10" i="2"/>
  <c r="O25" i="2" s="1"/>
  <c r="S18" i="2"/>
  <c r="S12" i="2"/>
  <c r="S10" i="2"/>
  <c r="S16" i="2"/>
  <c r="S26" i="2"/>
  <c r="O16" i="2"/>
  <c r="K5" i="1"/>
  <c r="K3" i="1"/>
  <c r="K4" i="1" s="1"/>
  <c r="E18" i="2"/>
  <c r="E16" i="2"/>
  <c r="E10" i="2"/>
  <c r="E12" i="2" s="1"/>
  <c r="I18" i="2"/>
  <c r="I16" i="2"/>
  <c r="I10" i="2"/>
  <c r="I12" i="2" s="1"/>
  <c r="I26" i="2" s="1"/>
  <c r="H18" i="2"/>
  <c r="F18" i="2"/>
  <c r="F16" i="2"/>
  <c r="F10" i="2"/>
  <c r="F12" i="2" s="1"/>
  <c r="F26" i="2" s="1"/>
  <c r="J18" i="2"/>
  <c r="J16" i="2"/>
  <c r="J10" i="2"/>
  <c r="J12" i="2" s="1"/>
  <c r="J26" i="2" s="1"/>
  <c r="K42" i="2"/>
  <c r="K41" i="2"/>
  <c r="K34" i="2"/>
  <c r="K30" i="2"/>
  <c r="K28" i="2"/>
  <c r="G18" i="2"/>
  <c r="G16" i="2"/>
  <c r="G10" i="2"/>
  <c r="G12" i="2" s="1"/>
  <c r="G26" i="2" s="1"/>
  <c r="K18" i="2"/>
  <c r="K16" i="2"/>
  <c r="K10" i="2"/>
  <c r="K12" i="2" s="1"/>
  <c r="K26" i="2" s="1"/>
  <c r="L42" i="2"/>
  <c r="L41" i="2"/>
  <c r="L28" i="2"/>
  <c r="L34" i="2"/>
  <c r="L30" i="2"/>
  <c r="L31" i="2"/>
  <c r="H16" i="2"/>
  <c r="L18" i="2"/>
  <c r="L16" i="2"/>
  <c r="H10" i="2"/>
  <c r="H12" i="2" s="1"/>
  <c r="H26" i="2" s="1"/>
  <c r="L10" i="2"/>
  <c r="L12" i="2" s="1"/>
  <c r="L26" i="2" s="1"/>
  <c r="P26" i="2" l="1"/>
  <c r="P17" i="2"/>
  <c r="P19" i="2" s="1"/>
  <c r="P21" i="2" s="1"/>
  <c r="P22" i="2" s="1"/>
  <c r="P25" i="2"/>
  <c r="Q12" i="2"/>
  <c r="Q17" i="2" s="1"/>
  <c r="Q19" i="2" s="1"/>
  <c r="Q21" i="2" s="1"/>
  <c r="Q22" i="2" s="1"/>
  <c r="R12" i="2"/>
  <c r="O26" i="2"/>
  <c r="S25" i="2"/>
  <c r="S17" i="2"/>
  <c r="S19" i="2" s="1"/>
  <c r="S21" i="2" s="1"/>
  <c r="S22" i="2" s="1"/>
  <c r="O17" i="2"/>
  <c r="O19" i="2" s="1"/>
  <c r="O21" i="2" s="1"/>
  <c r="O22" i="2" s="1"/>
  <c r="K7" i="1"/>
  <c r="E17" i="2"/>
  <c r="E19" i="2" s="1"/>
  <c r="E21" i="2" s="1"/>
  <c r="E22" i="2" s="1"/>
  <c r="K46" i="2"/>
  <c r="N16" i="2"/>
  <c r="N17" i="2" s="1"/>
  <c r="N19" i="2" s="1"/>
  <c r="N21" i="2" s="1"/>
  <c r="N22" i="2" s="1"/>
  <c r="N25" i="2"/>
  <c r="AB10" i="2"/>
  <c r="AC10" i="2"/>
  <c r="E26" i="2"/>
  <c r="K36" i="2"/>
  <c r="M25" i="2"/>
  <c r="N26" i="2"/>
  <c r="M16" i="2"/>
  <c r="M17" i="2" s="1"/>
  <c r="M19" i="2" s="1"/>
  <c r="M21" i="2" s="1"/>
  <c r="M22" i="2" s="1"/>
  <c r="I17" i="2"/>
  <c r="I25" i="2"/>
  <c r="I19" i="2"/>
  <c r="I21" i="2" s="1"/>
  <c r="I22" i="2" s="1"/>
  <c r="F17" i="2"/>
  <c r="F19" i="2" s="1"/>
  <c r="F21" i="2" s="1"/>
  <c r="F22" i="2" s="1"/>
  <c r="J25" i="2"/>
  <c r="J17" i="2"/>
  <c r="J19" i="2" s="1"/>
  <c r="J21" i="2" s="1"/>
  <c r="J22" i="2" s="1"/>
  <c r="L25" i="2"/>
  <c r="K25" i="2"/>
  <c r="L46" i="2"/>
  <c r="G17" i="2"/>
  <c r="G19" i="2" s="1"/>
  <c r="G21" i="2" s="1"/>
  <c r="G22" i="2" s="1"/>
  <c r="K17" i="2"/>
  <c r="K19" i="2" s="1"/>
  <c r="K21" i="2" s="1"/>
  <c r="K22" i="2" s="1"/>
  <c r="L17" i="2"/>
  <c r="L19" i="2" s="1"/>
  <c r="L21" i="2" s="1"/>
  <c r="L22" i="2" s="1"/>
  <c r="L36" i="2"/>
  <c r="H17" i="2"/>
  <c r="H19" i="2" s="1"/>
  <c r="H21" i="2" s="1"/>
  <c r="H22" i="2" s="1"/>
  <c r="Q26" i="2" l="1"/>
  <c r="R26" i="2"/>
  <c r="R17" i="2"/>
  <c r="R19" i="2" s="1"/>
  <c r="R21" i="2" s="1"/>
  <c r="R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tc={982F6261-82C2-4888-A5B2-7F180FB48D20}</author>
    <author>tc={5079672D-4A0C-42B7-9146-861D71216A70}</author>
    <author>tc={5ADB5477-4EAC-4DFC-8399-235D928B0293}</author>
    <author>tc={F2B31FD4-143B-4D03-A3F1-C40117F4B1AB}</author>
    <author>tc={4212C041-70CB-45C7-B4C1-50DB0EFB9C60}</author>
    <author>tc={0C17F5D6-955C-468A-A428-9B873444F7A6}</author>
  </authors>
  <commentList>
    <comment ref="M5" authorId="0" shapeId="0" xr:uid="{982F6261-82C2-4888-A5B2-7F180FB48D20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1.54-1.55B</t>
      </text>
    </comment>
    <comment ref="J10" authorId="1" shapeId="0" xr:uid="{5079672D-4A0C-42B7-9146-861D71216A70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358-360m</t>
      </text>
    </comment>
    <comment ref="K10" authorId="2" shapeId="0" xr:uid="{5ADB5477-4EAC-4DFC-8399-235D928B0293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388-390m</t>
      </text>
    </comment>
    <comment ref="L10" authorId="3" shapeId="0" xr:uid="{F2B31FD4-143B-4D03-A3F1-C40117F4B1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428-430m</t>
      </text>
    </comment>
    <comment ref="M10" authorId="4" shapeId="0" xr:uid="{4212C041-70CB-45C7-B4C1-50DB0EFB9C60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463-465m</t>
      </text>
    </comment>
    <comment ref="AC10" authorId="5" shapeId="0" xr:uid="{0C17F5D6-955C-468A-A428-9B873444F7A6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1780m-1790m
Q1 guidance: 1805m-1815m
Q2 guidance: 1812m-1820m</t>
      </text>
    </comment>
  </commentList>
</comments>
</file>

<file path=xl/sharedStrings.xml><?xml version="1.0" encoding="utf-8"?>
<sst xmlns="http://schemas.openxmlformats.org/spreadsheetml/2006/main" count="74" uniqueCount="68">
  <si>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</si>
  <si>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</si>
  <si>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</si>
  <si>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</si>
  <si>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</si>
  <si>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</si>
  <si>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</si>
  <si>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</si>
  <si>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</si>
  <si>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</si>
  <si>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</si>
  <si>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</si>
  <si>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</si>
  <si>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</si>
  <si>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</si>
  <si>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</si>
  <si>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</si>
  <si>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</si>
  <si>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</si>
  <si>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</si>
  <si>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</si>
  <si>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Services</t>
  </si>
  <si>
    <t>OpInc</t>
  </si>
  <si>
    <t>OpEx</t>
  </si>
  <si>
    <t>COGS</t>
  </si>
  <si>
    <t>Gross Profit</t>
  </si>
  <si>
    <t>R&amp;D</t>
  </si>
  <si>
    <t>S&amp;M</t>
  </si>
  <si>
    <t>G&amp;A</t>
  </si>
  <si>
    <t>Interest</t>
  </si>
  <si>
    <t>Pretax</t>
  </si>
  <si>
    <t>Taxes</t>
  </si>
  <si>
    <t>Net Income</t>
  </si>
  <si>
    <t>EPS</t>
  </si>
  <si>
    <t>Assets</t>
  </si>
  <si>
    <t>AR</t>
  </si>
  <si>
    <t>Commissions</t>
  </si>
  <si>
    <t>Prepaids</t>
  </si>
  <si>
    <t>PP&amp;E</t>
  </si>
  <si>
    <t>Leases</t>
  </si>
  <si>
    <t>Goodwill</t>
  </si>
  <si>
    <t>Other</t>
  </si>
  <si>
    <t>DR</t>
  </si>
  <si>
    <t>AP</t>
  </si>
  <si>
    <t>AE</t>
  </si>
  <si>
    <t>Compensation</t>
  </si>
  <si>
    <t>Lease</t>
  </si>
  <si>
    <t>L+SE</t>
  </si>
  <si>
    <t>SE</t>
  </si>
  <si>
    <t>RPO</t>
  </si>
  <si>
    <t>FY2021</t>
  </si>
  <si>
    <t>FY2022</t>
  </si>
  <si>
    <t>FY2023</t>
  </si>
  <si>
    <t>Current RPO</t>
  </si>
  <si>
    <t>Revenue y/y</t>
  </si>
  <si>
    <t>Billings</t>
  </si>
  <si>
    <t>Auth</t>
  </si>
  <si>
    <t>8/22/22: BOD addition</t>
  </si>
  <si>
    <t>Gross Margin</t>
  </si>
  <si>
    <t>FQ124</t>
  </si>
  <si>
    <t>FQ224</t>
  </si>
  <si>
    <t>FQ324</t>
  </si>
  <si>
    <t>FQ424</t>
  </si>
  <si>
    <t>Q124</t>
  </si>
  <si>
    <t>FQ125</t>
  </si>
  <si>
    <t>FQ225</t>
  </si>
  <si>
    <t>FQ325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</si>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</sst>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D06A59-0012-4010-947C-CA61BEBDA8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27214</xdr:colOff>
      <xdr:row>0</xdr:row>
      <xdr:rowOff>0</xdr:rowOff>
    </xdr:from>
    <xdr:to>
      <xdr:col>19</xdr:col>
      <xdr:colOff>27214</xdr:colOff>
      <xdr:row>49</xdr:row>
      <xdr:rowOff>146958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E47AE5-C85F-8C40-48CE-D3145DE3A988}"/>
            </a:ext>
          </a:extLst>
        </xdr:cNvPr>
        <xdr:cNvCxnSpPr/>
      </xdr:nvCxnSpPr>
      <xdr:spPr>
        <a:xfrm>
          <a:off x="11560628" y="0"/>
          <a:ext cx="0" cy="81479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65314</xdr:colOff>
      <xdr:row>0</xdr:row>
      <xdr:rowOff>32657</xdr:rowOff>
    </xdr:from>
    <xdr:to>
      <xdr:col>28</xdr:col>
      <xdr:colOff>65314</xdr:colOff>
      <xdr:row>50</xdr:row>
      <xdr:rowOff>16329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22724D-5FF8-4675-8896-AA5A3F175369}"/>
            </a:ext>
          </a:extLst>
        </xdr:cNvPr>
        <xdr:cNvCxnSpPr/>
      </xdr:nvCxnSpPr>
      <xdr:spPr>
        <a:xfrm>
          <a:off x="10989128" y="32657"/>
          <a:ext cx="0" cy="81479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737C958-64A4-48FB-A9FC-F28332CDF3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2-09-01T17:50:11.25" personId="{6737C958-64A4-48FB-A9FC-F28332CDF3FF}" id="{982F6261-82C2-4888-A5B2-7F180FB48D20}">
    <text>Q2 guidance: 1.54-1.55B</text>
  </threadedComment>
  <threadedComment ref="J10" dT="2022-09-02T02:02:53.13" personId="{6737C958-64A4-48FB-A9FC-F28332CDF3FF}" id="{5079672D-4A0C-42B7-9146-861D71216A70}">
    <text>Q3: 358-360m</text>
  </threadedComment>
  <threadedComment ref="K10" dT="2022-09-02T01:35:28.15" personId="{6737C958-64A4-48FB-A9FC-F28332CDF3FF}" id="{5ADB5477-4EAC-4DFC-8399-235D928B0293}">
    <text>Q4 guidance: 388-390m</text>
  </threadedComment>
  <threadedComment ref="L10" dT="2022-09-02T01:32:07.61" personId="{6737C958-64A4-48FB-A9FC-F28332CDF3FF}" id="{F2B31FD4-143B-4D03-A3F1-C40117F4B1AB}">
    <text>Q1 guidance: 428-430m</text>
  </threadedComment>
  <threadedComment ref="M10" dT="2022-09-01T17:49:56.79" personId="{6737C958-64A4-48FB-A9FC-F28332CDF3FF}" id="{4212C041-70CB-45C7-B4C1-50DB0EFB9C60}">
    <text>Q2 guidance: 463-465m</text>
  </threadedComment>
  <threadedComment ref="AC10" dT="2022-09-01T17:50:45.64" personId="{6737C958-64A4-48FB-A9FC-F28332CDF3FF}" id="{0C17F5D6-955C-468A-A428-9B873444F7A6}">
    <text>Q4 guidance: 1780m-1790m
Q1 guidance: 1805m-1815m
Q2 guidance: 1812m-1820m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94A9-2DE8-4AD4-B4E5-5ABB22FA282E}">
  <dimension ref="B2:L7"/>
  <sheetViews>
    <sheetView zoomScale="130" zoomScaleNormal="130" workbookViewId="0">
      <selection activeCell="C4" sqref="C4"/>
    </sheetView>
  </sheetViews>
  <sheetFormatPr defaultRowHeight="12.75" x14ac:dyDescent="0.2"/>
  <sheetData>
    <row r="2" spans="2:12" x14ac:dyDescent="0.2">
      <c r="B2" t="s">
        <v>56</v>
      </c>
      <c r="J2" t="s">
        <v>0</v>
      </c>
      <c r="K2" s="1">
        <v>98</v>
      </c>
    </row>
    <row r="3" spans="2:12" x14ac:dyDescent="0.2">
      <c r="J3" t="s">
        <v>1</v>
      </c>
      <c r="K3" s="3">
        <f>160.950261+7.276091</f>
        <v>168.22635200000002</v>
      </c>
      <c r="L3" s="2" t="s">
        <v>63</v>
      </c>
    </row>
    <row r="4" spans="2:12" x14ac:dyDescent="0.2">
      <c r="J4" t="s">
        <v>2</v>
      </c>
      <c r="K4" s="3">
        <f>+K2*K3</f>
        <v>16486.182496000001</v>
      </c>
    </row>
    <row r="5" spans="2:12" x14ac:dyDescent="0.2">
      <c r="J5" t="s">
        <v>3</v>
      </c>
      <c r="K5" s="3">
        <f>322+1998</f>
        <v>2320</v>
      </c>
      <c r="L5" s="2" t="s">
        <v>63</v>
      </c>
    </row>
    <row r="6" spans="2:12" x14ac:dyDescent="0.2">
      <c r="J6" t="s">
        <v>4</v>
      </c>
      <c r="K6" s="3">
        <v>1155</v>
      </c>
      <c r="L6" s="2" t="s">
        <v>63</v>
      </c>
    </row>
    <row r="7" spans="2:12" x14ac:dyDescent="0.2">
      <c r="B7" t="s">
        <v>57</v>
      </c>
      <c r="J7" t="s">
        <v>5</v>
      </c>
      <c r="K7" s="3">
        <f>+K4-K5+K6</f>
        <v>15321.182496000001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27387-6724-4091-A478-2799CE710CF0}">
  <dimension ref="A1:AC46"/>
  <sheetViews>
    <sheetView tabSelected="1" zoomScale="175" zoomScaleNormal="175" workbookViewId="0">
      <pane xSplit="2" ySplit="3" topLeftCell="J4" activePane="bottomRight" state="frozen"/>
      <selection pane="topRight" activeCell="C1" sqref="C1"/>
      <selection pane="bottomLeft" activeCell="A3" sqref="A3"/>
      <selection pane="bottomRight" activeCell="S25" sqref="S25"/>
    </sheetView>
  </sheetViews>
  <sheetFormatPr defaultRowHeight="12.75" x14ac:dyDescent="0.2"/>
  <cols>
    <col min="1" max="1" width="5" bestFit="1" customWidth="1"/>
    <col min="2" max="2" width="12.5703125" customWidth="1"/>
    <col min="3" max="12" width="9.140625" style="2"/>
    <col min="13" max="13" width="10.42578125" style="2" bestFit="1" customWidth="1"/>
    <col min="14" max="16" width="9.140625" style="2"/>
    <col min="17" max="17" width="10.42578125" style="2" bestFit="1" customWidth="1"/>
    <col min="18" max="24" width="9.140625" style="2"/>
  </cols>
  <sheetData>
    <row r="1" spans="1:29" x14ac:dyDescent="0.2">
      <c r="A1" s="9" t="s">
        <v>6</v>
      </c>
    </row>
    <row r="2" spans="1:29" x14ac:dyDescent="0.2">
      <c r="L2" s="10">
        <v>44773</v>
      </c>
      <c r="M2" s="10">
        <v>44865</v>
      </c>
      <c r="N2" s="10">
        <v>44957</v>
      </c>
      <c r="O2" s="10">
        <v>45046</v>
      </c>
      <c r="P2" s="10">
        <v>45138</v>
      </c>
      <c r="Q2" s="10">
        <v>45230</v>
      </c>
      <c r="R2" s="10">
        <v>45322</v>
      </c>
      <c r="S2" s="10">
        <v>45412</v>
      </c>
    </row>
    <row r="3" spans="1:29" x14ac:dyDescent="0.2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59</v>
      </c>
      <c r="P3" s="2" t="s">
        <v>60</v>
      </c>
      <c r="Q3" s="2" t="s">
        <v>61</v>
      </c>
      <c r="R3" s="2" t="s">
        <v>62</v>
      </c>
      <c r="S3" s="2" t="s">
        <v>64</v>
      </c>
      <c r="T3" s="2" t="s">
        <v>65</v>
      </c>
      <c r="U3" s="2" t="s">
        <v>66</v>
      </c>
      <c r="V3" s="2" t="s">
        <v>67</v>
      </c>
      <c r="AA3" s="2" t="s">
        <v>50</v>
      </c>
      <c r="AB3" s="2" t="s">
        <v>51</v>
      </c>
      <c r="AC3" s="2" t="s">
        <v>52</v>
      </c>
    </row>
    <row r="4" spans="1:29" s="3" customFormat="1" x14ac:dyDescent="0.2">
      <c r="B4" s="3" t="s">
        <v>49</v>
      </c>
      <c r="C4" s="4"/>
      <c r="D4" s="4"/>
      <c r="E4" s="4"/>
      <c r="F4" s="4"/>
      <c r="G4" s="4"/>
      <c r="H4" s="4"/>
      <c r="I4" s="4"/>
      <c r="J4" s="4">
        <v>2690</v>
      </c>
      <c r="K4" s="4">
        <v>2710</v>
      </c>
      <c r="L4" s="4">
        <v>2790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9" s="3" customFormat="1" x14ac:dyDescent="0.2">
      <c r="B5" s="3" t="s">
        <v>53</v>
      </c>
      <c r="C5" s="4"/>
      <c r="D5" s="4"/>
      <c r="E5" s="4"/>
      <c r="F5" s="4"/>
      <c r="G5" s="4"/>
      <c r="H5" s="4"/>
      <c r="I5" s="4"/>
      <c r="J5" s="4">
        <v>1350</v>
      </c>
      <c r="K5" s="4">
        <v>1410</v>
      </c>
      <c r="L5" s="4">
        <v>1500</v>
      </c>
      <c r="M5" s="4">
        <v>1545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9" s="3" customFormat="1" x14ac:dyDescent="0.2">
      <c r="B6" s="3" t="s">
        <v>55</v>
      </c>
      <c r="C6" s="4"/>
      <c r="D6" s="4"/>
      <c r="E6" s="4"/>
      <c r="F6" s="4"/>
      <c r="G6" s="4"/>
      <c r="H6" s="4"/>
      <c r="I6" s="4"/>
      <c r="J6" s="4">
        <v>603</v>
      </c>
      <c r="K6" s="4">
        <v>389</v>
      </c>
      <c r="L6" s="4">
        <v>491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8" spans="1:29" s="3" customFormat="1" x14ac:dyDescent="0.2">
      <c r="B8" s="3" t="s">
        <v>20</v>
      </c>
      <c r="C8" s="4"/>
      <c r="D8" s="4"/>
      <c r="E8" s="4">
        <v>206.74299999999999</v>
      </c>
      <c r="F8" s="4">
        <v>225.4</v>
      </c>
      <c r="G8" s="4">
        <v>240.05799999999999</v>
      </c>
      <c r="H8" s="4">
        <v>303.12099999999998</v>
      </c>
      <c r="I8" s="4">
        <v>336.702</v>
      </c>
      <c r="J8" s="4">
        <v>369.32900000000001</v>
      </c>
      <c r="K8" s="4">
        <v>397.94099999999997</v>
      </c>
      <c r="L8" s="4">
        <v>435.38400000000001</v>
      </c>
      <c r="M8" s="4">
        <v>466</v>
      </c>
      <c r="N8" s="4">
        <v>495</v>
      </c>
      <c r="O8" s="4">
        <v>503</v>
      </c>
      <c r="P8" s="4">
        <v>542</v>
      </c>
      <c r="Q8" s="4">
        <v>569</v>
      </c>
      <c r="R8" s="4">
        <v>591</v>
      </c>
      <c r="S8" s="4">
        <v>603</v>
      </c>
      <c r="T8" s="4"/>
      <c r="U8" s="4"/>
      <c r="V8" s="4"/>
      <c r="W8" s="4"/>
      <c r="X8" s="4"/>
    </row>
    <row r="9" spans="1:29" s="3" customFormat="1" x14ac:dyDescent="0.2">
      <c r="B9" s="3" t="s">
        <v>21</v>
      </c>
      <c r="C9" s="4"/>
      <c r="D9" s="4"/>
      <c r="E9" s="4">
        <v>10.635999999999999</v>
      </c>
      <c r="F9" s="4">
        <v>9.34</v>
      </c>
      <c r="G9" s="4">
        <v>10.948</v>
      </c>
      <c r="H9" s="4">
        <v>12.379</v>
      </c>
      <c r="I9" s="4">
        <v>13.978</v>
      </c>
      <c r="J9" s="4">
        <v>13.686</v>
      </c>
      <c r="K9" s="4">
        <v>17.001999999999999</v>
      </c>
      <c r="L9" s="4">
        <v>16.422999999999998</v>
      </c>
      <c r="M9" s="4">
        <v>15</v>
      </c>
      <c r="N9" s="4">
        <v>15</v>
      </c>
      <c r="O9" s="4">
        <v>15</v>
      </c>
      <c r="P9" s="4">
        <v>14</v>
      </c>
      <c r="Q9" s="4">
        <v>15</v>
      </c>
      <c r="R9" s="4">
        <v>14</v>
      </c>
      <c r="S9" s="4">
        <v>14</v>
      </c>
      <c r="T9" s="4"/>
      <c r="U9" s="4"/>
      <c r="V9" s="4"/>
      <c r="W9" s="4"/>
      <c r="X9" s="4"/>
    </row>
    <row r="10" spans="1:29" s="5" customFormat="1" x14ac:dyDescent="0.2">
      <c r="B10" s="5" t="s">
        <v>7</v>
      </c>
      <c r="C10" s="6"/>
      <c r="D10" s="6"/>
      <c r="E10" s="6">
        <f t="shared" ref="E10:L10" si="0">+E8+E9</f>
        <v>217.37899999999999</v>
      </c>
      <c r="F10" s="6">
        <f t="shared" si="0"/>
        <v>234.74</v>
      </c>
      <c r="G10" s="6">
        <f t="shared" si="0"/>
        <v>251.006</v>
      </c>
      <c r="H10" s="6">
        <f t="shared" si="0"/>
        <v>315.5</v>
      </c>
      <c r="I10" s="6">
        <f t="shared" si="0"/>
        <v>350.68</v>
      </c>
      <c r="J10" s="6">
        <f t="shared" si="0"/>
        <v>383.01499999999999</v>
      </c>
      <c r="K10" s="6">
        <f t="shared" si="0"/>
        <v>414.94299999999998</v>
      </c>
      <c r="L10" s="6">
        <f t="shared" si="0"/>
        <v>451.80700000000002</v>
      </c>
      <c r="M10" s="6">
        <f>+M8+M9</f>
        <v>481</v>
      </c>
      <c r="N10" s="6">
        <f>+N8+N9</f>
        <v>510</v>
      </c>
      <c r="O10" s="6">
        <f>+O8+O9</f>
        <v>518</v>
      </c>
      <c r="P10" s="6">
        <f>+P8+P9</f>
        <v>556</v>
      </c>
      <c r="Q10" s="6">
        <f>+Q8+Q9</f>
        <v>584</v>
      </c>
      <c r="R10" s="6">
        <f>+R8+R9</f>
        <v>605</v>
      </c>
      <c r="S10" s="6">
        <f>+S8+S9</f>
        <v>617</v>
      </c>
      <c r="T10" s="6"/>
      <c r="U10" s="6"/>
      <c r="V10" s="6"/>
      <c r="W10" s="6"/>
      <c r="X10" s="6"/>
      <c r="AB10" s="5">
        <f>SUM(G10:J10)</f>
        <v>1300.201</v>
      </c>
      <c r="AC10" s="5">
        <f>SUM(K10:N10)</f>
        <v>1857.75</v>
      </c>
    </row>
    <row r="11" spans="1:29" s="3" customFormat="1" x14ac:dyDescent="0.2">
      <c r="B11" s="3" t="s">
        <v>24</v>
      </c>
      <c r="C11" s="4"/>
      <c r="D11" s="4"/>
      <c r="E11" s="4">
        <v>56.908000000000001</v>
      </c>
      <c r="F11" s="4">
        <v>61.14</v>
      </c>
      <c r="G11" s="4">
        <v>66.123000000000005</v>
      </c>
      <c r="H11" s="4">
        <v>101.10599999999999</v>
      </c>
      <c r="I11" s="4">
        <v>109.67400000000001</v>
      </c>
      <c r="J11" s="4">
        <v>119.502</v>
      </c>
      <c r="K11" s="4">
        <v>131.16499999999999</v>
      </c>
      <c r="L11" s="4">
        <v>137.69399999999999</v>
      </c>
      <c r="M11" s="4">
        <v>138</v>
      </c>
      <c r="N11" s="4">
        <v>139</v>
      </c>
      <c r="O11" s="4">
        <v>142</v>
      </c>
      <c r="P11" s="4">
        <v>149</v>
      </c>
      <c r="Q11" s="4">
        <v>145</v>
      </c>
      <c r="R11" s="4">
        <f>126+19</f>
        <v>145</v>
      </c>
      <c r="S11" s="4">
        <v>148</v>
      </c>
      <c r="T11" s="4"/>
      <c r="U11" s="4"/>
      <c r="V11" s="4"/>
      <c r="W11" s="4"/>
      <c r="X11" s="4"/>
    </row>
    <row r="12" spans="1:29" s="3" customFormat="1" x14ac:dyDescent="0.2">
      <c r="B12" s="3" t="s">
        <v>25</v>
      </c>
      <c r="C12" s="4"/>
      <c r="D12" s="4"/>
      <c r="E12" s="4">
        <f t="shared" ref="E12:L12" si="1">+E10-E11</f>
        <v>160.471</v>
      </c>
      <c r="F12" s="4">
        <f t="shared" si="1"/>
        <v>173.60000000000002</v>
      </c>
      <c r="G12" s="4">
        <f t="shared" si="1"/>
        <v>184.88299999999998</v>
      </c>
      <c r="H12" s="4">
        <f t="shared" si="1"/>
        <v>214.39400000000001</v>
      </c>
      <c r="I12" s="4">
        <f t="shared" si="1"/>
        <v>241.006</v>
      </c>
      <c r="J12" s="4">
        <f t="shared" si="1"/>
        <v>263.51299999999998</v>
      </c>
      <c r="K12" s="4">
        <f t="shared" si="1"/>
        <v>283.77800000000002</v>
      </c>
      <c r="L12" s="4">
        <f t="shared" si="1"/>
        <v>314.11300000000006</v>
      </c>
      <c r="M12" s="4">
        <f>+M10-M11</f>
        <v>343</v>
      </c>
      <c r="N12" s="4">
        <f>+N10-N11</f>
        <v>371</v>
      </c>
      <c r="O12" s="4">
        <f>+O10-O11</f>
        <v>376</v>
      </c>
      <c r="P12" s="4">
        <f>+P10-P11</f>
        <v>407</v>
      </c>
      <c r="Q12" s="4">
        <f>+Q10-Q11</f>
        <v>439</v>
      </c>
      <c r="R12" s="4">
        <f>+R10-R11</f>
        <v>460</v>
      </c>
      <c r="S12" s="4">
        <f>+S10-S11</f>
        <v>469</v>
      </c>
      <c r="T12" s="4"/>
      <c r="U12" s="4"/>
      <c r="V12" s="4"/>
      <c r="W12" s="4"/>
      <c r="X12" s="4"/>
    </row>
    <row r="13" spans="1:29" s="3" customFormat="1" x14ac:dyDescent="0.2">
      <c r="B13" s="3" t="s">
        <v>26</v>
      </c>
      <c r="C13" s="4"/>
      <c r="D13" s="4"/>
      <c r="E13" s="4">
        <v>58.15</v>
      </c>
      <c r="F13" s="4">
        <v>62.316000000000003</v>
      </c>
      <c r="G13" s="4">
        <v>68.863</v>
      </c>
      <c r="H13" s="4">
        <v>122.407</v>
      </c>
      <c r="I13" s="4">
        <v>130.535</v>
      </c>
      <c r="J13" s="4">
        <v>147.45400000000001</v>
      </c>
      <c r="K13" s="4">
        <v>161.65100000000001</v>
      </c>
      <c r="L13" s="4">
        <v>155.83600000000001</v>
      </c>
      <c r="M13" s="4">
        <v>148</v>
      </c>
      <c r="N13" s="4">
        <v>154</v>
      </c>
      <c r="O13" s="4">
        <v>163</v>
      </c>
      <c r="P13" s="4">
        <v>172</v>
      </c>
      <c r="Q13" s="4">
        <v>165</v>
      </c>
      <c r="R13" s="4">
        <v>156</v>
      </c>
      <c r="S13" s="4">
        <v>163</v>
      </c>
      <c r="T13" s="4"/>
      <c r="U13" s="4"/>
      <c r="V13" s="4"/>
      <c r="W13" s="4"/>
      <c r="X13" s="4"/>
    </row>
    <row r="14" spans="1:29" s="3" customFormat="1" x14ac:dyDescent="0.2">
      <c r="B14" s="3" t="s">
        <v>27</v>
      </c>
      <c r="C14" s="4"/>
      <c r="D14" s="4"/>
      <c r="E14" s="4">
        <v>109.812</v>
      </c>
      <c r="F14" s="4">
        <v>115.173</v>
      </c>
      <c r="G14" s="4">
        <v>146.52099999999999</v>
      </c>
      <c r="H14" s="4">
        <v>198.35</v>
      </c>
      <c r="I14" s="4">
        <v>203.87799999999999</v>
      </c>
      <c r="J14" s="4">
        <v>221.577</v>
      </c>
      <c r="K14" s="4">
        <v>252.47300000000001</v>
      </c>
      <c r="L14" s="4">
        <v>264.65300000000002</v>
      </c>
      <c r="M14" s="4">
        <v>290</v>
      </c>
      <c r="N14" s="4">
        <v>259</v>
      </c>
      <c r="O14" s="4">
        <v>256</v>
      </c>
      <c r="P14" s="4">
        <v>261</v>
      </c>
      <c r="Q14" s="4">
        <v>270</v>
      </c>
      <c r="R14" s="4">
        <v>249</v>
      </c>
      <c r="S14" s="4">
        <v>236</v>
      </c>
      <c r="T14" s="4"/>
      <c r="U14" s="4"/>
      <c r="V14" s="4"/>
      <c r="W14" s="4"/>
      <c r="X14" s="4"/>
    </row>
    <row r="15" spans="1:29" s="3" customFormat="1" x14ac:dyDescent="0.2">
      <c r="B15" s="3" t="s">
        <v>28</v>
      </c>
      <c r="C15" s="4"/>
      <c r="D15" s="4"/>
      <c r="E15" s="4">
        <v>44.484999999999999</v>
      </c>
      <c r="F15" s="4">
        <v>50.707000000000001</v>
      </c>
      <c r="G15" s="4">
        <v>60.18</v>
      </c>
      <c r="H15" s="4">
        <v>157.077</v>
      </c>
      <c r="I15" s="4">
        <v>105.149</v>
      </c>
      <c r="J15" s="4">
        <v>108.908</v>
      </c>
      <c r="K15" s="4">
        <v>109.343</v>
      </c>
      <c r="L15" s="4">
        <v>101.68600000000001</v>
      </c>
      <c r="M15" s="4">
        <v>98</v>
      </c>
      <c r="N15" s="4">
        <v>100</v>
      </c>
      <c r="O15" s="4">
        <v>110</v>
      </c>
      <c r="P15" s="4">
        <v>119</v>
      </c>
      <c r="Q15" s="4">
        <v>111</v>
      </c>
      <c r="R15" s="4">
        <v>110</v>
      </c>
      <c r="S15" s="4">
        <v>117</v>
      </c>
      <c r="T15" s="4"/>
      <c r="U15" s="4"/>
      <c r="V15" s="4"/>
      <c r="W15" s="4"/>
      <c r="X15" s="4"/>
    </row>
    <row r="16" spans="1:29" s="3" customFormat="1" x14ac:dyDescent="0.2">
      <c r="B16" s="3" t="s">
        <v>23</v>
      </c>
      <c r="C16" s="4"/>
      <c r="D16" s="4"/>
      <c r="E16" s="4">
        <f t="shared" ref="E16:L16" si="2">SUM(E13:E15)</f>
        <v>212.447</v>
      </c>
      <c r="F16" s="4">
        <f t="shared" si="2"/>
        <v>228.196</v>
      </c>
      <c r="G16" s="4">
        <f t="shared" si="2"/>
        <v>275.56399999999996</v>
      </c>
      <c r="H16" s="4">
        <f t="shared" si="2"/>
        <v>477.834</v>
      </c>
      <c r="I16" s="4">
        <f t="shared" si="2"/>
        <v>439.56200000000001</v>
      </c>
      <c r="J16" s="4">
        <f t="shared" si="2"/>
        <v>477.93900000000002</v>
      </c>
      <c r="K16" s="4">
        <f t="shared" si="2"/>
        <v>523.46699999999998</v>
      </c>
      <c r="L16" s="4">
        <f t="shared" si="2"/>
        <v>522.17500000000007</v>
      </c>
      <c r="M16" s="4">
        <f t="shared" ref="M16:N16" si="3">SUM(M13:M15)</f>
        <v>536</v>
      </c>
      <c r="N16" s="4">
        <f t="shared" si="3"/>
        <v>513</v>
      </c>
      <c r="O16" s="4">
        <f t="shared" ref="O16:P16" si="4">SUM(O13:O15)</f>
        <v>529</v>
      </c>
      <c r="P16" s="4">
        <f t="shared" si="4"/>
        <v>552</v>
      </c>
      <c r="Q16" s="4">
        <f t="shared" ref="Q16" si="5">SUM(Q13:Q15)</f>
        <v>546</v>
      </c>
      <c r="R16" s="4">
        <f t="shared" ref="R16:S16" si="6">SUM(R13:R15)</f>
        <v>515</v>
      </c>
      <c r="S16" s="4">
        <f t="shared" si="6"/>
        <v>516</v>
      </c>
      <c r="T16" s="4"/>
      <c r="U16" s="4"/>
      <c r="V16" s="4"/>
      <c r="W16" s="4"/>
      <c r="X16" s="4"/>
    </row>
    <row r="17" spans="2:24" s="3" customFormat="1" x14ac:dyDescent="0.2">
      <c r="B17" s="3" t="s">
        <v>22</v>
      </c>
      <c r="C17" s="4"/>
      <c r="D17" s="4"/>
      <c r="E17" s="4">
        <f t="shared" ref="E17:L17" si="7">E12-E16</f>
        <v>-51.975999999999999</v>
      </c>
      <c r="F17" s="4">
        <f t="shared" si="7"/>
        <v>-54.595999999999975</v>
      </c>
      <c r="G17" s="4">
        <f t="shared" si="7"/>
        <v>-90.680999999999983</v>
      </c>
      <c r="H17" s="4">
        <f t="shared" si="7"/>
        <v>-263.44</v>
      </c>
      <c r="I17" s="4">
        <f t="shared" si="7"/>
        <v>-198.55600000000001</v>
      </c>
      <c r="J17" s="4">
        <f t="shared" si="7"/>
        <v>-214.42600000000004</v>
      </c>
      <c r="K17" s="4">
        <f t="shared" si="7"/>
        <v>-239.68899999999996</v>
      </c>
      <c r="L17" s="4">
        <f t="shared" si="7"/>
        <v>-208.06200000000001</v>
      </c>
      <c r="M17" s="4">
        <f t="shared" ref="M17" si="8">M12-M16</f>
        <v>-193</v>
      </c>
      <c r="N17" s="4">
        <f t="shared" ref="N17:O17" si="9">N12-N16</f>
        <v>-142</v>
      </c>
      <c r="O17" s="4">
        <f t="shared" si="9"/>
        <v>-153</v>
      </c>
      <c r="P17" s="4">
        <f t="shared" ref="P17" si="10">P12-P16</f>
        <v>-145</v>
      </c>
      <c r="Q17" s="4">
        <f t="shared" ref="Q17" si="11">Q12-Q16</f>
        <v>-107</v>
      </c>
      <c r="R17" s="4">
        <f t="shared" ref="R17:S17" si="12">R12-R16</f>
        <v>-55</v>
      </c>
      <c r="S17" s="4">
        <f t="shared" si="12"/>
        <v>-47</v>
      </c>
      <c r="T17" s="4"/>
      <c r="U17" s="4"/>
      <c r="V17" s="4"/>
      <c r="W17" s="4"/>
      <c r="X17" s="4"/>
    </row>
    <row r="18" spans="2:24" s="3" customFormat="1" x14ac:dyDescent="0.2">
      <c r="B18" s="3" t="s">
        <v>29</v>
      </c>
      <c r="C18" s="4"/>
      <c r="D18" s="4"/>
      <c r="E18" s="4">
        <f>-22.368+1.878</f>
        <v>-20.49</v>
      </c>
      <c r="F18" s="4">
        <f>-22.597+2.154</f>
        <v>-20.443000000000001</v>
      </c>
      <c r="G18" s="4">
        <f>-22.76+4.355</f>
        <v>-18.405000000000001</v>
      </c>
      <c r="H18" s="4">
        <f>-22.872+2.211</f>
        <v>-20.661000000000001</v>
      </c>
      <c r="I18" s="4">
        <f>-23.144+1.056</f>
        <v>-22.087999999999997</v>
      </c>
      <c r="J18" s="4">
        <f>-23.406+2.146</f>
        <v>-21.259999999999998</v>
      </c>
      <c r="K18" s="4">
        <f>-2.868+1.704</f>
        <v>-1.1639999999999999</v>
      </c>
      <c r="L18" s="4">
        <f>-2.915+4.721</f>
        <v>1.806</v>
      </c>
      <c r="M18" s="4">
        <f>-3+5</f>
        <v>2</v>
      </c>
      <c r="N18" s="4">
        <f>-2+10</f>
        <v>8</v>
      </c>
      <c r="O18" s="4">
        <f>-3+17</f>
        <v>14</v>
      </c>
      <c r="P18" s="4">
        <f>-2+18</f>
        <v>16</v>
      </c>
      <c r="Q18" s="4">
        <f>-2+21</f>
        <v>19</v>
      </c>
      <c r="R18" s="4">
        <v>-1</v>
      </c>
      <c r="S18" s="4">
        <f>-2+27</f>
        <v>25</v>
      </c>
      <c r="T18" s="4"/>
      <c r="U18" s="4"/>
      <c r="V18" s="4"/>
      <c r="W18" s="4"/>
      <c r="X18" s="4"/>
    </row>
    <row r="19" spans="2:24" s="3" customFormat="1" x14ac:dyDescent="0.2">
      <c r="B19" s="3" t="s">
        <v>30</v>
      </c>
      <c r="C19" s="4"/>
      <c r="D19" s="4"/>
      <c r="E19" s="4">
        <f t="shared" ref="E19:N19" si="13">+E17+E18</f>
        <v>-72.465999999999994</v>
      </c>
      <c r="F19" s="4">
        <f t="shared" si="13"/>
        <v>-75.038999999999973</v>
      </c>
      <c r="G19" s="4">
        <f t="shared" si="13"/>
        <v>-109.08599999999998</v>
      </c>
      <c r="H19" s="4">
        <f t="shared" si="13"/>
        <v>-284.101</v>
      </c>
      <c r="I19" s="4">
        <f t="shared" si="13"/>
        <v>-220.64400000000001</v>
      </c>
      <c r="J19" s="4">
        <f t="shared" si="13"/>
        <v>-235.68600000000004</v>
      </c>
      <c r="K19" s="4">
        <f t="shared" si="13"/>
        <v>-240.85299999999995</v>
      </c>
      <c r="L19" s="4">
        <f t="shared" si="13"/>
        <v>-206.256</v>
      </c>
      <c r="M19" s="4">
        <f t="shared" si="13"/>
        <v>-191</v>
      </c>
      <c r="N19" s="4">
        <f t="shared" si="13"/>
        <v>-134</v>
      </c>
      <c r="O19" s="4">
        <f t="shared" ref="O19:P19" si="14">+O17+O18</f>
        <v>-139</v>
      </c>
      <c r="P19" s="4">
        <f t="shared" si="14"/>
        <v>-129</v>
      </c>
      <c r="Q19" s="4">
        <f t="shared" ref="Q19" si="15">+Q17+Q18</f>
        <v>-88</v>
      </c>
      <c r="R19" s="4">
        <f t="shared" ref="R19:S19" si="16">+R17+R18</f>
        <v>-56</v>
      </c>
      <c r="S19" s="4">
        <f t="shared" si="16"/>
        <v>-22</v>
      </c>
      <c r="T19" s="4"/>
      <c r="U19" s="4"/>
      <c r="V19" s="4"/>
      <c r="W19" s="4"/>
      <c r="X19" s="4"/>
    </row>
    <row r="20" spans="2:24" s="3" customFormat="1" x14ac:dyDescent="0.2">
      <c r="B20" s="3" t="s">
        <v>31</v>
      </c>
      <c r="C20" s="4"/>
      <c r="D20" s="4"/>
      <c r="E20" s="4">
        <v>0.20899999999999999</v>
      </c>
      <c r="F20" s="4">
        <v>0.76700000000000002</v>
      </c>
      <c r="G20" s="4">
        <v>0.01</v>
      </c>
      <c r="H20" s="4">
        <v>-7.4619999999999997</v>
      </c>
      <c r="I20" s="4">
        <v>0.66700000000000004</v>
      </c>
      <c r="J20" s="4">
        <v>5.5</v>
      </c>
      <c r="K20" s="4">
        <v>1.86</v>
      </c>
      <c r="L20" s="4">
        <v>4.2160000000000002</v>
      </c>
      <c r="M20" s="4">
        <v>4</v>
      </c>
      <c r="N20" s="4">
        <v>4</v>
      </c>
      <c r="O20" s="4">
        <v>4</v>
      </c>
      <c r="P20" s="4">
        <v>7</v>
      </c>
      <c r="Q20" s="4">
        <v>7</v>
      </c>
      <c r="R20" s="4">
        <v>18</v>
      </c>
      <c r="S20" s="4">
        <v>18</v>
      </c>
      <c r="T20" s="4"/>
      <c r="U20" s="4"/>
      <c r="V20" s="4"/>
      <c r="W20" s="4"/>
      <c r="X20" s="4"/>
    </row>
    <row r="21" spans="2:24" s="3" customFormat="1" x14ac:dyDescent="0.2">
      <c r="B21" s="3" t="s">
        <v>32</v>
      </c>
      <c r="C21" s="4"/>
      <c r="D21" s="4"/>
      <c r="E21" s="4">
        <f t="shared" ref="E21:N21" si="17">+E19-E20</f>
        <v>-72.674999999999997</v>
      </c>
      <c r="F21" s="4">
        <f t="shared" si="17"/>
        <v>-75.805999999999969</v>
      </c>
      <c r="G21" s="4">
        <f t="shared" si="17"/>
        <v>-109.09599999999999</v>
      </c>
      <c r="H21" s="4">
        <f t="shared" si="17"/>
        <v>-276.63900000000001</v>
      </c>
      <c r="I21" s="4">
        <f t="shared" si="17"/>
        <v>-221.31100000000001</v>
      </c>
      <c r="J21" s="4">
        <f t="shared" si="17"/>
        <v>-241.18600000000004</v>
      </c>
      <c r="K21" s="4">
        <f t="shared" si="17"/>
        <v>-242.71299999999997</v>
      </c>
      <c r="L21" s="4">
        <f t="shared" si="17"/>
        <v>-210.47200000000001</v>
      </c>
      <c r="M21" s="4">
        <f t="shared" si="17"/>
        <v>-195</v>
      </c>
      <c r="N21" s="4">
        <f t="shared" si="17"/>
        <v>-138</v>
      </c>
      <c r="O21" s="4">
        <f t="shared" ref="O21:P21" si="18">+O19-O20</f>
        <v>-143</v>
      </c>
      <c r="P21" s="4">
        <f t="shared" si="18"/>
        <v>-136</v>
      </c>
      <c r="Q21" s="4">
        <f t="shared" ref="Q21" si="19">+Q19-Q20</f>
        <v>-95</v>
      </c>
      <c r="R21" s="4">
        <f t="shared" ref="R21:S21" si="20">+R19-R20</f>
        <v>-74</v>
      </c>
      <c r="S21" s="4">
        <f t="shared" si="20"/>
        <v>-40</v>
      </c>
      <c r="T21" s="4"/>
      <c r="U21" s="4"/>
      <c r="V21" s="4"/>
      <c r="W21" s="4"/>
      <c r="X21" s="4"/>
    </row>
    <row r="22" spans="2:24" x14ac:dyDescent="0.2">
      <c r="B22" s="3" t="s">
        <v>33</v>
      </c>
      <c r="E22" s="7">
        <f t="shared" ref="E22:N22" si="21">E21/E23</f>
        <v>-0.56418994977215031</v>
      </c>
      <c r="F22" s="7">
        <f t="shared" si="21"/>
        <v>-0.58250472575266232</v>
      </c>
      <c r="G22" s="7">
        <f t="shared" si="21"/>
        <v>-0.82788346980125516</v>
      </c>
      <c r="H22" s="7">
        <f t="shared" si="21"/>
        <v>-1.8277251795424065</v>
      </c>
      <c r="I22" s="7">
        <f t="shared" si="21"/>
        <v>-1.4393649678711726</v>
      </c>
      <c r="J22" s="7">
        <f t="shared" si="21"/>
        <v>-1.5588547052740436</v>
      </c>
      <c r="K22" s="7">
        <f t="shared" si="21"/>
        <v>-1.5571002405773855</v>
      </c>
      <c r="L22" s="7">
        <f t="shared" si="21"/>
        <v>-1.3371791613722999</v>
      </c>
      <c r="M22" s="7">
        <f t="shared" si="21"/>
        <v>-1.2286715225445473</v>
      </c>
      <c r="N22" s="7">
        <f t="shared" si="21"/>
        <v>-0.86229520488883882</v>
      </c>
      <c r="O22" s="7">
        <f t="shared" ref="O22:P22" si="22">O21/O23</f>
        <v>-0.88642041122468584</v>
      </c>
      <c r="P22" s="7">
        <f t="shared" si="22"/>
        <v>-0.83561180916100886</v>
      </c>
      <c r="Q22" s="7">
        <f t="shared" ref="Q22" si="23">Q21/Q23</f>
        <v>-0.57792567267506589</v>
      </c>
      <c r="R22" s="7">
        <f t="shared" ref="R22:S22" si="24">R21/R23</f>
        <v>-0.44188337861642729</v>
      </c>
      <c r="S22" s="7">
        <f t="shared" si="24"/>
        <v>-0.23885588033320396</v>
      </c>
      <c r="T22" s="7"/>
      <c r="U22" s="7"/>
      <c r="V22" s="7"/>
      <c r="W22" s="7"/>
      <c r="X22" s="7"/>
    </row>
    <row r="23" spans="2:24" x14ac:dyDescent="0.2">
      <c r="B23" s="3" t="s">
        <v>1</v>
      </c>
      <c r="E23" s="4">
        <v>128.81299999999999</v>
      </c>
      <c r="F23" s="4">
        <v>130.13800000000001</v>
      </c>
      <c r="G23" s="4">
        <v>131.77699999999999</v>
      </c>
      <c r="H23" s="4">
        <v>151.357</v>
      </c>
      <c r="I23" s="4">
        <v>153.756</v>
      </c>
      <c r="J23" s="4">
        <v>154.72</v>
      </c>
      <c r="K23" s="4">
        <v>155.875</v>
      </c>
      <c r="L23" s="4">
        <v>157.4</v>
      </c>
      <c r="M23" s="4">
        <v>158.708</v>
      </c>
      <c r="N23" s="4">
        <v>160.03800000000001</v>
      </c>
      <c r="O23" s="4">
        <v>161.32300000000001</v>
      </c>
      <c r="P23" s="4">
        <v>162.755</v>
      </c>
      <c r="Q23" s="4">
        <v>164.381</v>
      </c>
      <c r="R23" s="4">
        <v>167.465</v>
      </c>
      <c r="S23" s="4">
        <v>167.465</v>
      </c>
      <c r="T23" s="4"/>
      <c r="U23" s="4"/>
      <c r="V23" s="4"/>
      <c r="W23" s="4"/>
      <c r="X23" s="4"/>
    </row>
    <row r="25" spans="2:24" x14ac:dyDescent="0.2">
      <c r="B25" s="3" t="s">
        <v>54</v>
      </c>
      <c r="I25" s="8">
        <f>+I10/E10-1</f>
        <v>0.61321930821284498</v>
      </c>
      <c r="J25" s="8">
        <f>+J10/F10-1</f>
        <v>0.63165630058788436</v>
      </c>
      <c r="K25" s="8">
        <f>+K10/G10-1</f>
        <v>0.65311984574073922</v>
      </c>
      <c r="L25" s="8">
        <f>+L10/H10-1</f>
        <v>0.43203486529318558</v>
      </c>
      <c r="M25" s="8">
        <f>+M10/I10-1</f>
        <v>0.37162085091821595</v>
      </c>
      <c r="N25" s="8">
        <f t="shared" ref="N25:P25" si="25">+N10/J10-1</f>
        <v>0.33154054018772117</v>
      </c>
      <c r="O25" s="8">
        <f t="shared" si="25"/>
        <v>0.24836423315973533</v>
      </c>
      <c r="P25" s="8">
        <f t="shared" si="25"/>
        <v>0.23061395684440478</v>
      </c>
      <c r="Q25" s="8">
        <f t="shared" ref="Q25:S25" si="26">+Q10/M10-1</f>
        <v>0.2141372141372142</v>
      </c>
      <c r="R25" s="8">
        <f t="shared" si="26"/>
        <v>0.18627450980392157</v>
      </c>
      <c r="S25" s="8">
        <f t="shared" si="26"/>
        <v>0.19111969111969107</v>
      </c>
      <c r="T25" s="8"/>
      <c r="U25" s="8"/>
      <c r="V25" s="8"/>
      <c r="W25" s="8"/>
      <c r="X25" s="8"/>
    </row>
    <row r="26" spans="2:24" x14ac:dyDescent="0.2">
      <c r="B26" s="3" t="s">
        <v>58</v>
      </c>
      <c r="E26" s="8">
        <f t="shared" ref="E26:K26" si="27">+E12/E10</f>
        <v>0.73820838259445487</v>
      </c>
      <c r="F26" s="8">
        <f t="shared" si="27"/>
        <v>0.739541620516316</v>
      </c>
      <c r="G26" s="8">
        <f t="shared" si="27"/>
        <v>0.73656805016613136</v>
      </c>
      <c r="H26" s="8">
        <f t="shared" si="27"/>
        <v>0.67953724247226621</v>
      </c>
      <c r="I26" s="8">
        <f t="shared" si="27"/>
        <v>0.68725333637504271</v>
      </c>
      <c r="J26" s="8">
        <f t="shared" si="27"/>
        <v>0.6879965536597783</v>
      </c>
      <c r="K26" s="8">
        <f t="shared" si="27"/>
        <v>0.68389634238919572</v>
      </c>
      <c r="L26" s="8">
        <f>+L12/L10</f>
        <v>0.69523712558681039</v>
      </c>
      <c r="M26" s="8">
        <f>+M12/M10</f>
        <v>0.71309771309771308</v>
      </c>
      <c r="N26" s="8">
        <f t="shared" ref="N26:O26" si="28">+N12/N10</f>
        <v>0.72745098039215683</v>
      </c>
      <c r="O26" s="8">
        <f t="shared" si="28"/>
        <v>0.72586872586872586</v>
      </c>
      <c r="P26" s="8">
        <f t="shared" ref="P26" si="29">+P12/P10</f>
        <v>0.73201438848920863</v>
      </c>
      <c r="Q26" s="8">
        <f t="shared" ref="Q26" si="30">+Q12/Q10</f>
        <v>0.75171232876712324</v>
      </c>
      <c r="R26" s="8">
        <f t="shared" ref="R26:S26" si="31">+R12/R10</f>
        <v>0.76033057851239672</v>
      </c>
      <c r="S26" s="8">
        <f t="shared" si="31"/>
        <v>0.76012965964343593</v>
      </c>
      <c r="T26" s="8"/>
      <c r="U26" s="8"/>
      <c r="V26" s="8"/>
      <c r="W26" s="8"/>
      <c r="X26" s="8"/>
    </row>
    <row r="28" spans="2:24" s="3" customFormat="1" x14ac:dyDescent="0.2">
      <c r="B28" s="3" t="s">
        <v>3</v>
      </c>
      <c r="C28" s="4"/>
      <c r="D28" s="4"/>
      <c r="E28" s="4"/>
      <c r="F28" s="4"/>
      <c r="G28" s="4"/>
      <c r="H28" s="4"/>
      <c r="I28" s="4"/>
      <c r="J28" s="4"/>
      <c r="K28" s="4">
        <f>194.227+2292.902</f>
        <v>2487.1289999999999</v>
      </c>
      <c r="L28" s="4">
        <f>216.022+2260.956</f>
        <v>2476.9780000000001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4" s="3" customFormat="1" x14ac:dyDescent="0.2">
      <c r="B29" s="3" t="s">
        <v>35</v>
      </c>
      <c r="C29" s="4"/>
      <c r="D29" s="4"/>
      <c r="E29" s="4"/>
      <c r="F29" s="4"/>
      <c r="G29" s="4"/>
      <c r="H29" s="4"/>
      <c r="I29" s="4"/>
      <c r="J29" s="4"/>
      <c r="K29" s="4">
        <v>258.911</v>
      </c>
      <c r="L29" s="4">
        <v>323.37700000000001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4" s="3" customFormat="1" x14ac:dyDescent="0.2">
      <c r="B30" s="3" t="s">
        <v>36</v>
      </c>
      <c r="C30" s="4"/>
      <c r="D30" s="4"/>
      <c r="E30" s="4"/>
      <c r="F30" s="4"/>
      <c r="G30" s="4"/>
      <c r="H30" s="4"/>
      <c r="I30" s="4"/>
      <c r="J30" s="4"/>
      <c r="K30" s="4">
        <f>77.12+188.49</f>
        <v>265.61</v>
      </c>
      <c r="L30" s="4">
        <f>80.657+191.309</f>
        <v>271.96600000000001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4" s="3" customFormat="1" x14ac:dyDescent="0.2">
      <c r="B31" s="3" t="s">
        <v>37</v>
      </c>
      <c r="C31" s="4"/>
      <c r="D31" s="4"/>
      <c r="E31" s="4"/>
      <c r="F31" s="4"/>
      <c r="G31" s="4"/>
      <c r="H31" s="4"/>
      <c r="I31" s="4"/>
      <c r="J31" s="4"/>
      <c r="K31" s="4">
        <v>75.483000000000004</v>
      </c>
      <c r="L31" s="4">
        <f>64.49</f>
        <v>64.489999999999995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4" s="3" customFormat="1" x14ac:dyDescent="0.2">
      <c r="B32" s="3" t="s">
        <v>38</v>
      </c>
      <c r="C32" s="4"/>
      <c r="D32" s="4"/>
      <c r="E32" s="4"/>
      <c r="F32" s="4"/>
      <c r="G32" s="4"/>
      <c r="H32" s="4"/>
      <c r="I32" s="4"/>
      <c r="J32" s="4"/>
      <c r="K32" s="4">
        <v>66.418000000000006</v>
      </c>
      <c r="L32" s="4">
        <v>66.957999999999998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 s="3" customFormat="1" x14ac:dyDescent="0.2">
      <c r="B33" s="3" t="s">
        <v>39</v>
      </c>
      <c r="C33" s="4"/>
      <c r="D33" s="4"/>
      <c r="E33" s="4"/>
      <c r="F33" s="4"/>
      <c r="G33" s="4"/>
      <c r="H33" s="4"/>
      <c r="I33" s="4"/>
      <c r="J33" s="4"/>
      <c r="K33" s="4">
        <v>144.73099999999999</v>
      </c>
      <c r="L33" s="4">
        <v>141.94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 s="3" customFormat="1" x14ac:dyDescent="0.2">
      <c r="B34" s="3" t="s">
        <v>40</v>
      </c>
      <c r="C34" s="4"/>
      <c r="D34" s="4"/>
      <c r="E34" s="4"/>
      <c r="F34" s="4"/>
      <c r="G34" s="4"/>
      <c r="H34" s="4"/>
      <c r="I34" s="4"/>
      <c r="J34" s="4"/>
      <c r="K34" s="4">
        <f>298.823+5401.343</f>
        <v>5700.1660000000002</v>
      </c>
      <c r="L34" s="4">
        <f>281.47+5400.275</f>
        <v>5681.7449999999999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 s="3" customFormat="1" x14ac:dyDescent="0.2">
      <c r="B35" s="3" t="s">
        <v>41</v>
      </c>
      <c r="C35" s="4"/>
      <c r="D35" s="4"/>
      <c r="E35" s="4"/>
      <c r="F35" s="4"/>
      <c r="G35" s="4"/>
      <c r="H35" s="4"/>
      <c r="I35" s="4"/>
      <c r="J35" s="4"/>
      <c r="K35" s="4">
        <v>47.232999999999997</v>
      </c>
      <c r="L35" s="4">
        <v>46.552999999999997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 s="3" customFormat="1" x14ac:dyDescent="0.2">
      <c r="B36" s="3" t="s">
        <v>34</v>
      </c>
      <c r="C36" s="4"/>
      <c r="D36" s="4"/>
      <c r="E36" s="4"/>
      <c r="F36" s="4"/>
      <c r="G36" s="4"/>
      <c r="H36" s="4"/>
      <c r="I36" s="4"/>
      <c r="J36" s="4"/>
      <c r="K36" s="4">
        <f t="shared" ref="K36" si="32">SUM(K28:K35)</f>
        <v>9045.6810000000005</v>
      </c>
      <c r="L36" s="4">
        <f>SUM(L28:L35)</f>
        <v>9074.0069999999996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8" spans="2:24" s="3" customFormat="1" x14ac:dyDescent="0.2">
      <c r="B38" s="3" t="s">
        <v>43</v>
      </c>
      <c r="C38" s="4"/>
      <c r="D38" s="4"/>
      <c r="E38" s="4"/>
      <c r="F38" s="4"/>
      <c r="G38" s="4"/>
      <c r="H38" s="4"/>
      <c r="I38" s="4"/>
      <c r="J38" s="4"/>
      <c r="K38" s="4">
        <v>33.752000000000002</v>
      </c>
      <c r="L38" s="4">
        <v>43.707999999999998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 s="3" customFormat="1" x14ac:dyDescent="0.2">
      <c r="B39" s="3" t="s">
        <v>44</v>
      </c>
      <c r="C39" s="4"/>
      <c r="D39" s="4"/>
      <c r="E39" s="4"/>
      <c r="F39" s="4"/>
      <c r="G39" s="4"/>
      <c r="H39" s="4"/>
      <c r="I39" s="4"/>
      <c r="J39" s="4"/>
      <c r="K39" s="4">
        <v>110.928</v>
      </c>
      <c r="L39" s="4">
        <v>106.477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 s="3" customFormat="1" x14ac:dyDescent="0.2">
      <c r="B40" s="3" t="s">
        <v>45</v>
      </c>
      <c r="C40" s="4"/>
      <c r="D40" s="4"/>
      <c r="E40" s="4"/>
      <c r="F40" s="4"/>
      <c r="G40" s="4"/>
      <c r="H40" s="4"/>
      <c r="I40" s="4"/>
      <c r="J40" s="4"/>
      <c r="K40" s="4">
        <v>83.206999999999994</v>
      </c>
      <c r="L40" s="4">
        <v>87.093999999999994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 s="3" customFormat="1" x14ac:dyDescent="0.2">
      <c r="B41" s="3" t="s">
        <v>4</v>
      </c>
      <c r="C41" s="4"/>
      <c r="D41" s="4"/>
      <c r="E41" s="4"/>
      <c r="F41" s="4"/>
      <c r="G41" s="4"/>
      <c r="H41" s="4"/>
      <c r="I41" s="4"/>
      <c r="J41" s="4"/>
      <c r="K41" s="4">
        <f>5.198+2188.675</f>
        <v>2193.873</v>
      </c>
      <c r="L41" s="4">
        <f>5.209+2190.11</f>
        <v>2195.319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 s="3" customFormat="1" x14ac:dyDescent="0.2">
      <c r="B42" s="3" t="s">
        <v>42</v>
      </c>
      <c r="C42" s="4"/>
      <c r="D42" s="4"/>
      <c r="E42" s="4"/>
      <c r="F42" s="4"/>
      <c r="G42" s="4"/>
      <c r="H42" s="4"/>
      <c r="I42" s="4"/>
      <c r="J42" s="4"/>
      <c r="K42" s="4">
        <f>952.19+19.074</f>
        <v>971.26400000000001</v>
      </c>
      <c r="L42" s="4">
        <f>994.097+17.187</f>
        <v>1011.284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 s="3" customFormat="1" x14ac:dyDescent="0.2">
      <c r="B43" s="3" t="s">
        <v>46</v>
      </c>
      <c r="C43" s="4"/>
      <c r="D43" s="4"/>
      <c r="E43" s="4"/>
      <c r="F43" s="4"/>
      <c r="G43" s="4"/>
      <c r="H43" s="4"/>
      <c r="I43" s="4"/>
      <c r="J43" s="4"/>
      <c r="K43" s="4">
        <v>163.86799999999999</v>
      </c>
      <c r="L43" s="4">
        <v>158.577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 s="3" customFormat="1" x14ac:dyDescent="0.2">
      <c r="B44" s="3" t="s">
        <v>41</v>
      </c>
      <c r="C44" s="4"/>
      <c r="D44" s="4"/>
      <c r="E44" s="4"/>
      <c r="F44" s="4"/>
      <c r="G44" s="4"/>
      <c r="H44" s="4"/>
      <c r="I44" s="4"/>
      <c r="J44" s="4"/>
      <c r="K44" s="4">
        <v>16.094999999999999</v>
      </c>
      <c r="L44" s="4">
        <v>18.532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 s="3" customFormat="1" x14ac:dyDescent="0.2">
      <c r="B45" s="3" t="s">
        <v>48</v>
      </c>
      <c r="C45" s="4"/>
      <c r="D45" s="4"/>
      <c r="E45" s="4"/>
      <c r="F45" s="4"/>
      <c r="G45" s="4"/>
      <c r="H45" s="4"/>
      <c r="I45" s="4"/>
      <c r="J45" s="4"/>
      <c r="K45" s="4">
        <v>5472.6940000000004</v>
      </c>
      <c r="L45" s="4">
        <v>5453.0159999999996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 s="3" customFormat="1" x14ac:dyDescent="0.2">
      <c r="B46" s="3" t="s">
        <v>47</v>
      </c>
      <c r="C46" s="4"/>
      <c r="D46" s="4"/>
      <c r="E46" s="4"/>
      <c r="F46" s="4"/>
      <c r="G46" s="4"/>
      <c r="H46" s="4"/>
      <c r="I46" s="4"/>
      <c r="J46" s="4"/>
      <c r="K46" s="4">
        <f>SUM(K38:K45)</f>
        <v>9045.6810000000005</v>
      </c>
      <c r="L46" s="4">
        <f>SUM(L38:L45)</f>
        <v>9074.0069999999996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</sheetData>
  <hyperlinks>
    <hyperlink ref="A1" location="Main!A1" display="Main" xr:uid="{2F08AB63-7AA4-42DF-9ED2-AFCD072B33A0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2022-09-01T17:38:32Z</dcterms:created>
  <dcterms:modified xsi:type="dcterms:W3CDTF">2024-08-10T18:37:37Z</dcterms:modified>
</cp:coreProperties>
</file>