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7D358C95-7152-4726-B0CF-63DB34F60313}" xr6:coauthVersionLast="47" xr6:coauthVersionMax="47" xr10:uidLastSave="{00000000-0000-0000-0000-000000000000}"/>
  <bookViews>
    <workbookView xWindow="9855" yWindow="1050" windowWidth="17355" windowHeight="1320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H17" i="1"/>
  <c r="E17" i="1" s="1"/>
  <c r="G17" i="1" s="1"/>
  <c r="F19" i="1"/>
  <c r="H19" i="1"/>
  <c r="E19" i="1" s="1"/>
  <c r="G19" i="1" s="1"/>
  <c r="S6" i="1"/>
  <c r="T6" i="1" l="1"/>
  <c r="U6" i="1" l="1"/>
  <c r="V6" i="1" l="1"/>
  <c r="S5" i="1" l="1"/>
  <c r="N6" i="1"/>
  <c r="M6" i="1"/>
  <c r="L6" i="1"/>
  <c r="H6" i="1"/>
  <c r="H21" i="1" l="1"/>
  <c r="F21" i="1"/>
  <c r="E21" i="1"/>
  <c r="G21" i="1" s="1"/>
  <c r="H7" i="1"/>
  <c r="J6" i="1" l="1"/>
  <c r="K6" i="1" s="1"/>
  <c r="H18" i="1"/>
  <c r="F18" i="1"/>
  <c r="E18" i="1"/>
  <c r="G18" i="1" l="1"/>
  <c r="H22" i="1"/>
  <c r="F22" i="1"/>
  <c r="E22" i="1"/>
  <c r="N4" i="1"/>
  <c r="M4" i="1"/>
  <c r="L4" i="1"/>
  <c r="J4" i="1"/>
  <c r="K4" i="1" s="1"/>
  <c r="H4" i="1"/>
  <c r="G22" i="1" l="1"/>
  <c r="H5" i="1"/>
  <c r="V5" i="1"/>
  <c r="U5" i="1"/>
  <c r="T5" i="1"/>
  <c r="N5" i="1"/>
  <c r="M5" i="1"/>
  <c r="L5" i="1"/>
  <c r="J5" i="1"/>
  <c r="K5" i="1" s="1"/>
  <c r="K2" i="1" s="1"/>
  <c r="F20" i="1" l="1"/>
  <c r="E20" i="1"/>
  <c r="G20" i="1" l="1"/>
  <c r="F16" i="1"/>
  <c r="E16" i="1"/>
  <c r="G16" i="1" l="1"/>
  <c r="E6" i="1"/>
  <c r="E8" i="1" l="1"/>
  <c r="F9" i="1" l="1"/>
  <c r="E9" i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4" i="1"/>
  <c r="E34" i="1"/>
  <c r="F10" i="1" a="1"/>
  <c r="F10" i="1" s="1"/>
  <c r="E10" i="1"/>
  <c r="F14" i="1"/>
  <c r="E14" i="1"/>
  <c r="F8" i="1"/>
  <c r="F6" i="1"/>
  <c r="G6" i="1" s="1"/>
  <c r="O6" i="1" l="1"/>
  <c r="P6" i="1"/>
  <c r="Q6" i="1"/>
  <c r="R6" i="1"/>
  <c r="G7" i="5"/>
  <c r="G6" i="8"/>
  <c r="G34" i="1"/>
  <c r="G14" i="1"/>
  <c r="G8" i="1"/>
  <c r="G10" i="1"/>
  <c r="F5" i="1"/>
  <c r="E5" i="1"/>
  <c r="G5" i="1" l="1"/>
  <c r="F4" i="1"/>
  <c r="E4" i="1"/>
  <c r="G13" i="1"/>
  <c r="G9" i="1"/>
  <c r="G12" i="1"/>
  <c r="F7" i="1"/>
  <c r="E7" i="1"/>
  <c r="F39" i="1"/>
  <c r="E39" i="1"/>
  <c r="R5" i="1" l="1"/>
  <c r="R2" i="1" s="1"/>
  <c r="Q5" i="1"/>
  <c r="Q2" i="1" s="1"/>
  <c r="P5" i="1"/>
  <c r="P2" i="1" s="1"/>
  <c r="O5" i="1"/>
  <c r="O2" i="1" s="1"/>
  <c r="G7" i="1"/>
  <c r="G4" i="1"/>
  <c r="G11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<sst xmlns="http://schemas.openxmlformats.org/spreadsheetml/2006/main" count="303" uniqueCount="236">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</sst>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3" fillId="0" borderId="0" xfId="0" applyFont="1"/>
    <xf numFmtId="2" fontId="13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5" fillId="0" borderId="0" xfId="1" applyFont="1"/>
    <xf numFmtId="0" fontId="12" fillId="0" borderId="0" xfId="0" applyFont="1"/>
    <xf numFmtId="3" fontId="12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16" fillId="0" borderId="0" xfId="0" applyFont="1"/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21" Type="http://schemas.openxmlformats.org/officeDocument/2006/relationships/hyperlink" Target="CDNS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hyperlink" Target="ADSK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82"/>
  <sheetViews>
    <sheetView tabSelected="1" zoomScaleNormal="100" zoomScaleSheetLayoutView="100" workbookViewId="0">
      <pane xSplit="3" ySplit="3" topLeftCell="D9" activePane="bottomRight" state="frozen"/>
      <selection pane="topRight" activeCell="D1" sqref="D1"/>
      <selection pane="bottomLeft" activeCell="A30" sqref="A30"/>
      <selection pane="bottomRight" activeCell="G19" sqref="G19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K2" s="34">
        <f>AVERAGE(K4:K6)</f>
        <v>0.5274956037173274</v>
      </c>
      <c r="O2" s="35">
        <f>AVERAGE(O4:O6)</f>
        <v>44.043236940192998</v>
      </c>
      <c r="P2" s="46">
        <f t="shared" ref="P2:R2" si="0">AVERAGE(P4:P6)</f>
        <v>19.498652418866573</v>
      </c>
      <c r="Q2" s="46">
        <f t="shared" si="0"/>
        <v>17.510096913006091</v>
      </c>
      <c r="R2" s="36">
        <f t="shared" si="0"/>
        <v>13.665856077349924</v>
      </c>
    </row>
    <row r="3" spans="2:23" x14ac:dyDescent="0.2">
      <c r="B3" s="17" t="s">
        <v>0</v>
      </c>
      <c r="C3" s="18" t="s">
        <v>1</v>
      </c>
      <c r="D3" s="19" t="s">
        <v>2</v>
      </c>
      <c r="E3" s="20" t="s">
        <v>3</v>
      </c>
      <c r="F3" s="21" t="s">
        <v>4</v>
      </c>
      <c r="G3" s="21" t="s">
        <v>5</v>
      </c>
      <c r="H3" s="21" t="s">
        <v>227</v>
      </c>
      <c r="I3" s="21" t="s">
        <v>6</v>
      </c>
      <c r="J3" s="22" t="s">
        <v>222</v>
      </c>
      <c r="K3" s="22" t="s">
        <v>226</v>
      </c>
      <c r="L3" s="22" t="s">
        <v>223</v>
      </c>
      <c r="M3" s="22" t="s">
        <v>224</v>
      </c>
      <c r="N3" s="23" t="s">
        <v>225</v>
      </c>
      <c r="O3" s="24">
        <v>2022</v>
      </c>
      <c r="P3" s="45">
        <v>2023</v>
      </c>
      <c r="Q3" s="45">
        <v>2024</v>
      </c>
      <c r="R3" s="23">
        <v>2025</v>
      </c>
      <c r="S3" s="24">
        <v>2022</v>
      </c>
      <c r="T3" s="22">
        <v>2023</v>
      </c>
      <c r="U3" s="22">
        <v>2024</v>
      </c>
      <c r="V3" s="23">
        <v>2025</v>
      </c>
      <c r="W3" s="25" t="s">
        <v>228</v>
      </c>
    </row>
    <row r="4" spans="2:23" x14ac:dyDescent="0.2">
      <c r="B4" s="5" t="s">
        <v>7</v>
      </c>
      <c r="C4" s="25" t="s">
    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s="27">
        <f>+E4-F4</f>
        <v>1836894</v>
      </c>
      <c r="H4" s="27">
        <f>+[1]Main!$L$3</f>
        <v>7534</v>
      </c>
      <c r="I4" s="28" t="s">
        <v>14</v>
      </c>
      <c r="J4" s="33">
        <f>+[1]Model!$AH$32</f>
        <v>240.35788054423469</v>
      </c>
      <c r="K4" s="34">
        <f>J4/D4-1</f>
        <v>-4.6198886729227451E-2</v>
      </c>
      <c r="L4" s="34">
        <f>+[1]Model!$AH$29</f>
        <v>7.0000000000000007E-2</v>
      </c>
      <c r="M4" s="34">
        <f>+[1]Model!$AH$28</f>
        <v>0</v>
      </c>
      <c r="N4" s="34">
        <f>+[1]Model!$AH$30</f>
        <v>0.01</v>
      </c>
    </row>
    <row r="5" spans="2:23" x14ac:dyDescent="0.2">
      <c r="B5" s="5" t="s">
        <v>9</v>
      </c>
      <c r="C5" s="25" t="s">
        <v>10</v>
      </c>
      <c r="D5" s="26">
        <v>105.44</v>
      </c>
      <c r="E5" s="27">
        <f>D5*[2]Main!$L$3</f>
        <v>1395920.16</v>
      </c>
      <c r="F5" s="27">
        <f>[2]Main!$L$5-[2]Main!$L$6</f>
        <v>140928</v>
      </c>
      <c r="G5" s="27">
        <f>+E5-F5</f>
        <v>1254992.1599999999</v>
      </c>
      <c r="H5" s="27">
        <f>[2]Main!$L$3</f>
        <v>13239</v>
      </c>
      <c r="I5" s="28" t="s">
        <v>214</v>
      </c>
      <c r="J5" s="33">
        <f>+[2]Model!$AF$32</f>
        <v>179.60004861383993</v>
      </c>
      <c r="K5" s="34">
        <f>J5/D5-1</f>
        <v>0.70333885255917994</v>
      </c>
      <c r="L5" s="34">
        <f>+[2]Model!$AF$29</f>
        <v>0.08</v>
      </c>
      <c r="M5" s="34">
        <f>+[2]Model!$AF$28</f>
        <v>-0.01</v>
      </c>
      <c r="N5" s="34">
        <f>+[2]Model!$AF$30</f>
        <v>0.01</v>
      </c>
      <c r="O5" s="35">
        <f>+($G5/$H5)/S5</f>
        <v>17.026272726826235</v>
      </c>
      <c r="P5" s="36">
        <f>+($G5/$H5)/T5</f>
        <v>14.645179621110156</v>
      </c>
      <c r="Q5" s="36">
        <f>+($G5/$H5)/U5</f>
        <v>12.490319735060142</v>
      </c>
      <c r="R5" s="37">
        <f>+($G5/$H5)/V5</f>
        <v>10.772106224349255</v>
      </c>
      <c r="S5" s="38">
        <f>+[2]Model!U25</f>
        <v>5.5675771651937485</v>
      </c>
      <c r="T5" s="39">
        <f>+[2]Model!V25</f>
        <v>6.4727841989453889</v>
      </c>
      <c r="U5" s="39">
        <f>+[2]Model!W25</f>
        <v>7.5894844369876644</v>
      </c>
      <c r="V5" s="40">
        <f>+[2]Model!X25</f>
        <v>8.800051286902848</v>
      </c>
    </row>
    <row r="6" spans="2:23" x14ac:dyDescent="0.2">
      <c r="B6" s="5" t="s">
        <v>11</v>
      </c>
      <c r="C6" s="25" t="s">
        <v>12</v>
      </c>
      <c r="D6" s="26">
        <v>121.12</v>
      </c>
      <c r="E6" s="27">
        <f>+D6*[3]Main!$K$3</f>
        <v>1232396</v>
      </c>
      <c r="F6" s="27">
        <f>[3]Main!$K$5-[3]Main!$K$6</f>
        <v>18829</v>
      </c>
      <c r="G6" s="27">
        <f>+E6-F6</f>
        <v>1213567</v>
      </c>
      <c r="H6" s="27">
        <f>+[3]Main!$K$3</f>
        <v>10175</v>
      </c>
      <c r="I6" s="28" t="s">
        <v>14</v>
      </c>
      <c r="J6" s="33">
        <f>+[3]Model!$BG$47</f>
        <v>233.19800990540423</v>
      </c>
      <c r="K6" s="34">
        <f>J6/D6-1</f>
        <v>0.92534684532202971</v>
      </c>
      <c r="L6" s="44">
        <f>+[3]Model!$BG$43</f>
        <v>7.0000000000000007E-2</v>
      </c>
      <c r="M6" s="34">
        <f>+[3]Model!$BG$45</f>
        <v>0</v>
      </c>
      <c r="N6" s="34">
        <f>+[3]Model!$BG$44</f>
        <v>0.01</v>
      </c>
      <c r="O6" s="35">
        <f t="shared" ref="O6:R6" si="1">+($G6/$H6)/S6</f>
        <v>71.06020115355976</v>
      </c>
      <c r="P6" s="36">
        <f t="shared" si="1"/>
        <v>24.352125216622991</v>
      </c>
      <c r="Q6" s="36">
        <f t="shared" si="1"/>
        <v>22.529874090952042</v>
      </c>
      <c r="R6" s="37">
        <f t="shared" si="1"/>
        <v>16.559605930350592</v>
      </c>
      <c r="S6" s="38">
        <f>+[3]Model!$AV$34</f>
        <v>1.6784287420147448</v>
      </c>
      <c r="T6" s="39">
        <f>+[3]Model!$AW$34</f>
        <v>4.897703299754288</v>
      </c>
      <c r="U6" s="39">
        <f>+[3]Model!$AX$34</f>
        <v>5.2938371314459518</v>
      </c>
      <c r="V6" s="40">
        <f>+[3]Model!$AY$34</f>
        <v>7.2024349209232001</v>
      </c>
    </row>
    <row r="7" spans="2:23" x14ac:dyDescent="0.2">
      <c r="B7" s="5" t="s">
        <v>13</v>
      </c>
      <c r="C7" s="25" t="s">
        <v>209</v>
      </c>
      <c r="D7" s="26">
        <v>175.57</v>
      </c>
      <c r="E7" s="27">
        <f>+D7*[4]Main!$M$3</f>
        <v>481412.94</v>
      </c>
      <c r="F7" s="27">
        <f>+[4]Main!$M$5-[4]Main!$M$6</f>
        <v>43890</v>
      </c>
      <c r="G7" s="27">
        <f>+E7-F7</f>
        <v>437522.94</v>
      </c>
      <c r="H7" s="27">
        <f>+[4]Main!$M$3</f>
        <v>2742</v>
      </c>
      <c r="I7" s="28" t="s">
        <v>14</v>
      </c>
      <c r="W7" s="25">
        <v>2004</v>
      </c>
    </row>
    <row r="8" spans="2:23" x14ac:dyDescent="0.2">
      <c r="B8" s="5" t="s">
        <v>15</v>
      </c>
      <c r="C8" s="25" t="s">
        <v>16</v>
      </c>
      <c r="D8" s="26">
        <v>391.4</v>
      </c>
      <c r="E8" s="27">
        <f>+D8*[5]Main!$L$3*1000/HKD</f>
        <v>475575.58154347877</v>
      </c>
      <c r="F8" s="27">
        <f>([5]Main!$L$5-[5]Main!$L$6)/HKD*1000</f>
        <v>97072.536879920503</v>
      </c>
      <c r="G8" s="27">
        <f>+E8-F8</f>
        <v>378503.04466355825</v>
      </c>
      <c r="H8" s="27"/>
      <c r="I8" s="28" t="s">
        <v>14</v>
      </c>
    </row>
    <row r="9" spans="2:23" x14ac:dyDescent="0.2">
      <c r="B9" s="5" t="s">
        <v>23</v>
      </c>
      <c r="C9" s="25" t="s">
        <v>24</v>
      </c>
      <c r="D9" s="26">
        <v>71.02</v>
      </c>
      <c r="E9" s="27">
        <f>+D9*[6]Main!$G$3</f>
        <v>194736.84</v>
      </c>
      <c r="F9" s="27">
        <f>+[6]Main!$G$5-[6]Main!$G$6</f>
        <v>-53957</v>
      </c>
      <c r="G9" s="27">
        <f>E9-F9</f>
        <v>248693.84</v>
      </c>
      <c r="H9" s="27"/>
      <c r="I9" s="28" t="s">
        <v>14</v>
      </c>
    </row>
    <row r="10" spans="2:23" x14ac:dyDescent="0.2">
      <c r="B10" s="5" t="s">
        <v>17</v>
      </c>
      <c r="C10" s="25" t="s">
        <v>18</v>
      </c>
      <c r="D10" s="26">
        <v>115.9</v>
      </c>
      <c r="E10" s="27">
        <f>D10*[7]Main!$L$3</f>
        <v>310046.98749999999</v>
      </c>
      <c r="F10" s="27" cm="1">
        <f t="array" ref="F10">([7]Main!$L$5-[7]Main!$L$6)/RMB</f>
        <v>119719.43620178041</v>
      </c>
      <c r="G10" s="27">
        <f>+E10-F10</f>
        <v>190327.55129821959</v>
      </c>
      <c r="H10" s="27"/>
      <c r="I10" s="28" t="s">
        <v>14</v>
      </c>
    </row>
    <row r="11" spans="2:23" x14ac:dyDescent="0.2">
      <c r="B11" s="5" t="s">
        <v>19</v>
      </c>
      <c r="C11" s="25" t="s">
        <v>20</v>
      </c>
      <c r="D11" s="26">
        <v>393.84</v>
      </c>
      <c r="E11" s="27">
        <f>+D11*[8]Main!$N$3</f>
        <v>186089.4</v>
      </c>
      <c r="F11" s="27">
        <f>+[8]Main!$N$5-[8]Main!$N$6</f>
        <v>1173</v>
      </c>
      <c r="G11" s="27">
        <f>+E11-F11</f>
        <v>184916.4</v>
      </c>
      <c r="H11" s="27"/>
      <c r="I11" s="28" t="s">
        <v>214</v>
      </c>
    </row>
    <row r="12" spans="2:23" x14ac:dyDescent="0.2">
      <c r="B12" s="5" t="s">
        <v>21</v>
      </c>
      <c r="C12" s="25" t="s">
        <v>22</v>
      </c>
      <c r="D12" s="26">
        <v>189</v>
      </c>
      <c r="E12" s="27">
        <f>+D12*[9]Main!$M$3</f>
        <v>188055</v>
      </c>
      <c r="F12" s="27">
        <f>+[9]Main!$M$5-[9]Main!$M$6</f>
        <v>7842</v>
      </c>
      <c r="G12" s="27">
        <f t="shared" ref="G12:G22" si="2">E12-F12</f>
        <v>180213</v>
      </c>
      <c r="H12" s="27"/>
      <c r="I12" s="28" t="s">
        <v>14</v>
      </c>
    </row>
    <row r="13" spans="2:23" x14ac:dyDescent="0.2">
      <c r="B13" s="5" t="s">
        <v>25</v>
      </c>
      <c r="C13" s="25" t="s">
        <v>25</v>
      </c>
      <c r="D13" s="26">
        <v>99.86</v>
      </c>
      <c r="E13" s="27">
        <f>+D13*[10]Main!$L$3</f>
        <v>117834.8</v>
      </c>
      <c r="F13" s="27">
        <f>+[10]Main!$L$5-[10]Main!$L$6</f>
        <v>870</v>
      </c>
      <c r="G13" s="27">
        <f t="shared" si="2"/>
        <v>116964.8</v>
      </c>
      <c r="H13" s="27"/>
      <c r="I13" s="28" t="s">
        <v>14</v>
      </c>
    </row>
    <row r="14" spans="2:23" x14ac:dyDescent="0.2">
      <c r="B14" s="5" t="s">
        <v>26</v>
      </c>
      <c r="C14" s="25" t="s">
        <v>27</v>
      </c>
      <c r="D14" s="26">
        <v>413.72</v>
      </c>
      <c r="E14" s="27">
        <f>D14*[11]Main!$L$3</f>
        <v>118323.92000000001</v>
      </c>
      <c r="F14" s="27">
        <f>[11]Main!$L$5-[11]Main!$L$6</f>
        <v>-2851</v>
      </c>
      <c r="G14" s="27">
        <f t="shared" si="2"/>
        <v>121174.92000000001</v>
      </c>
      <c r="H14" s="27"/>
      <c r="I14" s="28" t="s">
        <v>14</v>
      </c>
    </row>
    <row r="15" spans="2:23" x14ac:dyDescent="0.2">
      <c r="B15" s="5" t="s">
        <v>29</v>
      </c>
      <c r="C15" s="25" t="s">
        <v>30</v>
      </c>
      <c r="D15" s="26">
        <v>440</v>
      </c>
      <c r="E15" s="27">
        <f>+D15*[12]Main!$L$3</f>
        <v>88000</v>
      </c>
      <c r="F15" s="27">
        <f>+[12]Main!$L$5-[12]Main!$L$6</f>
        <v>3926</v>
      </c>
      <c r="G15" s="27">
        <f t="shared" si="2"/>
        <v>84074</v>
      </c>
      <c r="H15" s="27"/>
      <c r="I15" s="28" t="s">
        <v>14</v>
      </c>
    </row>
    <row r="16" spans="2:23" x14ac:dyDescent="0.2">
      <c r="B16" s="5" t="s">
        <v>189</v>
      </c>
      <c r="C16" s="25" t="s">
        <v>190</v>
      </c>
      <c r="D16" s="26">
        <v>39.74</v>
      </c>
      <c r="E16" s="27">
        <f>+D16*[13]Main!$L$3*EUR</f>
        <v>53089.738980000009</v>
      </c>
      <c r="F16" s="27">
        <f>+([13]Main!$L$5-[13]Main!$L$6)*EUR</f>
        <v>-490.25400000000008</v>
      </c>
      <c r="G16" s="27">
        <f t="shared" si="2"/>
        <v>53579.99298000001</v>
      </c>
      <c r="H16" s="27"/>
      <c r="I16" s="28" t="s">
        <v>214</v>
      </c>
    </row>
    <row r="17" spans="2:23" x14ac:dyDescent="0.2">
      <c r="B17" s="5" t="s">
        <v>48</v>
      </c>
      <c r="C17" s="25" t="s">
        <v>49</v>
      </c>
      <c r="D17" s="26">
        <v>186</v>
      </c>
      <c r="E17" s="27">
        <f>+D17*H17</f>
        <v>51584.495999999999</v>
      </c>
      <c r="F17" s="27">
        <f>+[22]Main!$K$5-[22]Main!$K$6</f>
        <v>741.35200000000009</v>
      </c>
      <c r="G17" s="27">
        <f>E17-F17</f>
        <v>50843.144</v>
      </c>
      <c r="H17" s="27">
        <f>+[22]Main!$K$3</f>
        <v>277.33600000000001</v>
      </c>
      <c r="I17" s="49" t="s">
        <v>235</v>
      </c>
    </row>
    <row r="18" spans="2:23" x14ac:dyDescent="0.2">
      <c r="B18" s="5" t="s">
        <v>40</v>
      </c>
      <c r="C18" s="25" t="s">
        <v>41</v>
      </c>
      <c r="D18" s="26">
        <v>200.8</v>
      </c>
      <c r="E18" s="27">
        <f>+D18*[14]Main!$L$3</f>
        <v>50947.578400000006</v>
      </c>
      <c r="F18" s="27">
        <f>+[14]Main!$L$5-[14]Main!$L$6</f>
        <v>432.39900000000011</v>
      </c>
      <c r="G18" s="27">
        <f>E18-F18</f>
        <v>50515.179400000008</v>
      </c>
      <c r="H18" s="27">
        <f>+[14]Main!$L$3</f>
        <v>253.72300000000001</v>
      </c>
      <c r="I18" s="41" t="s">
        <v>14</v>
      </c>
    </row>
    <row r="19" spans="2:23" x14ac:dyDescent="0.2">
      <c r="B19" s="5" t="s">
        <v>46</v>
      </c>
      <c r="C19" s="25" t="s">
        <v>47</v>
      </c>
      <c r="D19" s="26">
        <v>203.73</v>
      </c>
      <c r="E19" s="27">
        <f>+D19*H19</f>
        <v>44264.86632465</v>
      </c>
      <c r="F19" s="27">
        <f>+[15]Main!$L$5-[15]Main!$L$6</f>
        <v>-1005</v>
      </c>
      <c r="G19" s="27">
        <f>E19-F19</f>
        <v>45269.86632465</v>
      </c>
      <c r="H19" s="27">
        <f>+[15]Main!$L$3</f>
        <v>217.27220500000001</v>
      </c>
      <c r="I19" s="47" t="s">
        <v>14</v>
      </c>
      <c r="W19" s="25">
        <v>1982</v>
      </c>
    </row>
    <row r="20" spans="2:23" x14ac:dyDescent="0.2">
      <c r="B20" s="5" t="s">
        <v>36</v>
      </c>
      <c r="C20" s="25" t="s">
        <v>37</v>
      </c>
      <c r="D20" s="26">
        <v>36.71</v>
      </c>
      <c r="E20" s="27">
        <f>+D20*[16]Main!$M$3</f>
        <v>46254.6</v>
      </c>
      <c r="F20" s="27">
        <f>+[16]Main!$M$5-[16]Main!$M$6</f>
        <v>6335.1410000000005</v>
      </c>
      <c r="G20" s="27">
        <f t="shared" si="2"/>
        <v>39919.458999999995</v>
      </c>
      <c r="H20" s="27"/>
      <c r="I20" s="28" t="s">
        <v>14</v>
      </c>
    </row>
    <row r="21" spans="2:23" x14ac:dyDescent="0.2">
      <c r="B21" s="5" t="s">
        <v>44</v>
      </c>
      <c r="C21" s="25" t="s">
        <v>45</v>
      </c>
      <c r="D21" s="26">
        <v>135.57</v>
      </c>
      <c r="E21" s="27">
        <f>+D21*[17]Main!$M$3</f>
        <v>42617.920769999997</v>
      </c>
      <c r="F21" s="27">
        <f>+[17]Main!$M$5-[17]Main!$M$6</f>
        <v>5027.4579999999996</v>
      </c>
      <c r="G21" s="27">
        <f>E21-F21</f>
        <v>37590.462769999998</v>
      </c>
      <c r="H21" s="27">
        <f>+[17]Main!$M$3</f>
        <v>314.36099999999999</v>
      </c>
      <c r="I21" s="43" t="s">
        <v>14</v>
      </c>
    </row>
    <row r="22" spans="2:23" x14ac:dyDescent="0.2">
      <c r="B22" s="5" t="s">
        <v>38</v>
      </c>
      <c r="C22" s="25" t="s">
        <v>39</v>
      </c>
      <c r="D22" s="26">
        <v>152.88</v>
      </c>
      <c r="E22" s="27">
        <f>+D22*[18]Main!$L$3</f>
        <v>52877.369999999995</v>
      </c>
      <c r="F22" s="27">
        <f>([18]Main!$L$5-[18]Main!$L$6)/RMB</f>
        <v>25459.792284866468</v>
      </c>
      <c r="G22" s="27">
        <f t="shared" si="2"/>
        <v>27417.577715133528</v>
      </c>
      <c r="H22" s="27">
        <f>+[18]Main!$L$3</f>
        <v>345.875</v>
      </c>
      <c r="I22" s="28" t="s">
        <v>14</v>
      </c>
      <c r="W22" s="25">
        <v>2000</v>
      </c>
    </row>
    <row r="23" spans="2:23" x14ac:dyDescent="0.2">
      <c r="B23" s="25" t="s">
        <v>193</v>
      </c>
      <c r="C23" s="25" t="s">
        <v>194</v>
      </c>
    </row>
    <row r="24" spans="2:23" x14ac:dyDescent="0.2">
      <c r="B24" s="25" t="s">
        <v>50</v>
      </c>
      <c r="C24" s="25" t="s">
        <v>51</v>
      </c>
      <c r="D24" s="26">
        <v>160.03</v>
      </c>
      <c r="E24" s="27">
        <v>40648</v>
      </c>
    </row>
    <row r="25" spans="2:23" x14ac:dyDescent="0.2">
      <c r="B25" s="25" t="s">
        <v>191</v>
      </c>
      <c r="C25" s="25" t="s">
        <v>192</v>
      </c>
    </row>
    <row r="26" spans="2:23" x14ac:dyDescent="0.2">
      <c r="B26" s="25" t="s">
        <v>184</v>
      </c>
      <c r="C26" s="25" t="s">
        <v>185</v>
      </c>
    </row>
    <row r="27" spans="2:23" x14ac:dyDescent="0.2">
      <c r="B27" s="25" t="s">
        <v>186</v>
      </c>
      <c r="C27" s="25" t="s">
        <v>187</v>
      </c>
    </row>
    <row r="28" spans="2:23" x14ac:dyDescent="0.2">
      <c r="B28" s="25" t="s">
        <v>52</v>
      </c>
      <c r="C28" s="25" t="s">
        <v>53</v>
      </c>
      <c r="D28" s="26">
        <v>107.93</v>
      </c>
      <c r="E28" s="27">
        <v>34000</v>
      </c>
    </row>
    <row r="29" spans="2:23" x14ac:dyDescent="0.2">
      <c r="B29" s="25" t="s">
        <v>55</v>
      </c>
      <c r="E29" s="27">
        <v>30000</v>
      </c>
    </row>
    <row r="30" spans="2:23" x14ac:dyDescent="0.2">
      <c r="B30" s="25" t="s">
        <v>56</v>
      </c>
      <c r="C30" s="25" t="s">
        <v>57</v>
      </c>
      <c r="D30" s="26">
        <v>54.71</v>
      </c>
      <c r="E30" s="27">
        <v>28410</v>
      </c>
    </row>
    <row r="31" spans="2:23" x14ac:dyDescent="0.2">
      <c r="B31" s="25" t="s">
        <v>58</v>
      </c>
      <c r="E31" s="27">
        <v>27000</v>
      </c>
    </row>
    <row r="32" spans="2:23" x14ac:dyDescent="0.2">
      <c r="B32" s="25" t="s">
        <v>62</v>
      </c>
      <c r="C32" s="25" t="s">
        <v>63</v>
      </c>
      <c r="D32" s="26">
        <v>236.61</v>
      </c>
      <c r="E32" s="27">
        <v>23190</v>
      </c>
    </row>
    <row r="33" spans="2:9" x14ac:dyDescent="0.2">
      <c r="B33" s="25" t="s">
        <v>64</v>
      </c>
      <c r="E33" s="27">
        <v>22000</v>
      </c>
    </row>
    <row r="34" spans="2:9" x14ac:dyDescent="0.2">
      <c r="B34" s="5" t="s">
        <v>154</v>
      </c>
      <c r="C34" s="25" t="s">
        <v>155</v>
      </c>
      <c r="D34" s="26">
        <v>9.35</v>
      </c>
      <c r="E34" s="27">
        <f>D34*[19]Main!$L$3</f>
        <v>19036.599999999999</v>
      </c>
      <c r="F34" s="27">
        <f>[19]Main!$L$5-[19]Main!$L$6</f>
        <v>2585</v>
      </c>
      <c r="G34" s="27">
        <f>E34-F34</f>
        <v>16451.599999999999</v>
      </c>
      <c r="H34" s="27"/>
      <c r="I34" s="28" t="s">
        <v>14</v>
      </c>
    </row>
    <row r="35" spans="2:9" x14ac:dyDescent="0.2">
      <c r="B35" s="25" t="s">
        <v>65</v>
      </c>
      <c r="C35" s="25" t="s">
        <v>66</v>
      </c>
      <c r="D35" s="26">
        <v>312</v>
      </c>
      <c r="E35" s="27">
        <v>19090</v>
      </c>
    </row>
    <row r="36" spans="2:9" x14ac:dyDescent="0.2">
      <c r="B36" s="25" t="s">
        <v>67</v>
      </c>
      <c r="C36" s="25" t="s">
        <v>68</v>
      </c>
      <c r="D36" s="26">
        <v>90.1</v>
      </c>
      <c r="E36" s="27">
        <v>18840</v>
      </c>
    </row>
    <row r="37" spans="2:9" x14ac:dyDescent="0.2">
      <c r="B37" s="25" t="s">
        <v>69</v>
      </c>
      <c r="C37" s="25" t="s">
        <v>70</v>
      </c>
      <c r="D37" s="26">
        <v>360.34</v>
      </c>
      <c r="E37" s="27">
        <v>18140</v>
      </c>
    </row>
    <row r="38" spans="2:9" x14ac:dyDescent="0.2">
      <c r="B38" s="25" t="s">
        <v>73</v>
      </c>
      <c r="C38" s="25" t="s">
        <v>74</v>
      </c>
      <c r="D38" s="26">
        <v>43.75</v>
      </c>
      <c r="E38" s="27">
        <v>17180</v>
      </c>
    </row>
    <row r="39" spans="2:9" x14ac:dyDescent="0.2">
      <c r="B39" s="5" t="s">
        <v>75</v>
      </c>
      <c r="C39" s="25" t="s">
        <v>76</v>
      </c>
      <c r="D39" s="26">
        <v>102.23</v>
      </c>
      <c r="E39" s="27">
        <f>+D39*[20]Main!$K$3</f>
        <v>20147.20788088</v>
      </c>
      <c r="F39" s="27">
        <f>+[20]Main!$K$5-[20]Main!$K$6</f>
        <v>3155</v>
      </c>
      <c r="G39" s="27">
        <f>E39-F39</f>
        <v>16992.20788088</v>
      </c>
      <c r="H39" s="27"/>
      <c r="I39" s="28" t="s">
        <v>14</v>
      </c>
    </row>
    <row r="40" spans="2:9" x14ac:dyDescent="0.2">
      <c r="B40" s="25" t="s">
        <v>79</v>
      </c>
      <c r="C40" s="25" t="s">
        <v>80</v>
      </c>
      <c r="D40" s="26">
        <v>40.44</v>
      </c>
      <c r="E40" s="27">
        <v>16810</v>
      </c>
    </row>
    <row r="41" spans="2:9" x14ac:dyDescent="0.2">
      <c r="B41" s="25" t="s">
        <v>195</v>
      </c>
      <c r="C41" s="25" t="s">
        <v>196</v>
      </c>
    </row>
    <row r="42" spans="2:9" x14ac:dyDescent="0.2">
      <c r="B42" s="48" t="s">
        <v>233</v>
      </c>
      <c r="C42" s="48" t="s">
        <v>234</v>
      </c>
    </row>
    <row r="43" spans="2:9" x14ac:dyDescent="0.2">
      <c r="B43" s="25" t="s">
        <v>83</v>
      </c>
      <c r="C43" s="25" t="s">
        <v>84</v>
      </c>
      <c r="D43" s="26">
        <v>63.5</v>
      </c>
      <c r="E43" s="27">
        <v>16440</v>
      </c>
    </row>
    <row r="44" spans="2:9" x14ac:dyDescent="0.2">
      <c r="B44" s="25" t="s">
        <v>197</v>
      </c>
      <c r="C44" s="25" t="s">
        <v>198</v>
      </c>
    </row>
    <row r="45" spans="2:9" x14ac:dyDescent="0.2">
      <c r="B45" s="25" t="s">
        <v>199</v>
      </c>
      <c r="C45" s="25" t="s">
        <v>200</v>
      </c>
    </row>
    <row r="46" spans="2:9" x14ac:dyDescent="0.2">
      <c r="B46" s="25" t="s">
        <v>85</v>
      </c>
      <c r="C46" s="25" t="s">
        <v>86</v>
      </c>
      <c r="D46" s="26">
        <v>363.45</v>
      </c>
      <c r="E46" s="27">
        <v>15250</v>
      </c>
    </row>
    <row r="47" spans="2:9" x14ac:dyDescent="0.2">
      <c r="B47" s="25" t="s">
        <v>79</v>
      </c>
      <c r="C47" s="25" t="s">
        <v>188</v>
      </c>
    </row>
    <row r="48" spans="2:9" x14ac:dyDescent="0.2">
      <c r="B48" s="25" t="s">
        <v>174</v>
      </c>
      <c r="C48" s="25" t="s">
        <v>175</v>
      </c>
    </row>
    <row r="49" spans="2:5" x14ac:dyDescent="0.2">
      <c r="B49" s="25" t="s">
        <v>201</v>
      </c>
      <c r="C49" s="25" t="s">
        <v>202</v>
      </c>
    </row>
    <row r="50" spans="2:5" x14ac:dyDescent="0.2">
      <c r="B50" s="25" t="s">
        <v>207</v>
      </c>
      <c r="C50" s="25" t="s">
        <v>208</v>
      </c>
    </row>
    <row r="51" spans="2:5" x14ac:dyDescent="0.2">
      <c r="B51" s="25" t="s">
        <v>205</v>
      </c>
      <c r="C51" s="25" t="s">
        <v>206</v>
      </c>
    </row>
    <row r="52" spans="2:5" x14ac:dyDescent="0.2">
      <c r="B52" s="25" t="s">
        <v>90</v>
      </c>
      <c r="C52" s="25" t="s">
        <v>91</v>
      </c>
      <c r="D52" s="26">
        <v>135.02000000000001</v>
      </c>
      <c r="E52" s="27">
        <v>14050</v>
      </c>
    </row>
    <row r="53" spans="2:5" x14ac:dyDescent="0.2">
      <c r="B53" s="25" t="s">
        <v>92</v>
      </c>
      <c r="C53" s="25" t="s">
        <v>93</v>
      </c>
      <c r="D53" s="26">
        <v>206.61</v>
      </c>
      <c r="E53" s="27">
        <v>13880</v>
      </c>
    </row>
    <row r="54" spans="2:5" x14ac:dyDescent="0.2">
      <c r="B54" s="25" t="s">
        <v>94</v>
      </c>
      <c r="C54" s="25" t="s">
        <v>94</v>
      </c>
      <c r="D54" s="26">
        <v>115.52</v>
      </c>
      <c r="E54" s="27">
        <v>13640</v>
      </c>
    </row>
    <row r="55" spans="2:5" x14ac:dyDescent="0.2">
      <c r="B55" s="25" t="s">
        <v>95</v>
      </c>
      <c r="C55" s="25" t="s">
        <v>95</v>
      </c>
      <c r="D55" s="26">
        <v>206.68</v>
      </c>
      <c r="E55" s="27">
        <v>12990</v>
      </c>
    </row>
    <row r="56" spans="2:5" x14ac:dyDescent="0.2">
      <c r="B56" s="25" t="s">
        <v>96</v>
      </c>
      <c r="C56" s="25" t="s">
        <v>97</v>
      </c>
      <c r="D56" s="26">
        <v>43.77</v>
      </c>
      <c r="E56" s="27">
        <v>12660</v>
      </c>
    </row>
    <row r="57" spans="2:5" x14ac:dyDescent="0.2">
      <c r="B57" s="25" t="s">
        <v>100</v>
      </c>
      <c r="C57" s="25" t="s">
        <v>101</v>
      </c>
      <c r="D57" s="26">
        <v>98.74</v>
      </c>
      <c r="E57" s="27">
        <v>12490</v>
      </c>
    </row>
    <row r="58" spans="2:5" x14ac:dyDescent="0.2">
      <c r="B58" s="25" t="s">
        <v>102</v>
      </c>
      <c r="C58" s="25" t="s">
        <v>103</v>
      </c>
      <c r="D58" s="26">
        <v>40.369999999999997</v>
      </c>
      <c r="E58" s="27">
        <v>11000</v>
      </c>
    </row>
    <row r="59" spans="2:5" x14ac:dyDescent="0.2">
      <c r="B59" s="25" t="s">
        <v>104</v>
      </c>
      <c r="C59" s="25" t="s">
        <v>105</v>
      </c>
      <c r="D59" s="26">
        <v>408.48</v>
      </c>
      <c r="E59" s="27">
        <v>10570</v>
      </c>
    </row>
    <row r="60" spans="2:5" x14ac:dyDescent="0.2">
      <c r="B60" s="25" t="s">
        <v>108</v>
      </c>
      <c r="C60" s="25" t="s">
        <v>109</v>
      </c>
      <c r="D60" s="26">
        <v>80.52</v>
      </c>
      <c r="E60" s="27">
        <v>10310</v>
      </c>
    </row>
    <row r="61" spans="2:5" x14ac:dyDescent="0.2">
      <c r="B61" s="25" t="s">
        <v>110</v>
      </c>
      <c r="C61" s="25" t="s">
        <v>111</v>
      </c>
      <c r="D61" s="26">
        <v>35.200000000000003</v>
      </c>
      <c r="E61" s="27">
        <v>10210</v>
      </c>
    </row>
    <row r="62" spans="2:5" x14ac:dyDescent="0.2">
      <c r="B62" s="25" t="s">
        <v>112</v>
      </c>
      <c r="E62" s="27">
        <v>10000</v>
      </c>
    </row>
    <row r="63" spans="2:5" x14ac:dyDescent="0.2">
      <c r="B63" s="25" t="s">
        <v>113</v>
      </c>
      <c r="C63" s="25" t="s">
        <v>114</v>
      </c>
      <c r="D63" s="26">
        <v>8.17</v>
      </c>
      <c r="E63" s="27">
        <v>9320</v>
      </c>
    </row>
    <row r="64" spans="2:5" x14ac:dyDescent="0.2">
      <c r="B64" s="25" t="s">
        <v>115</v>
      </c>
      <c r="C64" s="25" t="s">
        <v>116</v>
      </c>
      <c r="D64" s="26">
        <v>14.73</v>
      </c>
      <c r="E64" s="27">
        <v>9140</v>
      </c>
    </row>
    <row r="65" spans="2:5" x14ac:dyDescent="0.2">
      <c r="B65" s="25" t="s">
        <v>117</v>
      </c>
      <c r="C65" s="25" t="s">
        <v>118</v>
      </c>
      <c r="D65" s="26">
        <v>56.9</v>
      </c>
      <c r="E65" s="27">
        <v>9000</v>
      </c>
    </row>
    <row r="66" spans="2:5" x14ac:dyDescent="0.2">
      <c r="B66" s="25" t="s">
        <v>119</v>
      </c>
      <c r="C66" s="25" t="s">
        <v>120</v>
      </c>
      <c r="D66" s="26">
        <v>203.42</v>
      </c>
      <c r="E66" s="27">
        <v>8580</v>
      </c>
    </row>
    <row r="67" spans="2:5" x14ac:dyDescent="0.2">
      <c r="B67" s="25" t="s">
        <v>122</v>
      </c>
      <c r="C67" s="25" t="s">
        <v>123</v>
      </c>
      <c r="D67" s="26">
        <v>126.81</v>
      </c>
      <c r="E67" s="27">
        <v>8200</v>
      </c>
    </row>
    <row r="68" spans="2:5" x14ac:dyDescent="0.2">
      <c r="B68" s="25" t="s">
        <v>124</v>
      </c>
      <c r="C68" s="25" t="s">
        <v>125</v>
      </c>
      <c r="D68" s="26">
        <v>50.35</v>
      </c>
      <c r="E68" s="27">
        <v>8150</v>
      </c>
    </row>
    <row r="69" spans="2:5" x14ac:dyDescent="0.2">
      <c r="B69" s="25" t="s">
        <v>126</v>
      </c>
      <c r="E69" s="27">
        <v>8000</v>
      </c>
    </row>
    <row r="70" spans="2:5" x14ac:dyDescent="0.2">
      <c r="B70" s="25" t="s">
        <v>127</v>
      </c>
      <c r="C70" s="25" t="s">
        <v>128</v>
      </c>
      <c r="D70" s="26">
        <v>88.7</v>
      </c>
      <c r="E70" s="27">
        <v>7910</v>
      </c>
    </row>
    <row r="71" spans="2:5" x14ac:dyDescent="0.2">
      <c r="B71" s="25" t="s">
        <v>129</v>
      </c>
      <c r="C71" s="25" t="s">
        <v>130</v>
      </c>
      <c r="D71" s="26">
        <v>78.3</v>
      </c>
      <c r="E71" s="27">
        <v>7580</v>
      </c>
    </row>
    <row r="72" spans="2:5" x14ac:dyDescent="0.2">
      <c r="B72" s="25" t="s">
        <v>131</v>
      </c>
      <c r="C72" s="25" t="s">
        <v>132</v>
      </c>
      <c r="D72" s="26">
        <v>50.36</v>
      </c>
      <c r="E72" s="27">
        <v>7140</v>
      </c>
    </row>
    <row r="73" spans="2:5" x14ac:dyDescent="0.2">
      <c r="B73" s="25" t="s">
        <v>133</v>
      </c>
      <c r="C73" s="25" t="s">
        <v>134</v>
      </c>
      <c r="D73" s="26">
        <v>80.58</v>
      </c>
      <c r="E73" s="27">
        <v>6930</v>
      </c>
    </row>
    <row r="74" spans="2:5" x14ac:dyDescent="0.2">
      <c r="B74" s="25" t="s">
        <v>135</v>
      </c>
      <c r="C74" s="25" t="s">
        <v>136</v>
      </c>
      <c r="D74" s="26">
        <v>32.869999999999997</v>
      </c>
      <c r="E74" s="27">
        <v>6880</v>
      </c>
    </row>
    <row r="75" spans="2:5" x14ac:dyDescent="0.2">
      <c r="B75" s="25" t="s">
        <v>137</v>
      </c>
      <c r="C75" s="25" t="s">
        <v>138</v>
      </c>
      <c r="D75" s="26">
        <v>17.63</v>
      </c>
      <c r="E75" s="27">
        <v>6480</v>
      </c>
    </row>
    <row r="76" spans="2:5" x14ac:dyDescent="0.2">
      <c r="B76" s="25" t="s">
        <v>139</v>
      </c>
      <c r="C76" s="25" t="s">
        <v>140</v>
      </c>
      <c r="D76" s="26">
        <v>54.6</v>
      </c>
      <c r="E76" s="27">
        <v>6370</v>
      </c>
    </row>
    <row r="77" spans="2:5" x14ac:dyDescent="0.2">
      <c r="B77" s="25" t="s">
        <v>141</v>
      </c>
      <c r="C77" s="25" t="s">
        <v>142</v>
      </c>
      <c r="D77" s="26">
        <v>62.59</v>
      </c>
      <c r="E77" s="27">
        <v>6350</v>
      </c>
    </row>
    <row r="78" spans="2:5" x14ac:dyDescent="0.2">
      <c r="B78" s="25" t="s">
        <v>143</v>
      </c>
      <c r="C78" s="25" t="s">
        <v>143</v>
      </c>
      <c r="D78" s="26">
        <v>62.71</v>
      </c>
      <c r="E78" s="27">
        <v>3603</v>
      </c>
    </row>
    <row r="79" spans="2:5" x14ac:dyDescent="0.2">
      <c r="B79" s="25" t="s">
        <v>144</v>
      </c>
      <c r="C79" s="25" t="s">
        <v>145</v>
      </c>
      <c r="D79" s="26">
        <v>21.19</v>
      </c>
      <c r="E79" s="27">
        <v>2965</v>
      </c>
    </row>
    <row r="80" spans="2:5" x14ac:dyDescent="0.2">
      <c r="B80" s="25" t="s">
        <v>149</v>
      </c>
      <c r="C80" s="25" t="s">
        <v>150</v>
      </c>
      <c r="D80" s="26">
        <v>26.99</v>
      </c>
      <c r="E80" s="27">
        <v>1400</v>
      </c>
    </row>
    <row r="81" spans="2:3" x14ac:dyDescent="0.2">
      <c r="B81" s="42" t="s">
        <v>229</v>
      </c>
      <c r="C81" s="42" t="s">
        <v>230</v>
      </c>
    </row>
    <row r="82" spans="2:3" x14ac:dyDescent="0.2">
      <c r="B82" s="42" t="s">
        <v>231</v>
      </c>
      <c r="C82" s="42" t="s">
        <v>232</v>
      </c>
    </row>
  </sheetData>
  <hyperlinks>
    <hyperlink ref="B39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4" r:id="rId13" xr:uid="{5A1A0BF1-1F9D-453A-8615-32812BE41A68}"/>
    <hyperlink ref="B15" r:id="rId14" xr:uid="{8967E115-2924-419A-9BD1-6441F95A80FF}"/>
    <hyperlink ref="B16" r:id="rId15" xr:uid="{A7E983F7-BC7A-4B3D-8444-6070EF708DDF}"/>
    <hyperlink ref="B20" r:id="rId16" xr:uid="{CB288269-AD44-4B2E-90F5-6FB8081BF962}"/>
    <hyperlink ref="B22" r:id="rId17" xr:uid="{831B52E7-EF7A-4831-8425-59EAD7D0F934}"/>
    <hyperlink ref="B18" r:id="rId18" xr:uid="{2AE55E96-1BEF-428E-AB42-3AD9978D13D8}"/>
    <hyperlink ref="B21" r:id="rId19" xr:uid="{DC9040DF-9172-464B-9C24-1B175E7FEE7E}"/>
    <hyperlink ref="B19" r:id="rId20" xr:uid="{C691107C-F03A-4EB9-887D-F480D084DC80}"/>
    <hyperlink ref="B17" r:id="rId21" xr:uid="{C9E770CD-C0F9-437F-A1F8-A5EC0DD0B08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+D6*[21]Main!$K$3</f>
        <v>16302.031699999998</v>
      </c>
      <c r="F6" s="3">
        <f>+[21]Main!$K$5-[21]Main!$K$6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2022-08-08T01:22:46Z</dcterms:modified>
  <cp:category/>
  <cp:contentStatus/>
</cp:coreProperties>
</file>