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35F58B19-4146-4727-99E6-A0E7750F9FE8}" xr6:coauthVersionLast="47" xr6:coauthVersionMax="47" xr10:uidLastSave="{00000000-0000-0000-0000-000000000000}"/>
  <bookViews>
    <workbookView xWindow="-28410" yWindow="1200" windowWidth="25080" windowHeight="1854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31" i="1" l="1"/>
  <c r="L431" i="1"/>
  <c r="H431" i="1" s="1"/>
  <c r="I243" i="1"/>
  <c r="L243" i="1"/>
  <c r="H243" i="1" s="1"/>
  <c r="I438" i="1"/>
  <c r="L438" i="1"/>
  <c r="H438" i="1" s="1"/>
  <c r="J431" i="1" l="1"/>
  <c r="J243" i="1"/>
  <c r="J438" i="1"/>
  <c r="K6" i="1"/>
  <c r="I240" i="1" l="1"/>
  <c r="L240" i="1"/>
  <c r="H240" i="1" s="1"/>
  <c r="J240" i="1" l="1"/>
  <c r="I210" i="1"/>
  <c r="L210" i="1"/>
  <c r="H210" i="1" s="1"/>
  <c r="I244" i="1"/>
  <c r="L244" i="1"/>
  <c r="H244" i="1" s="1"/>
  <c r="J210" i="1" l="1"/>
  <c r="J244" i="1"/>
  <c r="I369" i="1"/>
  <c r="L369" i="1"/>
  <c r="H369" i="1" s="1"/>
  <c r="J369" i="1" l="1"/>
  <c r="I83" i="1" l="1"/>
  <c r="L83" i="1"/>
  <c r="H83" i="1" s="1"/>
  <c r="I368" i="1"/>
  <c r="L368" i="1"/>
  <c r="H368" i="1" s="1"/>
  <c r="I437" i="1"/>
  <c r="L437" i="1"/>
  <c r="H437" i="1" s="1"/>
  <c r="I430" i="1"/>
  <c r="L430" i="1"/>
  <c r="H430" i="1" s="1"/>
  <c r="L428" i="1"/>
  <c r="H428" i="1" s="1"/>
  <c r="I428" i="1"/>
  <c r="I441" i="1"/>
  <c r="L441" i="1"/>
  <c r="H441" i="1" s="1"/>
  <c r="I440" i="1"/>
  <c r="L440" i="1"/>
  <c r="H440" i="1" s="1"/>
  <c r="I436" i="1"/>
  <c r="L436" i="1"/>
  <c r="H436" i="1" s="1"/>
  <c r="I429" i="1"/>
  <c r="L429" i="1"/>
  <c r="H429" i="1" s="1"/>
  <c r="J440" i="1" l="1"/>
  <c r="J368" i="1"/>
  <c r="J83" i="1"/>
  <c r="J437" i="1"/>
  <c r="J430" i="1"/>
  <c r="J428" i="1"/>
  <c r="J441" i="1"/>
  <c r="J436" i="1"/>
  <c r="J429" i="1"/>
  <c r="H17" i="1" l="1"/>
  <c r="I110" i="1" l="1"/>
  <c r="L110" i="1"/>
  <c r="H110" i="1" s="1"/>
  <c r="I427" i="1"/>
  <c r="L427" i="1"/>
  <c r="H427" i="1" s="1"/>
  <c r="A10" i="6"/>
  <c r="J110" i="1" l="1"/>
  <c r="J427" i="1"/>
  <c r="I356" i="1"/>
  <c r="L356" i="1"/>
  <c r="H356" i="1" s="1"/>
  <c r="J356" i="1" l="1"/>
  <c r="I432" i="1" l="1"/>
  <c r="L432" i="1"/>
  <c r="H432" i="1" s="1"/>
  <c r="I435" i="1"/>
  <c r="L435" i="1"/>
  <c r="H435" i="1" s="1"/>
  <c r="I425" i="1"/>
  <c r="L425" i="1"/>
  <c r="H425" i="1" s="1"/>
  <c r="L108" i="1"/>
  <c r="J432" i="1" l="1"/>
  <c r="J435" i="1"/>
  <c r="J425" i="1"/>
  <c r="I120" i="1"/>
  <c r="L120" i="1"/>
  <c r="H120" i="1" s="1"/>
  <c r="J120" i="1" l="1"/>
  <c r="I88" i="1"/>
  <c r="L88" i="1"/>
  <c r="H88" i="1" s="1"/>
  <c r="J88" i="1" l="1"/>
  <c r="J6" i="12"/>
  <c r="I439" i="1" l="1"/>
  <c r="L439" i="1"/>
  <c r="H439" i="1" s="1"/>
  <c r="J439" i="1" l="1"/>
  <c r="G9" i="6"/>
  <c r="L67" i="1" l="1"/>
  <c r="H67" i="1" s="1"/>
  <c r="I67" i="1"/>
  <c r="J67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8" i="6"/>
  <c r="N48" i="6"/>
  <c r="M48" i="6"/>
  <c r="J89" i="1" l="1"/>
  <c r="J93" i="1"/>
  <c r="J79" i="1"/>
  <c r="I254" i="1"/>
  <c r="L254" i="1"/>
  <c r="H254" i="1" s="1"/>
  <c r="I108" i="1"/>
  <c r="H108" i="1"/>
  <c r="J108" i="1" l="1"/>
  <c r="J254" i="1"/>
  <c r="I101" i="1" l="1"/>
  <c r="L101" i="1"/>
  <c r="H101" i="1" s="1"/>
  <c r="J101" i="1" l="1"/>
  <c r="I248" i="1" l="1"/>
  <c r="L248" i="1"/>
  <c r="H248" i="1" s="1"/>
  <c r="J248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4" i="1"/>
  <c r="L434" i="1"/>
  <c r="H434" i="1" s="1"/>
  <c r="I318" i="1"/>
  <c r="L318" i="1"/>
  <c r="H318" i="1" s="1"/>
  <c r="I112" i="1"/>
  <c r="L112" i="1"/>
  <c r="H112" i="1" s="1"/>
  <c r="J112" i="1" l="1"/>
  <c r="J318" i="1"/>
  <c r="J434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8" i="1"/>
  <c r="M118" i="1"/>
  <c r="J62" i="1" l="1"/>
  <c r="I119" i="1"/>
  <c r="L119" i="1"/>
  <c r="H119" i="1" s="1"/>
  <c r="J111" i="1"/>
  <c r="J119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5" i="1"/>
  <c r="L255" i="1"/>
  <c r="H255" i="1" s="1"/>
  <c r="J104" i="1" l="1"/>
  <c r="J255" i="1"/>
  <c r="R5" i="1"/>
  <c r="Q5" i="1"/>
  <c r="N5" i="1"/>
  <c r="O5" i="1" s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7" i="1"/>
  <c r="L117" i="1" l="1"/>
  <c r="H117" i="1" s="1"/>
  <c r="J117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8" i="1" l="1"/>
  <c r="I16" i="1" l="1"/>
  <c r="K14" i="1" l="1"/>
  <c r="I15" i="1" l="1"/>
  <c r="I18" i="1" l="1"/>
  <c r="I17" i="1"/>
  <c r="K18" i="1"/>
  <c r="M18" i="1"/>
  <c r="M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L433" i="1" l="1"/>
  <c r="H433" i="1" s="1"/>
  <c r="I433" i="1"/>
  <c r="J433" i="1" l="1"/>
  <c r="L98" i="1"/>
  <c r="H98" i="1" s="1"/>
  <c r="I98" i="1"/>
  <c r="J98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L60" i="1"/>
  <c r="I95" i="1" l="1"/>
  <c r="L95" i="1"/>
  <c r="H95" i="1" s="1"/>
  <c r="I27" i="1"/>
  <c r="J95" i="1" l="1"/>
  <c r="I160" i="1"/>
  <c r="L160" i="1"/>
  <c r="H160" i="1" s="1"/>
  <c r="I159" i="1"/>
  <c r="L159" i="1"/>
  <c r="H159" i="1" s="1"/>
  <c r="J160" i="1" l="1"/>
  <c r="J159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I7" i="1"/>
  <c r="G10" i="6" l="1"/>
  <c r="AG51" i="6"/>
  <c r="G51" i="6" s="1"/>
  <c r="J51" i="6" l="1"/>
  <c r="I69" i="1"/>
  <c r="L69" i="1"/>
  <c r="H69" i="1" s="1"/>
  <c r="J69" i="1" l="1"/>
  <c r="L161" i="1"/>
  <c r="H161" i="1" s="1"/>
  <c r="I161" i="1"/>
  <c r="J161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6" i="1" l="1"/>
  <c r="L116" i="1"/>
  <c r="H116" i="1" s="1"/>
  <c r="J116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8" i="1"/>
  <c r="H8" i="1" s="1"/>
  <c r="J8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5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40" i="1" l="1"/>
  <c r="L40" i="1"/>
  <c r="H40" i="1" s="1"/>
  <c r="L58" i="1"/>
  <c r="H58" i="1" s="1"/>
  <c r="I58" i="1"/>
  <c r="J40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8" i="1"/>
  <c r="L38" i="1"/>
  <c r="H38" i="1" s="1"/>
  <c r="J38" i="1" l="1"/>
  <c r="H16" i="1"/>
  <c r="J16" i="1" s="1"/>
  <c r="D6" i="1" l="1"/>
  <c r="D7" i="1" s="1"/>
  <c r="D8" i="1" s="1"/>
  <c r="D9" i="1" s="1"/>
  <c r="D10" i="1" s="1"/>
  <c r="H46" i="1"/>
  <c r="J46" i="1" s="1"/>
  <c r="J64" i="1" l="1"/>
  <c r="L36" i="1"/>
  <c r="H36" i="1" s="1"/>
  <c r="I36" i="1"/>
  <c r="H29" i="1"/>
  <c r="J29" i="1" s="1"/>
  <c r="I14" i="1"/>
  <c r="L14" i="1"/>
  <c r="H14" i="1" s="1"/>
  <c r="I13" i="1"/>
  <c r="L13" i="1"/>
  <c r="H13" i="1" s="1"/>
  <c r="J36" i="1" l="1"/>
  <c r="J14" i="1"/>
  <c r="J13" i="1"/>
  <c r="I39" i="1"/>
  <c r="L39" i="1"/>
  <c r="H39" i="1" s="1"/>
  <c r="J39" i="1" l="1"/>
  <c r="L33" i="1" l="1"/>
  <c r="H33" i="1" s="1"/>
  <c r="J33" i="1" s="1"/>
  <c r="L31" i="1"/>
  <c r="H31" i="1" s="1"/>
  <c r="J31" i="1" l="1"/>
  <c r="L30" i="1"/>
  <c r="H30" i="1" s="1"/>
  <c r="J30" i="1" l="1"/>
  <c r="I37" i="1"/>
  <c r="L37" i="1" l="1"/>
  <c r="I217" i="1" l="1"/>
  <c r="L217" i="1"/>
  <c r="H217" i="1" s="1"/>
  <c r="L115" i="1"/>
  <c r="H115" i="1" s="1"/>
  <c r="I115" i="1"/>
  <c r="I158" i="1"/>
  <c r="L158" i="1"/>
  <c r="H158" i="1" s="1"/>
  <c r="J217" i="1" l="1"/>
  <c r="J158" i="1"/>
  <c r="J115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4" i="1"/>
  <c r="L94" i="1"/>
  <c r="H94" i="1" s="1"/>
  <c r="J94" i="1" l="1"/>
  <c r="J242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7" i="1"/>
  <c r="L25" i="1"/>
  <c r="H25" i="1" s="1"/>
  <c r="J25" i="1" l="1"/>
  <c r="I249" i="1"/>
  <c r="L249" i="1"/>
  <c r="H249" i="1" s="1"/>
  <c r="I87" i="1"/>
  <c r="L87" i="1"/>
  <c r="H87" i="1" s="1"/>
  <c r="J87" i="1" l="1"/>
  <c r="J249" i="1"/>
  <c r="L20" i="1"/>
  <c r="H20" i="1" s="1"/>
  <c r="J20" i="1" s="1"/>
  <c r="L9" i="1" l="1"/>
  <c r="H9" i="1" s="1"/>
  <c r="J9" i="1" s="1"/>
  <c r="I6" i="1" l="1"/>
  <c r="I5" i="1"/>
  <c r="L6" i="1"/>
  <c r="H6" i="1" s="1"/>
  <c r="L5" i="1"/>
  <c r="H5" i="1" s="1"/>
  <c r="J6" i="1" l="1"/>
  <c r="I4" i="1" l="1"/>
  <c r="L4" i="1"/>
  <c r="H4" i="1" s="1"/>
  <c r="I12" i="1" l="1"/>
  <c r="L12" i="1" l="1"/>
  <c r="H12" i="1" s="1"/>
  <c r="L7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6" i="1"/>
  <c r="H246" i="1"/>
  <c r="J37" i="1" l="1"/>
  <c r="J246" i="1"/>
  <c r="I91" i="1"/>
  <c r="J91" i="1" l="1"/>
  <c r="H7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5" i="1"/>
  <c r="H245" i="1"/>
  <c r="I241" i="1"/>
  <c r="H241" i="1"/>
  <c r="J5" i="1"/>
  <c r="J7" i="1"/>
  <c r="H2" i="1" l="1"/>
  <c r="J252" i="1"/>
  <c r="J24" i="1"/>
  <c r="J10" i="1"/>
  <c r="J251" i="1"/>
  <c r="J253" i="1"/>
  <c r="J17" i="1"/>
  <c r="J23" i="1"/>
  <c r="J247" i="1"/>
  <c r="J15" i="1"/>
  <c r="J241" i="1"/>
  <c r="J245" i="1"/>
  <c r="J12" i="1"/>
  <c r="J19" i="1"/>
  <c r="J250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6" i="1" s="1"/>
  <c r="D37" i="1" s="1"/>
  <c r="D38" i="1" s="1"/>
  <c r="B5" i="5"/>
  <c r="B6" i="5" s="1"/>
  <c r="B7" i="5" s="1"/>
  <c r="D39" i="1" l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A28" i="6" l="1"/>
  <c r="A29" i="6" s="1"/>
  <c r="A31" i="6" s="1"/>
  <c r="A32" i="6" s="1"/>
  <c r="A33" i="6" s="1"/>
  <c r="A34" i="6" s="1"/>
  <c r="A36" i="6" s="1"/>
  <c r="A30" i="6"/>
  <c r="A35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D60" i="1" l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l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l="1"/>
  <c r="D116" i="1" s="1"/>
  <c r="D117" i="1" s="1"/>
  <c r="D118" i="1" s="1"/>
  <c r="D119" i="1" s="1"/>
  <c r="D120" i="1" s="1"/>
  <c r="D121" i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B10" i="5" l="1"/>
  <c r="D142" i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l="1"/>
  <c r="D206" i="1" s="1"/>
  <c r="D207" i="1" s="1"/>
  <c r="D208" i="1" s="1"/>
  <c r="D209" i="1" s="1"/>
  <c r="D211" i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4" i="1" l="1"/>
  <c r="D245" i="1" s="1"/>
  <c r="D246" i="1" s="1"/>
  <c r="D243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2" i="1" s="1"/>
  <c r="D433" i="1" s="1"/>
  <c r="D434" i="1" s="1"/>
  <c r="D435" i="1" s="1"/>
  <c r="D436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2" i="1"/>
  <c r="D455" i="1" l="1"/>
  <c r="D456" i="1" s="1"/>
  <c r="D457" i="1" s="1"/>
  <c r="D458" i="1" s="1"/>
  <c r="D459" i="1" s="1"/>
  <c r="D460" i="1" s="1"/>
  <c r="D437" i="1"/>
  <c r="D438" i="1" l="1"/>
  <c r="D461" i="1"/>
  <c r="D462" i="1" s="1"/>
  <c r="D4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<sst xmlns="http://schemas.openxmlformats.org/spreadsheetml/2006/main" count="2404" uniqueCount="1674">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</sst>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91" Type="http://schemas.openxmlformats.org/officeDocument/2006/relationships/sheetMetadata" Target="metadata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externalLink" Target="externalLinks/externalLink170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92" Type="http://schemas.microsoft.com/office/2017/10/relationships/person" Target="persons/person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externalLink" Target="externalLinks/externalLink17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93" Type="http://schemas.openxmlformats.org/officeDocument/2006/relationships/calcChain" Target="calcChain.xml"/><Relationship Id="rId13" Type="http://schemas.openxmlformats.org/officeDocument/2006/relationships/externalLink" Target="externalLinks/externalLink2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188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externalLink" Target="externalLinks/externalLink172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openxmlformats.org/officeDocument/2006/relationships/externalLink" Target="externalLinks/externalLink173.xml"/><Relationship Id="rId189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90" Type="http://schemas.openxmlformats.org/officeDocument/2006/relationships/sharedStrings" Target="sharedStrings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externalLink" Target="externalLinks/externalLink17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186" Type="http://schemas.openxmlformats.org/officeDocument/2006/relationships/externalLink" Target="externalLinks/externalLink175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87" Type="http://schemas.openxmlformats.org/officeDocument/2006/relationships/externalLink" Target="externalLinks/externalLink176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YMR.xlsx" TargetMode="External"/><Relationship Id="rId1" Type="http://schemas.openxmlformats.org/officeDocument/2006/relationships/externalLinkPath" Target="KYMR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383.59225058364768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2407</v>
          </cell>
        </row>
        <row r="5">
          <cell r="R5">
            <v>20297</v>
          </cell>
        </row>
        <row r="6">
          <cell r="R6">
            <v>35751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7552</v>
          </cell>
        </row>
        <row r="6">
          <cell r="K6">
            <v>71079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 refreshError="1"/>
      <sheetData sheetId="2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../Downloads/RZLT.xlsx" TargetMode="External"/><Relationship Id="rId192" Type="http://schemas.openxmlformats.org/officeDocument/2006/relationships/hyperlink" Target="RVPH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../Downloads/TNXP.xlsx" TargetMode="External"/><Relationship Id="rId182" Type="http://schemas.openxmlformats.org/officeDocument/2006/relationships/hyperlink" Target="../Downloads/URGN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../Downloads/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0" Type="http://schemas.openxmlformats.org/officeDocument/2006/relationships/hyperlink" Target="../Downloads/BMR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04" Type="http://schemas.openxmlformats.org/officeDocument/2006/relationships/hyperlink" Target="ITCI.xlsx" TargetMode="External"/><Relationship Id="rId120" Type="http://schemas.openxmlformats.org/officeDocument/2006/relationships/hyperlink" Target="../Downloads/EVO.xlsx" TargetMode="External"/><Relationship Id="rId125" Type="http://schemas.openxmlformats.org/officeDocument/2006/relationships/hyperlink" Target="../Downloads/XNCR.xlsx" TargetMode="External"/><Relationship Id="rId141" Type="http://schemas.openxmlformats.org/officeDocument/2006/relationships/hyperlink" Target="../Downloads/RARE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../Downloads/KYM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../Downloads/CYDY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../Downloads/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PTGX.xlsx" TargetMode="External"/><Relationship Id="rId115" Type="http://schemas.openxmlformats.org/officeDocument/2006/relationships/hyperlink" Target="../Downloads/MDGL.xlsx" TargetMode="External"/><Relationship Id="rId131" Type="http://schemas.openxmlformats.org/officeDocument/2006/relationships/hyperlink" Target="../Downloads/ADMA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../Downloads/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../Downloads/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../Downloads/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../Downloads/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printerSettings" Target="../printerSettings/printerSettings1.bin"/><Relationship Id="rId190" Type="http://schemas.openxmlformats.org/officeDocument/2006/relationships/hyperlink" Target="GSK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../Downloads/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../Downloads/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../Downloads/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../Downloads/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../Downloads/DRUG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../Downloads/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../Downloads/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../Downloads/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62"/>
  <sheetViews>
    <sheetView tabSelected="1" zoomScale="130" zoomScaleNormal="130" workbookViewId="0">
      <pane xSplit="5" ySplit="3" topLeftCell="F209" activePane="bottomRight" state="frozen"/>
      <selection pane="topRight" activeCell="C1" sqref="C1"/>
      <selection pane="bottomLeft" activeCell="A4" sqref="A4"/>
      <selection pane="bottomRight" activeCell="E237" sqref="E237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RANDBETWEEN(1,D242)</f>
        <v>202</v>
      </c>
      <c r="H2" s="6">
        <f>SUM(H4:H455)-H5-H13-H10-H17-H23-H27-H47-H55</f>
        <v>5074705.8459857171</v>
      </c>
      <c r="M2" s="9">
        <f>MIN(M4:M92)</f>
        <v>45530</v>
      </c>
      <c r="S2" s="60" t="s">
        <v>312</v>
      </c>
      <c r="T2" s="60"/>
      <c r="U2" s="60"/>
      <c r="V2" s="60"/>
      <c r="W2" s="60"/>
      <c r="X2" s="60"/>
      <c r="Y2" s="60" t="s">
        <v>311</v>
      </c>
      <c r="Z2" s="60"/>
      <c r="AA2" s="60"/>
      <c r="AB2" s="60"/>
      <c r="AC2" s="60"/>
      <c r="AD2" s="60"/>
    </row>
    <row r="3" spans="1:32" x14ac:dyDescent="0.2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">
      <c r="D4" s="1">
        <v>1</v>
      </c>
      <c r="E4" s="5" t="s">
        <v>19</v>
      </c>
      <c r="F4" s="1" t="s">
        <v>20</v>
      </c>
      <c r="G4" s="7">
        <v>783</v>
      </c>
      <c r="H4" s="6">
        <f>+G4*L4</f>
        <v>743314.188402</v>
      </c>
      <c r="I4" s="6">
        <f>+[1]Main!$J$5-[1]Main!$J$6</f>
        <v>-24401</v>
      </c>
      <c r="J4" s="6">
        <f t="shared" ref="J4:J19" si="0">H4-I4</f>
        <v>767715.188402</v>
      </c>
      <c r="K4" s="3" t="s">
        <v>1280</v>
      </c>
      <c r="L4" s="6">
        <f>+[1]Main!$J$3</f>
        <v>949.31569400000001</v>
      </c>
      <c r="M4" s="9">
        <v>45636</v>
      </c>
      <c r="N4" s="7"/>
      <c r="O4" s="10"/>
      <c r="P4" s="10"/>
      <c r="Q4" s="10"/>
      <c r="R4" s="10"/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/>
      <c r="B5"/>
      <c r="C5"/>
      <c r="D5" s="1">
        <v>2</v>
      </c>
      <c r="E5" s="5" t="s">
        <v>25</v>
      </c>
      <c r="F5" s="1" t="s">
        <v>26</v>
      </c>
      <c r="G5" s="7">
        <v>108.81</v>
      </c>
      <c r="H5" s="6">
        <f>+L5*G5</f>
        <v>485401.41000000003</v>
      </c>
      <c r="I5" s="6">
        <f>([2]Main!$J$5-[2]Main!$J$6)/DKK</f>
        <v>2576.3072126966131</v>
      </c>
      <c r="J5" s="6">
        <f t="shared" si="0"/>
        <v>482825.10278730345</v>
      </c>
      <c r="K5" s="3" t="s">
        <v>1280</v>
      </c>
      <c r="L5" s="6">
        <f>+[2]Main!$J$3</f>
        <v>4461</v>
      </c>
      <c r="M5" s="9">
        <v>45623</v>
      </c>
      <c r="N5" s="7">
        <f>+[2]Model!$DG$53</f>
        <v>383.59225058364768</v>
      </c>
      <c r="O5" s="10">
        <f>N5/G5-1</f>
        <v>2.5253400476394421</v>
      </c>
      <c r="P5" s="10">
        <v>0</v>
      </c>
      <c r="Q5" s="10">
        <f>+[2]Model!$DG$50</f>
        <v>0.01</v>
      </c>
      <c r="R5" s="10">
        <f>+[2]Model!$DG$51</f>
        <v>0.08</v>
      </c>
      <c r="AE5" s="1">
        <v>1923</v>
      </c>
    </row>
    <row r="6" spans="1:32" x14ac:dyDescent="0.2">
      <c r="A6"/>
      <c r="B6"/>
      <c r="C6"/>
      <c r="D6" s="1">
        <f>+D5</f>
        <v>2</v>
      </c>
      <c r="E6" s="5" t="s">
        <v>25</v>
      </c>
      <c r="F6" t="s">
        <v>318</v>
      </c>
      <c r="G6" s="57">
        <v>743</v>
      </c>
      <c r="H6" s="6">
        <f>+G6*L6/DKK</f>
        <v>469678.75867932546</v>
      </c>
      <c r="I6" s="6">
        <f>([2]Main!$J$5-[2]Main!$J$6)/DKK</f>
        <v>2576.3072126966131</v>
      </c>
      <c r="J6" s="6">
        <f t="shared" si="0"/>
        <v>467102.45146662887</v>
      </c>
      <c r="K6" s="3" t="str">
        <f>+K5</f>
        <v>Q324</v>
      </c>
      <c r="L6" s="6">
        <f>+[2]Main!$J$3</f>
        <v>4461</v>
      </c>
      <c r="M6" s="9">
        <f>+M5</f>
        <v>45623</v>
      </c>
      <c r="AE6" s="1">
        <v>1923</v>
      </c>
    </row>
    <row r="7" spans="1:32" x14ac:dyDescent="0.2">
      <c r="D7" s="1">
        <f>+D6+1</f>
        <v>3</v>
      </c>
      <c r="E7" s="5" t="s">
        <v>14</v>
      </c>
      <c r="F7" s="1" t="s">
        <v>15</v>
      </c>
      <c r="G7" s="7">
        <v>146.35</v>
      </c>
      <c r="H7" s="6">
        <f>G7*[3]Main!$R$3</f>
        <v>352264.45</v>
      </c>
      <c r="I7" s="6">
        <f>+[3]Main!$R$5-[3]Main!$R$6</f>
        <v>-15454</v>
      </c>
      <c r="J7" s="6">
        <f>H7-I7</f>
        <v>367718.45</v>
      </c>
      <c r="K7" s="3" t="s">
        <v>1280</v>
      </c>
      <c r="L7" s="6">
        <f>+[3]Main!$R$3</f>
        <v>2407</v>
      </c>
      <c r="M7" s="9">
        <v>45637</v>
      </c>
      <c r="N7" s="9"/>
      <c r="O7" s="9"/>
      <c r="P7" s="9"/>
      <c r="Q7" s="9"/>
      <c r="R7" s="9"/>
    </row>
    <row r="8" spans="1:32" x14ac:dyDescent="0.2">
      <c r="A8"/>
      <c r="B8"/>
      <c r="C8"/>
      <c r="D8">
        <f>+D7+1</f>
        <v>4</v>
      </c>
      <c r="E8" s="5" t="s">
        <v>17</v>
      </c>
      <c r="F8" t="s">
        <v>18</v>
      </c>
      <c r="G8" s="55">
        <v>173.15</v>
      </c>
      <c r="H8" s="30">
        <f>+G8*L8</f>
        <v>306821.8</v>
      </c>
      <c r="I8" s="30">
        <f>+[4]Main!$K$5-[4]Main!$K$6</f>
        <v>-63527</v>
      </c>
      <c r="J8" s="30">
        <f>H8-I8</f>
        <v>370348.79999999999</v>
      </c>
      <c r="K8" s="28" t="s">
        <v>1280</v>
      </c>
      <c r="L8" s="30">
        <f>+[4]Main!$K$3</f>
        <v>1772</v>
      </c>
      <c r="M8" s="38">
        <v>45638</v>
      </c>
      <c r="N8" s="9"/>
      <c r="O8" s="9"/>
      <c r="P8" s="9"/>
      <c r="Q8" s="9"/>
      <c r="R8" s="9"/>
    </row>
    <row r="9" spans="1:32" x14ac:dyDescent="0.2">
      <c r="A9"/>
      <c r="B9"/>
      <c r="C9"/>
      <c r="D9" s="1">
        <f>+D8+1</f>
        <v>5</v>
      </c>
      <c r="E9" s="5" t="s">
        <v>27</v>
      </c>
      <c r="F9" s="1" t="s">
        <v>28</v>
      </c>
      <c r="G9" s="7">
        <v>102.87</v>
      </c>
      <c r="H9" s="6">
        <f>+G9*L9</f>
        <v>260755.83392544001</v>
      </c>
      <c r="I9" s="6">
        <f>+[5]Main!$J$5-[5]Main!$J$6</f>
        <v>-26077</v>
      </c>
      <c r="J9" s="6">
        <f t="shared" si="0"/>
        <v>286832.83392543998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-0.10360419787230746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105.02</v>
      </c>
      <c r="H10" s="6">
        <f>+G10*L10</f>
        <v>214870.91999999998</v>
      </c>
      <c r="I10" s="6">
        <f>+[6]Main!$K$6-[6]Main!$K$7</f>
        <v>-18800</v>
      </c>
      <c r="J10" s="6">
        <f t="shared" ref="J10:J15" si="1">H10-I10</f>
        <v>233670.91999999998</v>
      </c>
      <c r="K10" s="3" t="s">
        <v>1074</v>
      </c>
      <c r="L10" s="6">
        <f>+[6]Main!$K$4</f>
        <v>2046</v>
      </c>
      <c r="M10" s="9">
        <v>45578</v>
      </c>
    </row>
    <row r="11" spans="1:32" x14ac:dyDescent="0.2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17.97</v>
      </c>
      <c r="H35" s="6">
        <f>+G35*L35</f>
        <v>20360.009999999998</v>
      </c>
      <c r="I35" s="6">
        <f>+[28]Sheet1!$M$5-[28]Sheet1!$M$6</f>
        <v>-16382</v>
      </c>
      <c r="J35" s="6">
        <f>+H35-I35</f>
        <v>36742.009999999995</v>
      </c>
      <c r="K35" s="3" t="s">
        <v>1074</v>
      </c>
      <c r="L35" s="6">
        <f>+[28]Sheet1!$M$3</f>
        <v>1133</v>
      </c>
      <c r="M35" s="9">
        <v>45542</v>
      </c>
    </row>
    <row r="36" spans="1:32" x14ac:dyDescent="0.2">
      <c r="A36"/>
      <c r="B36"/>
      <c r="C36"/>
      <c r="D36" s="1">
        <f t="shared" si="4"/>
        <v>27</v>
      </c>
      <c r="E36" s="5" t="s">
        <v>57</v>
      </c>
      <c r="F36" s="1" t="s">
        <v>58</v>
      </c>
      <c r="G36" s="7">
        <v>252</v>
      </c>
      <c r="H36" s="6">
        <f>+G36*L36</f>
        <v>32351.889276000002</v>
      </c>
      <c r="I36" s="6">
        <f>+[29]Main!$L$5-[29]Main!$L$6</f>
        <v>246.8090000000002</v>
      </c>
      <c r="J36" s="6">
        <f>H36-I36</f>
        <v>32105.080276000001</v>
      </c>
      <c r="K36" s="3" t="s">
        <v>1074</v>
      </c>
      <c r="L36" s="6">
        <f>+[29]Main!$L$3</f>
        <v>128.38051300000001</v>
      </c>
      <c r="M36" s="9">
        <v>45537</v>
      </c>
      <c r="AE36" s="1">
        <v>2002</v>
      </c>
      <c r="AF36" s="1" t="s">
        <v>609</v>
      </c>
    </row>
    <row r="37" spans="1:32" x14ac:dyDescent="0.2">
      <c r="D37" s="1">
        <f t="shared" si="4"/>
        <v>28</v>
      </c>
      <c r="E37" s="5" t="s">
        <v>75</v>
      </c>
      <c r="F37" s="1" t="s">
        <v>76</v>
      </c>
      <c r="G37" s="7">
        <v>12.08</v>
      </c>
      <c r="H37" s="6">
        <f>G37*[30]Main!$M$3</f>
        <v>14417.72719304</v>
      </c>
      <c r="I37" s="6">
        <f>[30]Main!$M$5-[30]Main!$M$6</f>
        <v>-16182</v>
      </c>
      <c r="J37" s="6">
        <f>H37-I37</f>
        <v>30599.727193040002</v>
      </c>
      <c r="K37" s="3" t="s">
        <v>1074</v>
      </c>
      <c r="L37" s="6">
        <f>+[30]Main!$M$3</f>
        <v>1193.5204630000001</v>
      </c>
      <c r="M37" s="9">
        <v>45537</v>
      </c>
      <c r="AE37" s="1">
        <v>1961</v>
      </c>
    </row>
    <row r="38" spans="1:32" x14ac:dyDescent="0.2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37.94</v>
      </c>
      <c r="H38" s="6">
        <f>+G38*L38</f>
        <v>19349.399999999998</v>
      </c>
      <c r="I38" s="6">
        <f>+[31]Main!$K$5-[31]Main!$K$6</f>
        <v>-10809</v>
      </c>
      <c r="J38" s="6">
        <f>+H38-I38</f>
        <v>30158.399999999998</v>
      </c>
      <c r="K38" s="3" t="s">
        <v>1074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/>
      <c r="B39"/>
      <c r="C39"/>
      <c r="D39" s="1">
        <f t="shared" si="4"/>
        <v>30</v>
      </c>
      <c r="E39" s="5" t="s">
        <v>263</v>
      </c>
      <c r="F39" t="s">
        <v>264</v>
      </c>
      <c r="G39" s="7">
        <v>204.76</v>
      </c>
      <c r="H39" s="6">
        <f>+G39*L39</f>
        <v>29690.199999999997</v>
      </c>
      <c r="I39" s="6">
        <f>+[32]Main!$J$5-[32]Main!$J$6</f>
        <v>1117</v>
      </c>
      <c r="J39" s="6">
        <f>+H39-I39</f>
        <v>28573.199999999997</v>
      </c>
      <c r="K39" s="3" t="s">
        <v>1074</v>
      </c>
      <c r="L39" s="6">
        <f>+[32]Main!$J$3</f>
        <v>145</v>
      </c>
      <c r="M39" s="9">
        <v>45536</v>
      </c>
      <c r="AE39" s="1">
        <v>1978</v>
      </c>
      <c r="AF39" s="1" t="s">
        <v>609</v>
      </c>
    </row>
    <row r="40" spans="1:32" x14ac:dyDescent="0.2">
      <c r="A40"/>
      <c r="B40"/>
      <c r="C40"/>
      <c r="D40" s="1">
        <f t="shared" si="4"/>
        <v>31</v>
      </c>
      <c r="E40" s="5" t="s">
        <v>63</v>
      </c>
      <c r="F40" s="1" t="s">
        <v>64</v>
      </c>
      <c r="G40" s="7">
        <v>517.32000000000005</v>
      </c>
      <c r="H40" s="6">
        <f>+G40*L40</f>
        <v>30728.920258440001</v>
      </c>
      <c r="I40" s="6">
        <f>+[33]Main!$K$5-[33]Main!$K$6</f>
        <v>3102.3469999999998</v>
      </c>
      <c r="J40" s="6">
        <f>H40-I40</f>
        <v>27626.573258440003</v>
      </c>
      <c r="K40" s="3" t="s">
        <v>1074</v>
      </c>
      <c r="L40" s="6">
        <f>+[33]Main!$K$3</f>
        <v>59.400216999999998</v>
      </c>
      <c r="M40" s="9">
        <v>45537</v>
      </c>
      <c r="AE40">
        <v>2008</v>
      </c>
    </row>
    <row r="41" spans="1:32" x14ac:dyDescent="0.2">
      <c r="D41" s="1">
        <f t="shared" si="4"/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1074</v>
      </c>
      <c r="L63" s="6">
        <f>[54]Main!$M$3</f>
        <v>206.29916</v>
      </c>
      <c r="M63" s="9">
        <v>45540</v>
      </c>
      <c r="AE63" s="1">
        <v>1926</v>
      </c>
    </row>
    <row r="64" spans="1:31" x14ac:dyDescent="0.2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+[55]Main!$L$5-[55]Main!$L$6</f>
        <v>1820.3</v>
      </c>
      <c r="J64" s="6">
        <f>H64-I64</f>
        <v>9590.0161370000005</v>
      </c>
      <c r="K64" s="3" t="s">
        <v>1074</v>
      </c>
      <c r="L64" s="6">
        <f>+[55]Main!$L$3</f>
        <v>100.976249</v>
      </c>
      <c r="M64" s="9">
        <v>45572</v>
      </c>
    </row>
    <row r="65" spans="1:32" x14ac:dyDescent="0.2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1074</v>
      </c>
      <c r="L65" s="6">
        <f>+[56]Main!$M$3</f>
        <v>126.678</v>
      </c>
      <c r="M65" s="9">
        <v>45538</v>
      </c>
    </row>
    <row r="66" spans="1:32" x14ac:dyDescent="0.2">
      <c r="D66" s="1">
        <f t="shared" si="6"/>
        <v>56</v>
      </c>
      <c r="E66" s="5" t="s">
        <v>118</v>
      </c>
      <c r="F66" s="1" t="s">
        <v>119</v>
      </c>
      <c r="G66" s="7">
        <v>48.59</v>
      </c>
      <c r="H66" s="6">
        <f>+G66*L66</f>
        <v>8872.6349214300008</v>
      </c>
      <c r="I66" s="6">
        <f>+[57]Main!$K$5-[57]Main!$K$6</f>
        <v>1008.441</v>
      </c>
      <c r="J66" s="6">
        <f>+H66-I66</f>
        <v>7864.193921430001</v>
      </c>
      <c r="K66" s="3" t="s">
        <v>1074</v>
      </c>
      <c r="L66" s="6">
        <f>+[57]Main!$K$3</f>
        <v>182.60207700000001</v>
      </c>
      <c r="M66" s="9">
        <v>45574</v>
      </c>
    </row>
    <row r="67" spans="1:32" x14ac:dyDescent="0.2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+[58]Main!$K$5-[58]Main!$K$6</f>
        <v>310.25300000000004</v>
      </c>
      <c r="J67" s="6">
        <f>+H67-I67</f>
        <v>7799.9402920200009</v>
      </c>
      <c r="K67" s="3" t="s">
        <v>1074</v>
      </c>
      <c r="L67" s="6">
        <f>+[58]Main!$K$3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([59]Main!$L$5-[59]Main!$L$6)*EUR</f>
        <v>-123.432</v>
      </c>
      <c r="J68" s="6">
        <f>+H68-I68</f>
        <v>7834.1751827999997</v>
      </c>
      <c r="K68" s="3" t="s">
        <v>1074</v>
      </c>
      <c r="L68" s="6">
        <f>+[59]Main!$L$3</f>
        <v>141.13399999999999</v>
      </c>
      <c r="M68" s="9">
        <v>45566</v>
      </c>
    </row>
    <row r="69" spans="1:32" x14ac:dyDescent="0.2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[60]Main!$K$5-[60]Main!$K$6</f>
        <v>-413.63900000000001</v>
      </c>
      <c r="J69" s="6">
        <f>H69-I69</f>
        <v>7750.7449999999999</v>
      </c>
      <c r="K69" s="3" t="s">
        <v>1074</v>
      </c>
      <c r="L69" s="6">
        <f>[60]Main!$K$3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x14ac:dyDescent="0.2">
      <c r="D70" s="25">
        <f t="shared" si="6"/>
        <v>60</v>
      </c>
      <c r="E70" s="44" t="s">
        <v>1062</v>
      </c>
      <c r="F70" s="25" t="s">
        <v>1063</v>
      </c>
      <c r="G70" s="48">
        <v>78</v>
      </c>
      <c r="H70" s="27">
        <f>+G70*L70</f>
        <v>8112</v>
      </c>
      <c r="I70" s="26">
        <f>+[61]Main!$K$5-[61]Main!$K$6</f>
        <v>711</v>
      </c>
      <c r="J70" s="27">
        <f t="shared" ref="J70" si="8">+H70-I70</f>
        <v>7401</v>
      </c>
      <c r="K70" s="26" t="s">
        <v>1117</v>
      </c>
      <c r="L70" s="26">
        <f>+[61]Main!$K$3</f>
        <v>104</v>
      </c>
      <c r="M70" s="45">
        <v>45541</v>
      </c>
      <c r="N70" s="26"/>
      <c r="O70" s="26"/>
      <c r="P70" s="26"/>
      <c r="Q70" s="26"/>
      <c r="R70" s="2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2" x14ac:dyDescent="0.2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42.66</v>
      </c>
      <c r="H71" s="6">
        <f>+G71*L71</f>
        <v>16416.32781726</v>
      </c>
      <c r="I71" s="6">
        <f>+[62]Main!$K$5-[62]Main!$K$6</f>
        <v>9202</v>
      </c>
      <c r="J71" s="6">
        <f>H71-I71</f>
        <v>7214.3278172600003</v>
      </c>
      <c r="K71" s="3" t="s">
        <v>1280</v>
      </c>
      <c r="L71" s="6">
        <f>+[62]Main!$K$3</f>
        <v>384.81781100000001</v>
      </c>
      <c r="M71" s="9">
        <v>45631</v>
      </c>
      <c r="AF71" s="1" t="s">
        <v>609</v>
      </c>
    </row>
    <row r="72" spans="1:32" x14ac:dyDescent="0.2">
      <c r="D72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x14ac:dyDescent="0.2">
      <c r="A76" t="s">
        <v>334</v>
      </c>
      <c r="B76"/>
      <c r="C76"/>
      <c r="D76" s="1">
        <f t="shared" si="6"/>
        <v>66</v>
      </c>
      <c r="E76" s="5" t="s">
        <v>129</v>
      </c>
      <c r="F76" s="1" t="s">
        <v>130</v>
      </c>
      <c r="G76" s="3">
        <v>84.24</v>
      </c>
      <c r="H76" s="6">
        <f t="shared" si="10"/>
        <v>8901.3817620000009</v>
      </c>
      <c r="I76" s="6">
        <f>+[67]Main!$L$5-[67]Main!$L$6</f>
        <v>1024.6570000000002</v>
      </c>
      <c r="J76" s="6">
        <f>+H76-I76</f>
        <v>7876.7247620000007</v>
      </c>
      <c r="K76" s="3" t="s">
        <v>1074</v>
      </c>
      <c r="L76" s="6">
        <f>+[67]Main!$L$3</f>
        <v>105.66692500000001</v>
      </c>
      <c r="M76" s="9">
        <v>45545</v>
      </c>
    </row>
    <row r="77" spans="1:32" x14ac:dyDescent="0.2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1280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1074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1074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1074</v>
      </c>
      <c r="L86" s="6">
        <f>+[77]Main!$L$3</f>
        <v>48.436107999999997</v>
      </c>
      <c r="M86" s="9">
        <v>45540</v>
      </c>
    </row>
    <row r="87" spans="1:32" x14ac:dyDescent="0.2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+[78]Main!$L$5-[78]Main!$L$6</f>
        <v>673.06</v>
      </c>
      <c r="J87" s="6">
        <f>+H87-I87</f>
        <v>4011.7539600499999</v>
      </c>
      <c r="K87" s="3" t="s">
        <v>1074</v>
      </c>
      <c r="L87" s="6">
        <f>+[78]Main!$L$3</f>
        <v>164.668329</v>
      </c>
      <c r="M87" s="9">
        <v>45540</v>
      </c>
    </row>
    <row r="88" spans="1:32" x14ac:dyDescent="0.2">
      <c r="D88" s="1">
        <f t="shared" si="6"/>
        <v>78</v>
      </c>
      <c r="E88" s="44" t="s">
        <v>336</v>
      </c>
      <c r="F88" s="25" t="s">
        <v>337</v>
      </c>
      <c r="G88" s="48">
        <v>85</v>
      </c>
      <c r="H88" s="27">
        <f>+G88*L88</f>
        <v>4569.2327150000001</v>
      </c>
      <c r="I88" s="27">
        <f>+[79]Main!$K$5-[79]Main!$K$6</f>
        <v>649.44200000000001</v>
      </c>
      <c r="J88" s="27">
        <f>+H88-I88</f>
        <v>3919.7907150000001</v>
      </c>
      <c r="K88" s="26" t="s">
        <v>1074</v>
      </c>
      <c r="L88" s="27">
        <f>+[79]Main!$K$3</f>
        <v>53.755679000000001</v>
      </c>
      <c r="M88" s="45">
        <v>45591</v>
      </c>
    </row>
    <row r="89" spans="1:32" x14ac:dyDescent="0.2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+[80]Main!$J$5-[80]Main!$J$6</f>
        <v>115.66200000000001</v>
      </c>
      <c r="J89" s="6">
        <f>+H89-I89</f>
        <v>3600.0932880000005</v>
      </c>
      <c r="K89" s="3" t="s">
        <v>1074</v>
      </c>
      <c r="L89" s="6">
        <f>+[80]Main!$J$3</f>
        <v>154.823137</v>
      </c>
      <c r="M89" s="9">
        <v>45580</v>
      </c>
    </row>
    <row r="90" spans="1:32" x14ac:dyDescent="0.2">
      <c r="D90" s="1">
        <f t="shared" ref="D90:D134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+[81]Main!$L$5-[81]Main!$L$6</f>
        <v>1590.0459999999998</v>
      </c>
      <c r="J90" s="6">
        <f>+H90-I90</f>
        <v>3563.2954680000007</v>
      </c>
      <c r="K90" s="3" t="s">
        <v>1074</v>
      </c>
      <c r="L90" s="6">
        <f>+[81]Main!$L$3</f>
        <v>117.121397</v>
      </c>
      <c r="M90" s="9">
        <v>45558</v>
      </c>
    </row>
    <row r="91" spans="1:32" x14ac:dyDescent="0.2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+[82]Main!$L$5-[82]Main!$L$6</f>
        <v>-96.746999999999957</v>
      </c>
      <c r="J91" s="6">
        <f>+H91-I91</f>
        <v>3383.2201927199999</v>
      </c>
      <c r="K91" s="3" t="s">
        <v>1074</v>
      </c>
      <c r="L91" s="6">
        <f>[82]Main!$L$3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([83]Main!$K$5-[83]Main!$K$6)/HKD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+[83]Main!$K$3</f>
        <v>18408.301708999999</v>
      </c>
      <c r="M92" s="9">
        <v>45539</v>
      </c>
    </row>
    <row r="93" spans="1:32" x14ac:dyDescent="0.2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+[84]Main!$M$5-[84]Main!$M$6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+[84]Main!$M$3</f>
        <v>296.59093100000001</v>
      </c>
      <c r="M93" s="9">
        <v>45580</v>
      </c>
    </row>
    <row r="94" spans="1:32" x14ac:dyDescent="0.2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+[85]Main!$K$5-[85]Main!$K$6</f>
        <v>5617.777</v>
      </c>
      <c r="J94" s="6">
        <f t="shared" si="14"/>
        <v>3263.8801062399998</v>
      </c>
      <c r="K94" s="3" t="s">
        <v>1074</v>
      </c>
      <c r="L94" s="6">
        <f>+[85]Main!$K$3</f>
        <v>739.52182400000004</v>
      </c>
      <c r="M94" s="9">
        <v>45540</v>
      </c>
    </row>
    <row r="95" spans="1:32" x14ac:dyDescent="0.2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[86]Main!$K$5-[86]Main!$K$6</f>
        <v>1347.038</v>
      </c>
      <c r="J95" s="6">
        <f t="shared" si="14"/>
        <v>2925.5480572500005</v>
      </c>
      <c r="K95" s="3" t="s">
        <v>1074</v>
      </c>
      <c r="L95" s="6">
        <f>[86]Main!$K$3</f>
        <v>169.21132900000001</v>
      </c>
      <c r="M95" s="9">
        <v>45545</v>
      </c>
    </row>
    <row r="96" spans="1:32" x14ac:dyDescent="0.2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+[87]Main!$L$5-[87]Main!$L$6</f>
        <v>568.66099999999994</v>
      </c>
      <c r="J96" s="6">
        <f t="shared" si="14"/>
        <v>2991.3389999999999</v>
      </c>
      <c r="K96" s="3" t="s">
        <v>1044</v>
      </c>
      <c r="L96" s="6">
        <f>[87]Main!$L$3</f>
        <v>83.133341000000001</v>
      </c>
      <c r="M96" s="9">
        <v>45571</v>
      </c>
    </row>
    <row r="97" spans="1:31" x14ac:dyDescent="0.2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+[88]Main!$J$5-[88]Main!$J$6</f>
        <v>-474.93899999999996</v>
      </c>
      <c r="J97" s="6">
        <f t="shared" si="14"/>
        <v>2926.7366313599996</v>
      </c>
      <c r="K97" s="3" t="s">
        <v>1074</v>
      </c>
      <c r="L97" s="6">
        <f>+[88]Main!$J$3</f>
        <v>696.53341799999998</v>
      </c>
      <c r="M97" s="9">
        <v>45572</v>
      </c>
    </row>
    <row r="98" spans="1:31" x14ac:dyDescent="0.2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+[89]Main!$I$5-[89]Main!$I$6</f>
        <v>417.97200000000004</v>
      </c>
      <c r="J98" s="6">
        <f t="shared" si="14"/>
        <v>2419.8827031999995</v>
      </c>
      <c r="K98" s="3" t="s">
        <v>1074</v>
      </c>
      <c r="L98" s="6">
        <f>+[89]Main!$I$3</f>
        <v>303.51387199999999</v>
      </c>
      <c r="M98" s="9">
        <v>45525</v>
      </c>
    </row>
    <row r="99" spans="1:31" x14ac:dyDescent="0.2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+[90]Main!$K$5-[90]Main!$K$6</f>
        <v>18458.399999999998</v>
      </c>
      <c r="J99" s="6">
        <f t="shared" si="9"/>
        <v>2655.229887000005</v>
      </c>
      <c r="K99" s="3" t="s">
        <v>1074</v>
      </c>
      <c r="L99" s="6">
        <f>+[90]Main!$K$3</f>
        <v>242.68540100000001</v>
      </c>
      <c r="M99" s="9">
        <v>45537</v>
      </c>
      <c r="AE99" s="1">
        <v>2008</v>
      </c>
    </row>
    <row r="100" spans="1:31" x14ac:dyDescent="0.2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1074</v>
      </c>
      <c r="L100" s="6">
        <f>+[91]Main!$K$3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1074</v>
      </c>
      <c r="L101" s="6">
        <f>+[92]Main!$L$3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1074</v>
      </c>
      <c r="L102" s="6">
        <f>+[93]Main!$J$3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1074</v>
      </c>
      <c r="L103" s="6">
        <f>[94]Main!$L$3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3">
        <v>45.02</v>
      </c>
      <c r="H104" s="6">
        <f>+G104*L104</f>
        <v>2651.8844167000002</v>
      </c>
      <c r="I104" s="6">
        <f>+[95]Main!$L$5-[95]Main!$L$6</f>
        <v>595.44399999999996</v>
      </c>
      <c r="J104" s="6">
        <f>+H104-I104</f>
        <v>2056.4404167000002</v>
      </c>
      <c r="K104" s="3" t="s">
        <v>1074</v>
      </c>
      <c r="L104" s="6">
        <f>+[95]Main!$L$3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7" si="16">+H105-I105</f>
        <v>2194.3422799999998</v>
      </c>
      <c r="K105" s="3" t="s">
        <v>1074</v>
      </c>
      <c r="L105" s="6">
        <f>+[96]Main!$K$3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1074</v>
      </c>
      <c r="L106" s="6">
        <f>+[97]Main!$L$3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3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6"/>
        <v>1984.6815073272855</v>
      </c>
      <c r="K107" s="3" t="s">
        <v>1074</v>
      </c>
      <c r="L107" s="6">
        <f>+[98]Main!$L$3</f>
        <v>76.826999999999998</v>
      </c>
      <c r="M107" s="9">
        <v>45542</v>
      </c>
    </row>
    <row r="108" spans="1:31" x14ac:dyDescent="0.2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1074</v>
      </c>
      <c r="L108" s="6">
        <f>+[99]Main!$K$3</f>
        <v>158.98400000000001</v>
      </c>
      <c r="M108" s="9">
        <v>45600</v>
      </c>
    </row>
    <row r="109" spans="1:31" x14ac:dyDescent="0.2">
      <c r="D109" s="1">
        <f t="shared" si="12"/>
        <v>99</v>
      </c>
      <c r="E109" s="41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6"/>
        <v>1626.81789142</v>
      </c>
      <c r="K109" s="3" t="s">
        <v>1074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1280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2"/>
        <v>101</v>
      </c>
      <c r="E111" s="44" t="s">
        <v>663</v>
      </c>
      <c r="F111" s="25" t="s">
        <v>664</v>
      </c>
      <c r="G111" s="55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1074</v>
      </c>
      <c r="L111" s="30">
        <f>+[102]Main!$N$3</f>
        <v>57.196520333333332</v>
      </c>
      <c r="M111" s="38">
        <v>45572</v>
      </c>
      <c r="N111" s="26"/>
      <c r="O111" s="26"/>
      <c r="P111" s="26"/>
      <c r="Q111" s="26"/>
      <c r="R111" s="2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1" x14ac:dyDescent="0.2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1044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1074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1074</v>
      </c>
      <c r="L114" s="6">
        <f>+[105]Main!$K$3</f>
        <v>90.956000000000003</v>
      </c>
      <c r="M114" s="9">
        <v>45573</v>
      </c>
    </row>
    <row r="115" spans="1:32" x14ac:dyDescent="0.2">
      <c r="A115" t="s">
        <v>334</v>
      </c>
      <c r="B115"/>
      <c r="C115"/>
      <c r="D115" s="1">
        <f t="shared" si="12"/>
        <v>105</v>
      </c>
      <c r="E115" s="5" t="s">
        <v>158</v>
      </c>
      <c r="F115" s="1" t="s">
        <v>159</v>
      </c>
      <c r="G115" s="7">
        <v>24.5</v>
      </c>
      <c r="H115" s="6">
        <f>+G115*L115</f>
        <v>2019.1826655000002</v>
      </c>
      <c r="I115" s="6">
        <f>+[106]Main!$K$5-[106]Main!$K$6</f>
        <v>1008.165</v>
      </c>
      <c r="J115" s="6">
        <f>+H115-I115</f>
        <v>1011.0176655000002</v>
      </c>
      <c r="K115" s="3" t="s">
        <v>1074</v>
      </c>
      <c r="L115" s="6">
        <f>+[106]Main!$K$3</f>
        <v>82.415619000000007</v>
      </c>
      <c r="M115" s="9">
        <v>45565</v>
      </c>
    </row>
    <row r="116" spans="1:32" x14ac:dyDescent="0.2">
      <c r="A116" t="s">
        <v>334</v>
      </c>
      <c r="B116"/>
      <c r="C116"/>
      <c r="D116" s="1">
        <f t="shared" si="12"/>
        <v>106</v>
      </c>
      <c r="E116" s="5" t="s">
        <v>145</v>
      </c>
      <c r="F116" s="1" t="s">
        <v>146</v>
      </c>
      <c r="G116" s="7">
        <v>20</v>
      </c>
      <c r="H116" s="6">
        <f>+G116*L116</f>
        <v>1929.5</v>
      </c>
      <c r="I116" s="6">
        <f>+[107]Main!$J$5-[107]Main!$J$6</f>
        <v>939.9</v>
      </c>
      <c r="J116" s="6">
        <f t="shared" ref="J116" si="17">+H116-I116</f>
        <v>989.6</v>
      </c>
      <c r="K116" s="3" t="s">
        <v>1044</v>
      </c>
      <c r="L116" s="6">
        <f>+[107]Main!$J$3</f>
        <v>96.474999999999994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2"/>
        <v>107</v>
      </c>
      <c r="E117" s="5" t="s">
        <v>370</v>
      </c>
      <c r="F117" t="s">
        <v>371</v>
      </c>
      <c r="G117" s="19">
        <v>10.7</v>
      </c>
      <c r="H117" s="6">
        <f>+G117*L117/HKD</f>
        <v>1352.1643102179487</v>
      </c>
      <c r="I117" s="6">
        <f>([108]Main!$J$6-[108]Main!$J$7)/HKD</f>
        <v>376.08884615384613</v>
      </c>
      <c r="J117" s="6">
        <f t="shared" si="16"/>
        <v>976.07546406410256</v>
      </c>
      <c r="K117" s="3" t="s">
        <v>1117</v>
      </c>
      <c r="L117" s="6">
        <f>+[108]Main!$J$4</f>
        <v>985.68987100000004</v>
      </c>
      <c r="M117" s="9">
        <v>45543</v>
      </c>
      <c r="AF117" s="1">
        <v>2012</v>
      </c>
    </row>
    <row r="118" spans="1:32" x14ac:dyDescent="0.2">
      <c r="A118"/>
      <c r="B118"/>
      <c r="C118"/>
      <c r="D118" s="1">
        <f>+D117</f>
        <v>107</v>
      </c>
      <c r="E118" s="5" t="s">
        <v>370</v>
      </c>
      <c r="F118" t="s">
        <v>1187</v>
      </c>
      <c r="G118" s="7">
        <v>27.72</v>
      </c>
      <c r="H118" s="6"/>
      <c r="K118" s="3" t="str">
        <f>+K117</f>
        <v>Q423</v>
      </c>
      <c r="L118" s="6"/>
      <c r="M118" s="9">
        <f>+M117</f>
        <v>45543</v>
      </c>
    </row>
    <row r="119" spans="1:32" x14ac:dyDescent="0.2">
      <c r="A119" s="1" t="s">
        <v>334</v>
      </c>
      <c r="D119" s="1">
        <f t="shared" si="12"/>
        <v>108</v>
      </c>
      <c r="E119" s="5" t="s">
        <v>110</v>
      </c>
      <c r="F119" s="1" t="s">
        <v>111</v>
      </c>
      <c r="G119" s="7">
        <v>20.25</v>
      </c>
      <c r="H119" s="6">
        <f>+G119*L119</f>
        <v>1252.1289825000001</v>
      </c>
      <c r="I119" s="6">
        <f>+[109]Main!$O$5-[109]Main!$O$6</f>
        <v>637.79299999999989</v>
      </c>
      <c r="J119" s="6">
        <f>+H119-I119</f>
        <v>614.33598250000023</v>
      </c>
      <c r="K119" s="3" t="s">
        <v>1074</v>
      </c>
      <c r="L119" s="6">
        <f>+[109]Main!$O$3</f>
        <v>61.833530000000003</v>
      </c>
      <c r="M119" s="9">
        <v>45563</v>
      </c>
    </row>
    <row r="120" spans="1:32" x14ac:dyDescent="0.2">
      <c r="D120" s="1">
        <f t="shared" si="12"/>
        <v>109</v>
      </c>
      <c r="E120" s="5" t="s">
        <v>739</v>
      </c>
      <c r="F120" t="s">
        <v>740</v>
      </c>
      <c r="G120" s="3">
        <v>4.13</v>
      </c>
      <c r="H120" s="6">
        <f>+G120*L120</f>
        <v>918.92499999999995</v>
      </c>
      <c r="I120" s="6">
        <f>+[110]Main!$I$5-[110]Main!$I$6</f>
        <v>251.643</v>
      </c>
      <c r="J120" s="6">
        <f>+H120-I120</f>
        <v>667.28199999999993</v>
      </c>
      <c r="K120" s="3" t="s">
        <v>1074</v>
      </c>
      <c r="L120" s="6">
        <f>+[110]Main!$I$3</f>
        <v>222.5</v>
      </c>
      <c r="M120" s="9">
        <v>45593</v>
      </c>
    </row>
    <row r="121" spans="1:32" x14ac:dyDescent="0.2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+[111]Main!$K$5-[111]Main!$K$6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+[112]Main!$K$5-[112]Main!$K$6</f>
        <v>565.53499999999997</v>
      </c>
      <c r="J122" s="6">
        <f>+H122-I122</f>
        <v>192.17019216000006</v>
      </c>
      <c r="K122" s="3" t="s">
        <v>1074</v>
      </c>
      <c r="L122" s="6">
        <f>+[112]Main!$K$3</f>
        <v>249.24512899999999</v>
      </c>
      <c r="M122" s="9">
        <v>45505</v>
      </c>
      <c r="AE122" s="1">
        <v>2018</v>
      </c>
    </row>
    <row r="123" spans="1:32" x14ac:dyDescent="0.2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+[113]Main!$L$5-[113]Main!$L$6</f>
        <v>851.52300000000002</v>
      </c>
      <c r="J123" s="6">
        <f>+H123-I123</f>
        <v>-150.21903384000007</v>
      </c>
      <c r="K123" s="3" t="s">
        <v>1074</v>
      </c>
      <c r="L123" s="6">
        <f>+[113]Main!$L$3</f>
        <v>294.66553199999998</v>
      </c>
      <c r="M123" s="9">
        <v>45536</v>
      </c>
    </row>
    <row r="124" spans="1:32" x14ac:dyDescent="0.2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">
      <c r="D125" s="1">
        <f t="shared" si="12"/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">
      <c r="A126" t="s">
        <v>334</v>
      </c>
      <c r="B126"/>
      <c r="C126"/>
      <c r="D126" s="1">
        <f t="shared" si="12"/>
        <v>110</v>
      </c>
      <c r="E126" s="1" t="s">
        <v>166</v>
      </c>
      <c r="F126" s="1" t="s">
        <v>167</v>
      </c>
      <c r="G126" s="3">
        <v>55.33</v>
      </c>
      <c r="H126" s="6">
        <v>3280</v>
      </c>
    </row>
    <row r="127" spans="1:32" x14ac:dyDescent="0.2">
      <c r="A127" t="s">
        <v>334</v>
      </c>
      <c r="B127"/>
      <c r="C127"/>
      <c r="D127" s="1">
        <f t="shared" si="12"/>
        <v>111</v>
      </c>
      <c r="E127" s="1" t="s">
        <v>154</v>
      </c>
      <c r="F127" s="1" t="s">
        <v>155</v>
      </c>
      <c r="G127" s="3">
        <v>29.49</v>
      </c>
      <c r="H127" s="6">
        <v>2880</v>
      </c>
    </row>
    <row r="128" spans="1:32" x14ac:dyDescent="0.2">
      <c r="A128" t="s">
        <v>334</v>
      </c>
      <c r="B128"/>
      <c r="C128"/>
      <c r="D128" s="1">
        <f t="shared" si="12"/>
        <v>112</v>
      </c>
      <c r="E128" s="5" t="s">
        <v>162</v>
      </c>
      <c r="F128" s="1" t="s">
        <v>163</v>
      </c>
      <c r="G128" s="7">
        <v>8.08</v>
      </c>
      <c r="H128" s="6">
        <v>2230</v>
      </c>
    </row>
    <row r="129" spans="1:8" x14ac:dyDescent="0.2">
      <c r="A129"/>
      <c r="B129"/>
      <c r="C129"/>
      <c r="D129" s="1">
        <f t="shared" si="12"/>
        <v>113</v>
      </c>
      <c r="E129" s="1" t="s">
        <v>522</v>
      </c>
      <c r="F129" t="s">
        <v>124</v>
      </c>
      <c r="G129" s="3">
        <v>18.91</v>
      </c>
      <c r="H129" s="6"/>
    </row>
    <row r="130" spans="1:8" x14ac:dyDescent="0.2">
      <c r="A130" t="s">
        <v>334</v>
      </c>
      <c r="B130"/>
      <c r="C130"/>
      <c r="D130" s="1">
        <f t="shared" si="12"/>
        <v>114</v>
      </c>
      <c r="E130" t="s">
        <v>716</v>
      </c>
      <c r="F130" t="s">
        <v>717</v>
      </c>
      <c r="G130" s="3">
        <v>4.0599999999999996</v>
      </c>
      <c r="H130" s="6">
        <v>2400</v>
      </c>
    </row>
    <row r="131" spans="1:8" x14ac:dyDescent="0.2">
      <c r="A131" t="s">
        <v>334</v>
      </c>
      <c r="B131"/>
      <c r="C131"/>
      <c r="D131" s="1">
        <f t="shared" si="12"/>
        <v>115</v>
      </c>
      <c r="E131" s="1" t="s">
        <v>173</v>
      </c>
      <c r="F131" s="1" t="s">
        <v>174</v>
      </c>
      <c r="G131" s="7">
        <v>20.010000000000002</v>
      </c>
      <c r="H131" s="6">
        <v>2150</v>
      </c>
    </row>
    <row r="132" spans="1:8" x14ac:dyDescent="0.2">
      <c r="A132" t="s">
        <v>334</v>
      </c>
      <c r="B132"/>
      <c r="C132"/>
      <c r="D132" s="1">
        <f t="shared" si="12"/>
        <v>116</v>
      </c>
      <c r="E132" s="1" t="s">
        <v>202</v>
      </c>
      <c r="F132" s="1" t="s">
        <v>203</v>
      </c>
      <c r="G132" s="7">
        <v>57.1</v>
      </c>
      <c r="H132" s="6">
        <v>2590</v>
      </c>
    </row>
    <row r="133" spans="1:8" x14ac:dyDescent="0.2">
      <c r="A133" t="s">
        <v>334</v>
      </c>
      <c r="B133"/>
      <c r="C133"/>
      <c r="D133" s="1">
        <f t="shared" si="12"/>
        <v>117</v>
      </c>
      <c r="E133" s="1" t="s">
        <v>179</v>
      </c>
      <c r="F133" s="1" t="s">
        <v>180</v>
      </c>
      <c r="G133" s="3">
        <v>48.73</v>
      </c>
      <c r="H133" s="6">
        <v>2540</v>
      </c>
    </row>
    <row r="134" spans="1:8" x14ac:dyDescent="0.2">
      <c r="A134" t="s">
        <v>334</v>
      </c>
      <c r="B134"/>
      <c r="C134"/>
      <c r="D134" s="1">
        <f t="shared" si="12"/>
        <v>118</v>
      </c>
      <c r="E134" s="1" t="s">
        <v>190</v>
      </c>
      <c r="F134" s="1" t="s">
        <v>191</v>
      </c>
      <c r="G134" s="3">
        <v>37.96</v>
      </c>
      <c r="H134" s="6">
        <v>2360</v>
      </c>
    </row>
    <row r="135" spans="1:8" x14ac:dyDescent="0.2">
      <c r="A135" t="s">
        <v>334</v>
      </c>
      <c r="B135"/>
      <c r="C135"/>
      <c r="D135" s="1">
        <f t="shared" ref="D135:D137" si="18">+D134+1</f>
        <v>119</v>
      </c>
      <c r="E135" s="1" t="s">
        <v>210</v>
      </c>
      <c r="F135" s="1" t="s">
        <v>211</v>
      </c>
      <c r="G135" s="3">
        <v>36.86</v>
      </c>
      <c r="H135" s="6">
        <v>1990</v>
      </c>
    </row>
    <row r="136" spans="1:8" x14ac:dyDescent="0.2">
      <c r="A136"/>
      <c r="B136"/>
      <c r="C136"/>
      <c r="D136" s="1">
        <f t="shared" si="18"/>
        <v>120</v>
      </c>
      <c r="E136" t="s">
        <v>358</v>
      </c>
      <c r="F136" t="s">
        <v>359</v>
      </c>
    </row>
    <row r="137" spans="1:8" x14ac:dyDescent="0.2">
      <c r="A137"/>
      <c r="B137"/>
      <c r="C137"/>
      <c r="D137" s="1">
        <f t="shared" si="18"/>
        <v>121</v>
      </c>
      <c r="E137" t="s">
        <v>356</v>
      </c>
      <c r="F137" t="s">
        <v>357</v>
      </c>
    </row>
    <row r="138" spans="1:8" x14ac:dyDescent="0.2">
      <c r="D138" s="1">
        <f t="shared" ref="D138:D201" si="19">+D137+1</f>
        <v>122</v>
      </c>
      <c r="E138" t="s">
        <v>272</v>
      </c>
      <c r="F138" t="s">
        <v>273</v>
      </c>
    </row>
    <row r="139" spans="1:8" x14ac:dyDescent="0.2">
      <c r="D139" s="1">
        <f t="shared" si="19"/>
        <v>123</v>
      </c>
      <c r="E139" t="s">
        <v>1426</v>
      </c>
      <c r="F139" t="s">
        <v>1427</v>
      </c>
      <c r="G139" s="7">
        <v>2.1</v>
      </c>
    </row>
    <row r="140" spans="1:8" x14ac:dyDescent="0.2">
      <c r="D140" s="1">
        <f t="shared" si="19"/>
        <v>124</v>
      </c>
      <c r="E140" t="s">
        <v>1428</v>
      </c>
      <c r="F140" t="s">
        <v>1429</v>
      </c>
      <c r="G140" s="7"/>
    </row>
    <row r="141" spans="1:8" x14ac:dyDescent="0.2">
      <c r="D141" s="1">
        <f t="shared" si="19"/>
        <v>125</v>
      </c>
      <c r="E141" t="s">
        <v>269</v>
      </c>
      <c r="F141" t="s">
        <v>270</v>
      </c>
    </row>
    <row r="142" spans="1:8" x14ac:dyDescent="0.2">
      <c r="D142" s="1">
        <f t="shared" si="19"/>
        <v>126</v>
      </c>
      <c r="E142" s="5" t="s">
        <v>1430</v>
      </c>
      <c r="F142" t="s">
        <v>1431</v>
      </c>
      <c r="G142" s="7">
        <v>2.06</v>
      </c>
    </row>
    <row r="143" spans="1:8" x14ac:dyDescent="0.2">
      <c r="D143" s="1">
        <f>+D141+1</f>
        <v>126</v>
      </c>
      <c r="E143" t="s">
        <v>362</v>
      </c>
      <c r="F143" t="s">
        <v>363</v>
      </c>
    </row>
    <row r="144" spans="1:8" x14ac:dyDescent="0.2">
      <c r="A144"/>
      <c r="B144"/>
      <c r="C144"/>
      <c r="D144" s="1">
        <f t="shared" si="19"/>
        <v>127</v>
      </c>
      <c r="E144" t="s">
        <v>1060</v>
      </c>
      <c r="F144" t="s">
        <v>1061</v>
      </c>
    </row>
    <row r="145" spans="1:31" x14ac:dyDescent="0.2">
      <c r="A145"/>
      <c r="B145"/>
      <c r="C145"/>
      <c r="D145" s="1">
        <f t="shared" si="19"/>
        <v>128</v>
      </c>
      <c r="E145" t="s">
        <v>1058</v>
      </c>
      <c r="F145" t="s">
        <v>1059</v>
      </c>
      <c r="G145" s="7"/>
    </row>
    <row r="146" spans="1:31" x14ac:dyDescent="0.2">
      <c r="A146"/>
      <c r="B146"/>
      <c r="C146"/>
      <c r="D146" s="1">
        <f t="shared" si="19"/>
        <v>129</v>
      </c>
      <c r="E146" t="s">
        <v>1432</v>
      </c>
      <c r="F146"/>
      <c r="G146" s="7"/>
    </row>
    <row r="147" spans="1:31" x14ac:dyDescent="0.2">
      <c r="A147"/>
      <c r="B147"/>
      <c r="C147"/>
      <c r="D147" s="1">
        <f t="shared" si="19"/>
        <v>130</v>
      </c>
      <c r="E147" t="s">
        <v>597</v>
      </c>
      <c r="F147" t="s">
        <v>598</v>
      </c>
    </row>
    <row r="148" spans="1:31" x14ac:dyDescent="0.2">
      <c r="D148" s="1">
        <f t="shared" si="19"/>
        <v>131</v>
      </c>
      <c r="E148" s="1" t="s">
        <v>116</v>
      </c>
      <c r="F148" s="1" t="s">
        <v>117</v>
      </c>
      <c r="G148" s="3">
        <v>83.97</v>
      </c>
    </row>
    <row r="149" spans="1:31" x14ac:dyDescent="0.2">
      <c r="A149"/>
      <c r="B149"/>
      <c r="C149"/>
      <c r="D149" s="1">
        <f t="shared" si="19"/>
        <v>132</v>
      </c>
      <c r="E149" t="s">
        <v>1064</v>
      </c>
      <c r="F149" t="s">
        <v>1065</v>
      </c>
      <c r="H149" s="6"/>
    </row>
    <row r="150" spans="1:31" x14ac:dyDescent="0.2">
      <c r="A150"/>
      <c r="B150"/>
      <c r="C150"/>
      <c r="D150" s="1">
        <f t="shared" si="19"/>
        <v>133</v>
      </c>
      <c r="E150" t="s">
        <v>1120</v>
      </c>
      <c r="F150" t="s">
        <v>1121</v>
      </c>
      <c r="H150" s="6"/>
    </row>
    <row r="151" spans="1:31" x14ac:dyDescent="0.2">
      <c r="A151"/>
      <c r="B151"/>
      <c r="C151"/>
      <c r="D151" s="1">
        <f t="shared" si="19"/>
        <v>134</v>
      </c>
      <c r="E151" t="s">
        <v>1069</v>
      </c>
      <c r="H151" s="6"/>
    </row>
    <row r="152" spans="1:31" x14ac:dyDescent="0.2">
      <c r="A152"/>
      <c r="B152"/>
      <c r="C152"/>
      <c r="D152" s="1">
        <f t="shared" si="19"/>
        <v>135</v>
      </c>
      <c r="E152" t="s">
        <v>1070</v>
      </c>
      <c r="H152" s="6"/>
    </row>
    <row r="153" spans="1:31" x14ac:dyDescent="0.2">
      <c r="A153"/>
      <c r="B153"/>
      <c r="C153"/>
      <c r="D153" s="1">
        <f t="shared" si="19"/>
        <v>136</v>
      </c>
      <c r="E153" t="s">
        <v>336</v>
      </c>
      <c r="F153" t="s">
        <v>337</v>
      </c>
      <c r="H153" s="6"/>
    </row>
    <row r="154" spans="1:31" x14ac:dyDescent="0.2">
      <c r="A154"/>
      <c r="B154"/>
      <c r="C154"/>
      <c r="D154" s="1">
        <f t="shared" si="19"/>
        <v>137</v>
      </c>
      <c r="E154" t="s">
        <v>1068</v>
      </c>
      <c r="H154" s="6"/>
    </row>
    <row r="155" spans="1:31" x14ac:dyDescent="0.2">
      <c r="A155"/>
      <c r="B155"/>
      <c r="C155"/>
      <c r="D155" s="1">
        <f t="shared" si="19"/>
        <v>138</v>
      </c>
      <c r="E155" t="s">
        <v>1150</v>
      </c>
      <c r="F155" s="1" t="s">
        <v>1151</v>
      </c>
      <c r="H155" s="6"/>
    </row>
    <row r="156" spans="1:31" x14ac:dyDescent="0.2">
      <c r="A156" t="s">
        <v>334</v>
      </c>
      <c r="B156"/>
      <c r="C156"/>
      <c r="D156" s="1">
        <f t="shared" si="19"/>
        <v>139</v>
      </c>
      <c r="E156" t="s">
        <v>682</v>
      </c>
      <c r="F156" t="s">
        <v>683</v>
      </c>
    </row>
    <row r="157" spans="1:31" x14ac:dyDescent="0.2">
      <c r="A157"/>
      <c r="B157"/>
      <c r="C157"/>
      <c r="D157" s="1">
        <f t="shared" si="19"/>
        <v>140</v>
      </c>
      <c r="E157" t="s">
        <v>307</v>
      </c>
      <c r="F157" t="s">
        <v>308</v>
      </c>
      <c r="G157" s="3">
        <v>4.26</v>
      </c>
      <c r="H157" s="6"/>
      <c r="AE157" s="1">
        <v>2011</v>
      </c>
    </row>
    <row r="158" spans="1:31" x14ac:dyDescent="0.2">
      <c r="A158" t="s">
        <v>334</v>
      </c>
      <c r="B158"/>
      <c r="C158"/>
      <c r="D158" s="1">
        <f t="shared" si="19"/>
        <v>141</v>
      </c>
      <c r="E158" s="5" t="s">
        <v>375</v>
      </c>
      <c r="F158" t="s">
        <v>376</v>
      </c>
      <c r="G158" s="3">
        <v>32.26</v>
      </c>
      <c r="H158" s="6">
        <f>+G158*L158</f>
        <v>1873.2795513199999</v>
      </c>
      <c r="I158" s="6">
        <f>+[114]Main!$J$5-[114]Main!$J$6</f>
        <v>566.44900000000007</v>
      </c>
      <c r="J158" s="6">
        <f t="shared" ref="J158:J160" si="20">+H158-I158</f>
        <v>1306.8305513199998</v>
      </c>
      <c r="K158" s="3" t="s">
        <v>301</v>
      </c>
      <c r="L158" s="6">
        <f>+[114]Main!$J$3</f>
        <v>58.068182</v>
      </c>
      <c r="M158" s="9">
        <v>44824</v>
      </c>
    </row>
    <row r="159" spans="1:31" x14ac:dyDescent="0.2">
      <c r="A159" t="s">
        <v>334</v>
      </c>
      <c r="B159"/>
      <c r="C159"/>
      <c r="D159" s="1">
        <f t="shared" si="19"/>
        <v>142</v>
      </c>
      <c r="E159" s="5" t="s">
        <v>512</v>
      </c>
      <c r="F159" t="s">
        <v>513</v>
      </c>
      <c r="G159" s="3">
        <v>12.41</v>
      </c>
      <c r="H159" s="6">
        <f>G159*L159</f>
        <v>686.11028007999994</v>
      </c>
      <c r="I159" s="6">
        <f>[115]Main!$L$5-[115]Main!$L$6</f>
        <v>578</v>
      </c>
      <c r="J159" s="6">
        <f t="shared" si="20"/>
        <v>108.11028007999994</v>
      </c>
      <c r="K159" s="3" t="s">
        <v>649</v>
      </c>
      <c r="L159" s="6">
        <f>[115]Main!$L$3</f>
        <v>55.286887999999998</v>
      </c>
      <c r="M159" s="9">
        <v>45064</v>
      </c>
    </row>
    <row r="160" spans="1:31" x14ac:dyDescent="0.2">
      <c r="A160" t="s">
        <v>334</v>
      </c>
      <c r="B160"/>
      <c r="C160"/>
      <c r="D160" s="1">
        <f t="shared" si="19"/>
        <v>143</v>
      </c>
      <c r="E160" s="5" t="s">
        <v>782</v>
      </c>
      <c r="F160" t="s">
        <v>783</v>
      </c>
      <c r="G160" s="7">
        <v>3.06</v>
      </c>
      <c r="H160" s="6">
        <f>G160*L160</f>
        <v>205.55876502000001</v>
      </c>
      <c r="I160" s="6">
        <f>[116]Main!$O$5-[116]Main!$O$6</f>
        <v>345.67399999999998</v>
      </c>
      <c r="J160" s="6">
        <f t="shared" si="20"/>
        <v>-140.11523497999997</v>
      </c>
      <c r="K160" s="3" t="s">
        <v>649</v>
      </c>
      <c r="L160" s="6">
        <f>[116]Main!$O$3</f>
        <v>67.176067000000003</v>
      </c>
      <c r="M160" s="9">
        <v>45067</v>
      </c>
    </row>
    <row r="161" spans="1:13" x14ac:dyDescent="0.2">
      <c r="A161" t="s">
        <v>334</v>
      </c>
      <c r="B161"/>
      <c r="C161"/>
      <c r="D161" s="1">
        <f t="shared" si="19"/>
        <v>144</v>
      </c>
      <c r="E161" s="5" t="s">
        <v>181</v>
      </c>
      <c r="F161" s="1" t="s">
        <v>182</v>
      </c>
      <c r="G161" s="7">
        <v>7.28</v>
      </c>
      <c r="H161" s="6">
        <f>G161*L161</f>
        <v>434.74418623999998</v>
      </c>
      <c r="I161" s="6">
        <f>[117]Main!$K$5-[117]Main!$K$6</f>
        <v>1272.4940000000001</v>
      </c>
      <c r="J161" s="6">
        <f>H161-I161</f>
        <v>-837.74981376000017</v>
      </c>
      <c r="K161" s="3" t="s">
        <v>517</v>
      </c>
      <c r="L161" s="6">
        <f>[117]Main!$K$3</f>
        <v>59.717607999999998</v>
      </c>
      <c r="M161" s="9">
        <v>44999</v>
      </c>
    </row>
    <row r="162" spans="1:13" x14ac:dyDescent="0.2">
      <c r="A162"/>
      <c r="B162"/>
      <c r="C162"/>
      <c r="D162" s="1">
        <f t="shared" si="19"/>
        <v>145</v>
      </c>
      <c r="E162" s="5" t="s">
        <v>141</v>
      </c>
      <c r="F162" t="s">
        <v>1180</v>
      </c>
      <c r="G162" s="7">
        <v>5.91</v>
      </c>
      <c r="H162" s="6"/>
    </row>
    <row r="163" spans="1:13" x14ac:dyDescent="0.2">
      <c r="A163"/>
      <c r="B163"/>
      <c r="C163"/>
      <c r="D163" s="1">
        <f t="shared" si="19"/>
        <v>146</v>
      </c>
      <c r="E163" s="5" t="s">
        <v>141</v>
      </c>
      <c r="F163" t="s">
        <v>142</v>
      </c>
      <c r="G163" s="7">
        <v>3.32</v>
      </c>
      <c r="H163" s="6"/>
    </row>
    <row r="164" spans="1:13" x14ac:dyDescent="0.2">
      <c r="A164"/>
      <c r="B164"/>
      <c r="C164"/>
      <c r="D164" s="1">
        <f t="shared" si="19"/>
        <v>147</v>
      </c>
      <c r="E164" s="1" t="s">
        <v>216</v>
      </c>
      <c r="F164" s="1" t="s">
        <v>217</v>
      </c>
      <c r="G164" s="3">
        <v>18.309999999999999</v>
      </c>
      <c r="H164" s="6">
        <v>1930</v>
      </c>
    </row>
    <row r="165" spans="1:13" x14ac:dyDescent="0.2">
      <c r="A165"/>
      <c r="B165"/>
      <c r="C165"/>
      <c r="D165" s="1">
        <f t="shared" si="19"/>
        <v>148</v>
      </c>
      <c r="E165" t="s">
        <v>1182</v>
      </c>
      <c r="F165" t="s">
        <v>1183</v>
      </c>
      <c r="H165" s="6"/>
    </row>
    <row r="166" spans="1:13" x14ac:dyDescent="0.2">
      <c r="A166"/>
      <c r="B166"/>
      <c r="C166"/>
      <c r="D166" s="1">
        <f t="shared" si="19"/>
        <v>149</v>
      </c>
      <c r="E166" t="s">
        <v>1124</v>
      </c>
      <c r="F166" t="s">
        <v>1125</v>
      </c>
      <c r="H166" s="6"/>
    </row>
    <row r="167" spans="1:13" x14ac:dyDescent="0.2">
      <c r="D167" s="1">
        <f t="shared" si="19"/>
        <v>150</v>
      </c>
      <c r="E167" t="s">
        <v>1126</v>
      </c>
      <c r="F167" t="s">
        <v>1127</v>
      </c>
    </row>
    <row r="168" spans="1:13" x14ac:dyDescent="0.2">
      <c r="A168" t="s">
        <v>334</v>
      </c>
      <c r="B168"/>
      <c r="C168"/>
      <c r="D168" s="1">
        <f t="shared" si="19"/>
        <v>151</v>
      </c>
      <c r="E168" t="s">
        <v>694</v>
      </c>
      <c r="F168" t="s">
        <v>695</v>
      </c>
      <c r="H168" s="6"/>
    </row>
    <row r="169" spans="1:13" x14ac:dyDescent="0.2">
      <c r="A169" t="s">
        <v>334</v>
      </c>
      <c r="B169"/>
      <c r="C169"/>
      <c r="D169" s="1">
        <f t="shared" si="19"/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8" x14ac:dyDescent="0.2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8" x14ac:dyDescent="0.2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8" x14ac:dyDescent="0.2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8" x14ac:dyDescent="0.2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8" x14ac:dyDescent="0.2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8" x14ac:dyDescent="0.2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8" x14ac:dyDescent="0.2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8" x14ac:dyDescent="0.2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8" x14ac:dyDescent="0.2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8" x14ac:dyDescent="0.2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8" x14ac:dyDescent="0.2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8" x14ac:dyDescent="0.2">
      <c r="A188" t="s">
        <v>334</v>
      </c>
      <c r="B188"/>
      <c r="C188"/>
      <c r="D188" s="1">
        <f t="shared" si="19"/>
        <v>171</v>
      </c>
      <c r="E188" t="s">
        <v>767</v>
      </c>
      <c r="F188" t="s">
        <v>768</v>
      </c>
      <c r="H188" s="6"/>
    </row>
    <row r="189" spans="1:8" x14ac:dyDescent="0.2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8" x14ac:dyDescent="0.2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8" x14ac:dyDescent="0.2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8" x14ac:dyDescent="0.2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x14ac:dyDescent="0.2">
      <c r="D193" s="1">
        <f t="shared" si="19"/>
        <v>176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">
      <c r="A206" t="s">
        <v>334</v>
      </c>
      <c r="B206"/>
      <c r="C206"/>
      <c r="D206" s="1">
        <f t="shared" si="21"/>
        <v>190</v>
      </c>
      <c r="E206" t="s">
        <v>727</v>
      </c>
      <c r="F206" t="s">
        <v>728</v>
      </c>
      <c r="H206" s="6"/>
    </row>
    <row r="207" spans="1:30" x14ac:dyDescent="0.2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44.8</v>
      </c>
      <c r="H210" s="6">
        <f>+G210*L210</f>
        <v>2901.4842752</v>
      </c>
      <c r="I210" s="6">
        <f>+[118]Main!$L$5-[118]Main!$L$6</f>
        <v>911.00500000000011</v>
      </c>
      <c r="J210" s="6">
        <f>+H210-I210</f>
        <v>1990.4792751999998</v>
      </c>
      <c r="K210" s="3" t="s">
        <v>1280</v>
      </c>
      <c r="L210" s="6">
        <f>+[118]Main!$L$3</f>
        <v>64.765274000000005</v>
      </c>
      <c r="M210" s="9">
        <v>45632</v>
      </c>
    </row>
    <row r="211" spans="1:31" x14ac:dyDescent="0.2">
      <c r="A211" t="s">
        <v>334</v>
      </c>
      <c r="B211"/>
      <c r="C211"/>
      <c r="D211" s="1">
        <f>+D204+1</f>
        <v>189</v>
      </c>
      <c r="E211" s="5" t="s">
        <v>288</v>
      </c>
      <c r="F211" t="s">
        <v>289</v>
      </c>
      <c r="G211" s="3">
        <v>15.65</v>
      </c>
      <c r="H211" s="6">
        <f>G211*[119]Main!$L$3</f>
        <v>1253.1559559500001</v>
      </c>
      <c r="I211" s="6">
        <f>+[119]Main!$L$5-[119]Main!$L$6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">
      <c r="A212"/>
      <c r="B212"/>
      <c r="C212"/>
      <c r="D212" s="1">
        <f t="shared" si="21"/>
        <v>190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+[120]Main!$K$5-[120]Main!$K$6</f>
        <v>304.87299999999999</v>
      </c>
      <c r="J212" s="6">
        <f>+H212-I212</f>
        <v>1013.4317666899999</v>
      </c>
      <c r="K212" s="3" t="s">
        <v>1074</v>
      </c>
      <c r="L212" s="6">
        <f>+[120]Main!$K$3</f>
        <v>38.899521</v>
      </c>
      <c r="M212" s="9">
        <v>45558</v>
      </c>
    </row>
    <row r="213" spans="1:31" x14ac:dyDescent="0.2">
      <c r="A213" t="s">
        <v>334</v>
      </c>
      <c r="B213"/>
      <c r="C213"/>
      <c r="D213" s="1">
        <f t="shared" si="21"/>
        <v>191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+[121]Main!$K$5-[121]Main!$K$6</f>
        <v>449.76100000000002</v>
      </c>
      <c r="J213" s="6">
        <f t="shared" si="22"/>
        <v>905.63941124999997</v>
      </c>
      <c r="K213" s="3" t="s">
        <v>419</v>
      </c>
      <c r="L213" s="6">
        <f>+[121]Main!$K$3</f>
        <v>57.069490999999999</v>
      </c>
      <c r="M213" s="9">
        <v>44947</v>
      </c>
      <c r="AE213" s="1">
        <v>2015</v>
      </c>
    </row>
    <row r="214" spans="1:31" x14ac:dyDescent="0.2">
      <c r="A214" t="s">
        <v>334</v>
      </c>
      <c r="B214"/>
      <c r="C214"/>
      <c r="D214" s="1">
        <f t="shared" si="21"/>
        <v>192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+[122]Main!$K$5-[122]Main!$K$6</f>
        <v>361.86599999999999</v>
      </c>
      <c r="J214" s="6">
        <f t="shared" si="22"/>
        <v>896.61893903999999</v>
      </c>
      <c r="K214" s="3" t="s">
        <v>1074</v>
      </c>
      <c r="L214" s="6">
        <f>+[122]Main!$K$3</f>
        <v>87.760456000000005</v>
      </c>
      <c r="M214" s="9">
        <v>45555</v>
      </c>
    </row>
    <row r="215" spans="1:31" x14ac:dyDescent="0.2">
      <c r="D215" s="1">
        <f t="shared" si="21"/>
        <v>193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+[123]Main!$L$5-[123]Main!$L$6</f>
        <v>122.197</v>
      </c>
      <c r="J215" s="6">
        <f>+H215-I215</f>
        <v>841.36321369000007</v>
      </c>
      <c r="K215" s="3" t="s">
        <v>1074</v>
      </c>
      <c r="L215" s="6">
        <f>+[123]Main!$L$3</f>
        <v>114.846271</v>
      </c>
      <c r="M215" s="9">
        <v>45567</v>
      </c>
    </row>
    <row r="216" spans="1:31" x14ac:dyDescent="0.2">
      <c r="A216" t="s">
        <v>334</v>
      </c>
      <c r="B216"/>
      <c r="C216"/>
      <c r="D216" s="1">
        <f t="shared" si="21"/>
        <v>194</v>
      </c>
      <c r="E216" s="5" t="s">
        <v>298</v>
      </c>
      <c r="F216" t="s">
        <v>299</v>
      </c>
      <c r="G216" s="3">
        <v>11</v>
      </c>
      <c r="H216" s="6">
        <f>+G216*[124]Main!$L$3</f>
        <v>798.23003700000004</v>
      </c>
      <c r="I216" s="6">
        <f>+[124]Main!$L$5-[124]Main!$L$6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">
      <c r="A217" t="s">
        <v>334</v>
      </c>
      <c r="B217"/>
      <c r="C217"/>
      <c r="D217" s="1">
        <f t="shared" si="21"/>
        <v>195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+[125]Main!$J$5-[125]Main!$J$6</f>
        <v>601.58999999999992</v>
      </c>
      <c r="J217" s="6">
        <f t="shared" si="22"/>
        <v>295.5923366400001</v>
      </c>
      <c r="K217" s="3" t="s">
        <v>16</v>
      </c>
      <c r="L217" s="6">
        <f>+[125]Main!$J$3</f>
        <v>121.89977399999999</v>
      </c>
      <c r="M217" s="9">
        <v>44827</v>
      </c>
    </row>
    <row r="218" spans="1:31" x14ac:dyDescent="0.2">
      <c r="A218"/>
      <c r="B218"/>
      <c r="C218"/>
      <c r="D218" s="1">
        <f t="shared" si="21"/>
        <v>196</v>
      </c>
      <c r="E218" s="5" t="s">
        <v>1199</v>
      </c>
      <c r="F218" t="s">
        <v>1200</v>
      </c>
      <c r="G218" s="3">
        <v>7.86</v>
      </c>
      <c r="H218" s="6">
        <f>+G218*L218</f>
        <v>491.65306866000003</v>
      </c>
      <c r="I218" s="6">
        <f>+[126]Main!$K$5-[126]Main!$K$6</f>
        <v>62.650000000000006</v>
      </c>
      <c r="J218" s="6">
        <f>+H218-I218</f>
        <v>429.00306866000005</v>
      </c>
      <c r="K218" s="3" t="s">
        <v>1074</v>
      </c>
      <c r="L218" s="6">
        <f>+[126]Main!$K$3</f>
        <v>62.551281000000003</v>
      </c>
      <c r="M218" s="9">
        <v>45569</v>
      </c>
      <c r="AE218" s="1">
        <v>2014</v>
      </c>
    </row>
    <row r="219" spans="1:31" x14ac:dyDescent="0.2">
      <c r="A219"/>
      <c r="B219"/>
      <c r="C219"/>
      <c r="D219" s="1">
        <f t="shared" si="21"/>
        <v>197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+[127]Main!$K$5-[127]Main!$K$6</f>
        <v>157.43700000000001</v>
      </c>
      <c r="J219" s="6">
        <f>+H219-I219</f>
        <v>68.790258999999992</v>
      </c>
      <c r="K219" s="3" t="s">
        <v>1074</v>
      </c>
      <c r="L219" s="6">
        <f>+[127]Main!$K$3</f>
        <v>226.227259</v>
      </c>
      <c r="M219" s="9">
        <v>45569</v>
      </c>
    </row>
    <row r="220" spans="1:31" customFormat="1" x14ac:dyDescent="0.2">
      <c r="A220" t="s">
        <v>334</v>
      </c>
      <c r="D220" s="1">
        <f t="shared" si="21"/>
        <v>198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+[128]Main!$J$5-[128]Main!$J$6</f>
        <v>149</v>
      </c>
      <c r="J220" s="30">
        <f>+H220-I220</f>
        <v>25.63324424000001</v>
      </c>
      <c r="K220" s="28" t="s">
        <v>1280</v>
      </c>
      <c r="L220" s="30">
        <f>+[128]Main!$J$3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x14ac:dyDescent="0.2">
      <c r="A221" s="25" t="s">
        <v>334</v>
      </c>
      <c r="D221" s="1">
        <f t="shared" si="21"/>
        <v>199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">
      <c r="A222" t="s">
        <v>334</v>
      </c>
      <c r="B222"/>
      <c r="C222"/>
      <c r="D222" s="1">
        <f t="shared" si="21"/>
        <v>200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">
      <c r="A223" t="s">
        <v>334</v>
      </c>
      <c r="B223"/>
      <c r="C223"/>
      <c r="D223" s="1">
        <f t="shared" si="21"/>
        <v>201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">
      <c r="A224" t="s">
        <v>334</v>
      </c>
      <c r="B224"/>
      <c r="C224"/>
      <c r="D224" s="1">
        <f t="shared" si="21"/>
        <v>202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+[129]Main!$J$5-[129]Main!$J$6</f>
        <v>220.43200000000002</v>
      </c>
      <c r="J224" s="6">
        <f>+H224-I224</f>
        <v>68.848002419999943</v>
      </c>
      <c r="K224" s="3" t="s">
        <v>1074</v>
      </c>
      <c r="L224" s="6">
        <f>+[129]Main!$J$3</f>
        <v>30.972162999999998</v>
      </c>
      <c r="M224" s="9">
        <v>45548</v>
      </c>
      <c r="AE224" s="1">
        <v>2018</v>
      </c>
    </row>
    <row r="225" spans="1:13" x14ac:dyDescent="0.2">
      <c r="A225" t="s">
        <v>334</v>
      </c>
      <c r="B225"/>
      <c r="C225"/>
      <c r="D225" s="1">
        <f t="shared" si="21"/>
        <v>203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">
      <c r="A226" t="s">
        <v>334</v>
      </c>
      <c r="B226"/>
      <c r="C226"/>
      <c r="D226" s="1">
        <f t="shared" si="21"/>
        <v>204</v>
      </c>
      <c r="E226" t="s">
        <v>761</v>
      </c>
      <c r="F226" t="s">
        <v>762</v>
      </c>
      <c r="G226" s="7"/>
    </row>
    <row r="227" spans="1:13" x14ac:dyDescent="0.2">
      <c r="A227" t="s">
        <v>334</v>
      </c>
      <c r="B227"/>
      <c r="C227"/>
      <c r="D227" s="1">
        <f t="shared" si="21"/>
        <v>205</v>
      </c>
      <c r="E227" t="s">
        <v>759</v>
      </c>
      <c r="F227" t="s">
        <v>760</v>
      </c>
      <c r="G227" s="7"/>
    </row>
    <row r="228" spans="1:13" x14ac:dyDescent="0.2">
      <c r="A228"/>
      <c r="B228"/>
      <c r="C228"/>
      <c r="D228" s="1">
        <f t="shared" si="21"/>
        <v>206</v>
      </c>
      <c r="E228" s="5" t="s">
        <v>1184</v>
      </c>
      <c r="F228" t="s">
        <v>1185</v>
      </c>
      <c r="G228" s="7">
        <v>1.08</v>
      </c>
      <c r="H228" s="6">
        <f>+G228*L228</f>
        <v>76.012537320000007</v>
      </c>
      <c r="I228" s="6">
        <f>+[130]Main!$L$5-[130]Main!$L$6</f>
        <v>10.994</v>
      </c>
      <c r="J228" s="6">
        <f>+H228-I228</f>
        <v>65.018537320000007</v>
      </c>
      <c r="K228" s="3" t="s">
        <v>1074</v>
      </c>
      <c r="L228" s="6">
        <f>+[130]Main!$L$3</f>
        <v>70.381979000000001</v>
      </c>
      <c r="M228" s="9">
        <v>45562</v>
      </c>
    </row>
    <row r="229" spans="1:13" x14ac:dyDescent="0.2">
      <c r="A229" t="s">
        <v>334</v>
      </c>
      <c r="B229"/>
      <c r="C229"/>
      <c r="D229" s="1">
        <f t="shared" si="21"/>
        <v>207</v>
      </c>
      <c r="E229" t="s">
        <v>757</v>
      </c>
      <c r="F229" t="s">
        <v>758</v>
      </c>
      <c r="G229" s="7"/>
    </row>
    <row r="230" spans="1:13" x14ac:dyDescent="0.2">
      <c r="A230"/>
      <c r="B230"/>
      <c r="C230"/>
      <c r="D230" s="1">
        <f t="shared" si="21"/>
        <v>208</v>
      </c>
      <c r="E230" t="s">
        <v>1175</v>
      </c>
      <c r="F230" t="s">
        <v>1176</v>
      </c>
      <c r="G230" s="7">
        <v>5.43</v>
      </c>
    </row>
    <row r="231" spans="1:13" x14ac:dyDescent="0.2">
      <c r="A231" t="s">
        <v>334</v>
      </c>
      <c r="B231"/>
      <c r="C231"/>
      <c r="D231" s="1">
        <f t="shared" si="21"/>
        <v>209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">
      <c r="A232"/>
      <c r="B232"/>
      <c r="C232"/>
      <c r="D232" s="1">
        <f t="shared" si="21"/>
        <v>210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">
      <c r="A233" t="s">
        <v>334</v>
      </c>
      <c r="B233"/>
      <c r="C233"/>
      <c r="D233" s="1">
        <f t="shared" si="21"/>
        <v>211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">
      <c r="A234" t="s">
        <v>334</v>
      </c>
      <c r="B234"/>
      <c r="C234"/>
      <c r="D234" s="1">
        <f t="shared" si="21"/>
        <v>212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">
      <c r="A235" t="s">
        <v>334</v>
      </c>
      <c r="B235"/>
      <c r="C235"/>
      <c r="D235" s="1">
        <f t="shared" si="21"/>
        <v>213</v>
      </c>
      <c r="E235" t="s">
        <v>785</v>
      </c>
      <c r="F235" t="s">
        <v>786</v>
      </c>
      <c r="H235" s="6"/>
    </row>
    <row r="236" spans="1:13" x14ac:dyDescent="0.2">
      <c r="A236" t="s">
        <v>334</v>
      </c>
      <c r="B236"/>
      <c r="C236"/>
      <c r="D236" s="1">
        <f t="shared" si="21"/>
        <v>214</v>
      </c>
      <c r="E236" t="s">
        <v>714</v>
      </c>
      <c r="F236" t="s">
        <v>715</v>
      </c>
      <c r="H236" s="6"/>
    </row>
    <row r="237" spans="1:13" x14ac:dyDescent="0.2">
      <c r="A237" t="s">
        <v>334</v>
      </c>
      <c r="B237"/>
      <c r="C237"/>
      <c r="D237" s="1">
        <f t="shared" si="21"/>
        <v>215</v>
      </c>
      <c r="E237" t="s">
        <v>710</v>
      </c>
      <c r="F237" t="s">
        <v>711</v>
      </c>
    </row>
    <row r="238" spans="1:13" x14ac:dyDescent="0.2">
      <c r="A238" t="s">
        <v>334</v>
      </c>
      <c r="B238"/>
      <c r="C238"/>
      <c r="D238" s="1">
        <f t="shared" si="21"/>
        <v>216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">
      <c r="A239" t="s">
        <v>334</v>
      </c>
      <c r="B239"/>
      <c r="C239"/>
      <c r="D239" s="1">
        <f t="shared" si="21"/>
        <v>217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">
      <c r="D240" s="1">
        <f>+D270+1</f>
        <v>248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+[131]Main!$N$5-[131]Main!$N$6</f>
        <v>732.71699999999998</v>
      </c>
      <c r="J240" s="6">
        <f>+H240-I240</f>
        <v>809.5551840899999</v>
      </c>
      <c r="K240" s="3" t="s">
        <v>1280</v>
      </c>
      <c r="L240" s="6">
        <f>+[131]Main!$N$3</f>
        <v>79.212746999999993</v>
      </c>
      <c r="M240" s="9">
        <v>45636</v>
      </c>
    </row>
    <row r="241" spans="1:31" x14ac:dyDescent="0.2">
      <c r="A241" t="s">
        <v>334</v>
      </c>
      <c r="B241"/>
      <c r="C241"/>
      <c r="D241" s="1">
        <f>+D239+1</f>
        <v>218</v>
      </c>
      <c r="E241" s="5" t="s">
        <v>232</v>
      </c>
      <c r="F241" s="1" t="s">
        <v>233</v>
      </c>
      <c r="G241" s="3">
        <v>7.06</v>
      </c>
      <c r="H241" s="6">
        <f>G241*[132]Main!$J$3</f>
        <v>725.62786605999997</v>
      </c>
      <c r="I241" s="6">
        <f>[132]Main!$J$5-[132]Main!$J$6</f>
        <v>197.79600000000002</v>
      </c>
      <c r="J241" s="8">
        <f>+H241-I241</f>
        <v>527.83186605999992</v>
      </c>
      <c r="K241" s="3" t="s">
        <v>16</v>
      </c>
    </row>
    <row r="242" spans="1:31" x14ac:dyDescent="0.2">
      <c r="A242" t="s">
        <v>334</v>
      </c>
      <c r="B242"/>
      <c r="C242"/>
      <c r="D242" s="1">
        <f t="shared" si="21"/>
        <v>219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+[133]Main!$K$5-[133]Main!$K$6</f>
        <v>-37.984000000000002</v>
      </c>
      <c r="J242" s="8">
        <f t="shared" ref="J242" si="23">+H242-I242</f>
        <v>524.41625439999996</v>
      </c>
      <c r="K242" s="3" t="s">
        <v>301</v>
      </c>
      <c r="L242" s="6">
        <f>+[133]Main!$K$3</f>
        <v>810.72042399999998</v>
      </c>
      <c r="M242" s="9">
        <v>44816</v>
      </c>
      <c r="AE242" s="1">
        <v>2002</v>
      </c>
    </row>
    <row r="243" spans="1:31" x14ac:dyDescent="0.2">
      <c r="A243" t="s">
        <v>334</v>
      </c>
      <c r="B243"/>
      <c r="C243"/>
      <c r="D243" s="1">
        <f>+D246+1</f>
        <v>223</v>
      </c>
      <c r="E243" s="5" t="s">
        <v>238</v>
      </c>
      <c r="F243" s="1" t="s">
        <v>239</v>
      </c>
      <c r="G243" s="7">
        <v>6.29</v>
      </c>
      <c r="H243" s="6">
        <f>+G243*L243</f>
        <v>491.58489229000003</v>
      </c>
      <c r="I243" s="6">
        <f>+[134]Main!$J$5-[134]Main!$J$6</f>
        <v>49.931000000000012</v>
      </c>
      <c r="J243" s="8">
        <f>+H243-I243</f>
        <v>441.65389229000004</v>
      </c>
      <c r="K243" s="3" t="s">
        <v>1280</v>
      </c>
      <c r="L243" s="6">
        <f>[134]Main!$J$3</f>
        <v>78.153401000000002</v>
      </c>
      <c r="M243" s="9">
        <v>45659</v>
      </c>
    </row>
    <row r="244" spans="1:31" x14ac:dyDescent="0.2">
      <c r="D244" s="1">
        <f>+D242+1</f>
        <v>220</v>
      </c>
      <c r="E244" s="5" t="s">
        <v>561</v>
      </c>
      <c r="F244" t="s">
        <v>562</v>
      </c>
      <c r="G244" s="3">
        <v>12.34</v>
      </c>
      <c r="H244" s="6">
        <f>+G244*L244</f>
        <v>520.74076875999992</v>
      </c>
      <c r="I244" s="6">
        <f>+[135]Main!$J$5-[135]Main!$J$6</f>
        <v>127.87499999999999</v>
      </c>
      <c r="J244" s="6">
        <f>+H244-I244</f>
        <v>392.86576875999992</v>
      </c>
      <c r="K244" s="3" t="s">
        <v>1280</v>
      </c>
      <c r="L244" s="6">
        <f>+[135]Main!$J$3</f>
        <v>42.199413999999997</v>
      </c>
      <c r="M244" s="9">
        <v>45631</v>
      </c>
    </row>
    <row r="245" spans="1:31" x14ac:dyDescent="0.2">
      <c r="A245" t="s">
        <v>334</v>
      </c>
      <c r="B245"/>
      <c r="C245"/>
      <c r="D245" s="1">
        <f t="shared" si="21"/>
        <v>221</v>
      </c>
      <c r="E245" s="5" t="s">
        <v>234</v>
      </c>
      <c r="F245" s="1" t="s">
        <v>235</v>
      </c>
      <c r="G245" s="3">
        <v>14.68</v>
      </c>
      <c r="H245" s="6">
        <f>G245*[136]Main!$L$3</f>
        <v>587.26396075999992</v>
      </c>
      <c r="I245" s="6">
        <f>[136]Main!$L$5-[136]Main!$L$6</f>
        <v>277.88299999999998</v>
      </c>
      <c r="J245" s="8">
        <f>+H245-I245</f>
        <v>309.38096075999994</v>
      </c>
      <c r="K245" s="3" t="s">
        <v>16</v>
      </c>
    </row>
    <row r="246" spans="1:31" x14ac:dyDescent="0.2">
      <c r="A246" t="s">
        <v>334</v>
      </c>
      <c r="B246"/>
      <c r="C246"/>
      <c r="D246" s="1">
        <f t="shared" si="21"/>
        <v>222</v>
      </c>
      <c r="E246" s="5" t="s">
        <v>236</v>
      </c>
      <c r="F246" s="1" t="s">
        <v>237</v>
      </c>
      <c r="G246" s="3">
        <v>4.8600000000000003</v>
      </c>
      <c r="H246" s="6">
        <f>G246*[137]Main!$J$3</f>
        <v>312.71415336000001</v>
      </c>
      <c r="I246" s="8">
        <f>+[137]Main!$J$5-[137]Main!$J$6</f>
        <v>92.317999999999998</v>
      </c>
      <c r="J246" s="8">
        <f>+H246-I246</f>
        <v>220.39615336000003</v>
      </c>
      <c r="K246" s="3" t="s">
        <v>16</v>
      </c>
    </row>
    <row r="247" spans="1:31" x14ac:dyDescent="0.2">
      <c r="D247" s="1">
        <f>+D243+1</f>
        <v>224</v>
      </c>
      <c r="E247" s="5" t="s">
        <v>240</v>
      </c>
      <c r="F247" s="1" t="s">
        <v>241</v>
      </c>
      <c r="G247" s="7">
        <v>0.7</v>
      </c>
      <c r="H247" s="6">
        <f>G247*[138]Main!$M$3</f>
        <v>128.9392503</v>
      </c>
      <c r="I247" s="6">
        <f>[138]Main!$M$5-[138]Main!$M$6</f>
        <v>-59.50200000000001</v>
      </c>
      <c r="J247" s="8">
        <f t="shared" ref="J247:J254" si="24">+H247-I247</f>
        <v>188.44125030000001</v>
      </c>
      <c r="K247" s="3" t="s">
        <v>16</v>
      </c>
    </row>
    <row r="248" spans="1:31" x14ac:dyDescent="0.2">
      <c r="D248" s="1">
        <f t="shared" si="21"/>
        <v>225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+[139]Main!$K$5-[139]Main!$K$6</f>
        <v>78.481999999999999</v>
      </c>
      <c r="J248" s="6">
        <f>+H248-I248</f>
        <v>66.288738179999996</v>
      </c>
      <c r="K248" s="3" t="s">
        <v>1074</v>
      </c>
      <c r="L248" s="6">
        <f>+[139]Main!$K$3</f>
        <v>75.796198000000004</v>
      </c>
      <c r="M248" s="9">
        <v>45573</v>
      </c>
    </row>
    <row r="249" spans="1:31" x14ac:dyDescent="0.2">
      <c r="A249" t="s">
        <v>334</v>
      </c>
      <c r="B249"/>
      <c r="C249"/>
      <c r="D249" s="1">
        <f t="shared" si="21"/>
        <v>226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+[140]Main!$N$5-[140]Main!$N$6</f>
        <v>-7.4640000000000004</v>
      </c>
      <c r="J249" s="6">
        <f>+H249-I249</f>
        <v>37.871559149999996</v>
      </c>
      <c r="K249" s="3" t="s">
        <v>301</v>
      </c>
      <c r="L249" s="6">
        <f>+[140]Main!$N$3</f>
        <v>9.4141049999999993</v>
      </c>
      <c r="M249" s="9">
        <v>44780</v>
      </c>
    </row>
    <row r="250" spans="1:31" x14ac:dyDescent="0.2">
      <c r="A250" t="s">
        <v>334</v>
      </c>
      <c r="B250"/>
      <c r="C250"/>
      <c r="D250" s="1">
        <f t="shared" si="21"/>
        <v>227</v>
      </c>
      <c r="E250" s="5" t="s">
        <v>242</v>
      </c>
      <c r="F250" s="1" t="s">
        <v>243</v>
      </c>
      <c r="G250" s="3">
        <v>1.98</v>
      </c>
      <c r="H250" s="6">
        <f>G250*[141]Main!$N$3</f>
        <v>39.757463459999997</v>
      </c>
      <c r="I250" s="6">
        <f>[141]Main!$N$5-[141]Main!$N$6</f>
        <v>15.942</v>
      </c>
      <c r="J250" s="8">
        <f t="shared" si="24"/>
        <v>23.815463459999997</v>
      </c>
      <c r="K250" s="3" t="s">
        <v>16</v>
      </c>
    </row>
    <row r="251" spans="1:31" x14ac:dyDescent="0.2">
      <c r="D251" s="1">
        <f t="shared" si="21"/>
        <v>228</v>
      </c>
      <c r="E251" s="5" t="s">
        <v>244</v>
      </c>
      <c r="F251" s="1" t="s">
        <v>245</v>
      </c>
      <c r="G251" s="3">
        <v>0.62</v>
      </c>
      <c r="H251" s="6">
        <f>G251*[142]Main!$L$3</f>
        <v>30.1881658</v>
      </c>
      <c r="I251" s="6">
        <f>[142]Main!$L$5-[142]Main!$L$6</f>
        <v>13.262999999999998</v>
      </c>
      <c r="J251" s="8">
        <f t="shared" si="24"/>
        <v>16.925165800000002</v>
      </c>
      <c r="K251" s="3" t="s">
        <v>16</v>
      </c>
    </row>
    <row r="252" spans="1:31" x14ac:dyDescent="0.2">
      <c r="D252" s="1">
        <f t="shared" si="21"/>
        <v>229</v>
      </c>
      <c r="E252" s="5" t="s">
        <v>246</v>
      </c>
      <c r="F252" s="1" t="s">
        <v>247</v>
      </c>
      <c r="G252" s="3">
        <v>6.12</v>
      </c>
      <c r="H252" s="6">
        <f>G252*[143]Main!$M$3</f>
        <v>125.46108324000001</v>
      </c>
      <c r="I252" s="6">
        <f>[143]Main!$M$5-[143]Main!$M$6</f>
        <v>131.17699999999999</v>
      </c>
      <c r="J252" s="8">
        <f t="shared" si="24"/>
        <v>-5.7159167599999847</v>
      </c>
      <c r="K252" s="3" t="s">
        <v>16</v>
      </c>
    </row>
    <row r="253" spans="1:31" x14ac:dyDescent="0.2">
      <c r="D253" s="1">
        <f t="shared" si="21"/>
        <v>230</v>
      </c>
      <c r="E253" s="5" t="s">
        <v>248</v>
      </c>
      <c r="F253" s="1" t="s">
        <v>249</v>
      </c>
      <c r="G253" s="3">
        <v>0.98</v>
      </c>
      <c r="H253" s="6">
        <f>G253*[144]Main!$M$3</f>
        <v>20.935517539999999</v>
      </c>
      <c r="I253" s="6">
        <f>[144]Main!$M$5-[144]Main!$M$6</f>
        <v>55.28</v>
      </c>
      <c r="J253" s="8">
        <f t="shared" si="24"/>
        <v>-34.344482460000002</v>
      </c>
      <c r="K253" s="3" t="s">
        <v>16</v>
      </c>
    </row>
    <row r="254" spans="1:31" x14ac:dyDescent="0.2">
      <c r="D254" s="1">
        <f t="shared" si="21"/>
        <v>231</v>
      </c>
      <c r="E254" s="5" t="s">
        <v>1309</v>
      </c>
      <c r="F254" t="s">
        <v>1190</v>
      </c>
      <c r="G254" s="7">
        <v>5</v>
      </c>
      <c r="H254" s="6">
        <f>+G254*L254</f>
        <v>639.20965000000001</v>
      </c>
      <c r="I254" s="6">
        <f>+[145]Main!$J$5-[145]Main!$J$6</f>
        <v>115.78</v>
      </c>
      <c r="J254" s="8">
        <f t="shared" si="24"/>
        <v>523.42965000000004</v>
      </c>
      <c r="K254" s="3" t="s">
        <v>1074</v>
      </c>
      <c r="L254" s="6">
        <f>+[145]Main!$J$3</f>
        <v>127.84193</v>
      </c>
    </row>
    <row r="255" spans="1:31" x14ac:dyDescent="0.2">
      <c r="D255" s="1">
        <f t="shared" si="21"/>
        <v>232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+[146]Main!$K$5-[146]Main!$K$6</f>
        <v>136.64599999999999</v>
      </c>
      <c r="J255" s="6">
        <f>+H255-I255</f>
        <v>-79.969639999999998</v>
      </c>
      <c r="K255" s="3" t="s">
        <v>1074</v>
      </c>
      <c r="L255" s="6">
        <f>+[146]Main!$K$3</f>
        <v>60.293999999999997</v>
      </c>
      <c r="M255" s="9">
        <v>45550</v>
      </c>
      <c r="AE255" s="1">
        <v>2017</v>
      </c>
    </row>
    <row r="256" spans="1:31" x14ac:dyDescent="0.2">
      <c r="D256" s="1">
        <f t="shared" si="21"/>
        <v>233</v>
      </c>
      <c r="E256" s="1" t="s">
        <v>250</v>
      </c>
      <c r="F256" s="1" t="s">
        <v>251</v>
      </c>
      <c r="G256" s="3">
        <v>0.61</v>
      </c>
    </row>
    <row r="257" spans="1:8" x14ac:dyDescent="0.2">
      <c r="D257" s="1">
        <f t="shared" si="21"/>
        <v>234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">
      <c r="D258" s="1">
        <f t="shared" si="21"/>
        <v>235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">
      <c r="D259" s="1">
        <f t="shared" si="21"/>
        <v>236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">
      <c r="D260" s="1">
        <f t="shared" si="21"/>
        <v>237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">
      <c r="D261" s="1">
        <f t="shared" si="21"/>
        <v>238</v>
      </c>
      <c r="E261" s="1" t="s">
        <v>379</v>
      </c>
      <c r="F261" s="1" t="s">
        <v>380</v>
      </c>
      <c r="G261" s="3">
        <v>25.85</v>
      </c>
    </row>
    <row r="262" spans="1:8" x14ac:dyDescent="0.2">
      <c r="D262" s="1">
        <f t="shared" si="21"/>
        <v>239</v>
      </c>
      <c r="E262" t="s">
        <v>385</v>
      </c>
      <c r="F262" t="s">
        <v>386</v>
      </c>
      <c r="G262" s="3">
        <v>9.26</v>
      </c>
      <c r="H262" s="3">
        <v>204</v>
      </c>
    </row>
    <row r="263" spans="1:8" x14ac:dyDescent="0.2">
      <c r="D263" s="1">
        <f t="shared" si="21"/>
        <v>240</v>
      </c>
      <c r="E263" s="25" t="s">
        <v>1355</v>
      </c>
      <c r="F263" t="s">
        <v>1356</v>
      </c>
      <c r="G263" s="3">
        <v>30.21</v>
      </c>
    </row>
    <row r="264" spans="1:8" x14ac:dyDescent="0.2">
      <c r="D264" s="1">
        <f t="shared" si="21"/>
        <v>241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">
      <c r="D265" s="1">
        <f t="shared" si="21"/>
        <v>242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">
      <c r="D266" s="1">
        <f t="shared" si="21"/>
        <v>243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">
      <c r="D267" s="1">
        <f t="shared" si="21"/>
        <v>244</v>
      </c>
      <c r="E267" t="s">
        <v>745</v>
      </c>
      <c r="F267" t="s">
        <v>746</v>
      </c>
    </row>
    <row r="268" spans="1:8" x14ac:dyDescent="0.2">
      <c r="D268" s="1">
        <f t="shared" ref="D268:D328" si="25">+D267+1</f>
        <v>245</v>
      </c>
      <c r="E268" t="s">
        <v>748</v>
      </c>
      <c r="F268" t="s">
        <v>749</v>
      </c>
    </row>
    <row r="269" spans="1:8" x14ac:dyDescent="0.2">
      <c r="A269"/>
      <c r="B269"/>
      <c r="C269"/>
      <c r="D269" s="1">
        <f t="shared" si="25"/>
        <v>246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">
      <c r="D270" s="1">
        <f t="shared" si="25"/>
        <v>247</v>
      </c>
      <c r="E270" t="s">
        <v>743</v>
      </c>
      <c r="F270" t="s">
        <v>744</v>
      </c>
    </row>
    <row r="271" spans="1:8" x14ac:dyDescent="0.2">
      <c r="D271" s="1">
        <f>+D240+1</f>
        <v>249</v>
      </c>
      <c r="E271" t="s">
        <v>504</v>
      </c>
      <c r="F271" t="s">
        <v>505</v>
      </c>
    </row>
    <row r="272" spans="1:8" x14ac:dyDescent="0.2">
      <c r="D272" s="1">
        <f t="shared" si="25"/>
        <v>250</v>
      </c>
      <c r="E272" t="s">
        <v>733</v>
      </c>
      <c r="F272" t="s">
        <v>734</v>
      </c>
    </row>
    <row r="273" spans="1:7" x14ac:dyDescent="0.2">
      <c r="D273" s="1">
        <f t="shared" si="25"/>
        <v>251</v>
      </c>
      <c r="E273" t="s">
        <v>729</v>
      </c>
      <c r="F273" t="s">
        <v>730</v>
      </c>
    </row>
    <row r="274" spans="1:7" x14ac:dyDescent="0.2">
      <c r="D274" s="1">
        <f t="shared" si="25"/>
        <v>252</v>
      </c>
      <c r="E274" s="1" t="s">
        <v>515</v>
      </c>
      <c r="F274" s="1" t="s">
        <v>516</v>
      </c>
    </row>
    <row r="275" spans="1:7" x14ac:dyDescent="0.2">
      <c r="D275" s="1">
        <f t="shared" si="25"/>
        <v>253</v>
      </c>
      <c r="E275" t="s">
        <v>520</v>
      </c>
      <c r="F275" t="s">
        <v>1301</v>
      </c>
      <c r="G275" s="3">
        <v>13.13</v>
      </c>
    </row>
    <row r="276" spans="1:7" x14ac:dyDescent="0.2">
      <c r="D276" s="1">
        <f t="shared" si="25"/>
        <v>254</v>
      </c>
      <c r="E276" s="1" t="s">
        <v>523</v>
      </c>
      <c r="F276" s="1" t="s">
        <v>524</v>
      </c>
      <c r="G276" s="3">
        <v>7.08</v>
      </c>
    </row>
    <row r="277" spans="1:7" x14ac:dyDescent="0.2">
      <c r="D277" s="1">
        <f t="shared" si="25"/>
        <v>255</v>
      </c>
      <c r="E277" t="s">
        <v>526</v>
      </c>
      <c r="F277" t="s">
        <v>525</v>
      </c>
      <c r="G277" s="7">
        <v>20.3</v>
      </c>
    </row>
    <row r="278" spans="1:7" x14ac:dyDescent="0.2">
      <c r="D278" s="1">
        <f t="shared" si="25"/>
        <v>256</v>
      </c>
      <c r="E278" t="s">
        <v>527</v>
      </c>
      <c r="F278" t="s">
        <v>528</v>
      </c>
      <c r="G278" s="3">
        <v>0.38</v>
      </c>
    </row>
    <row r="279" spans="1:7" x14ac:dyDescent="0.2">
      <c r="D279" s="1">
        <f t="shared" si="25"/>
        <v>257</v>
      </c>
      <c r="E279" t="s">
        <v>529</v>
      </c>
      <c r="F279" t="s">
        <v>530</v>
      </c>
      <c r="G279" s="3">
        <v>4.24</v>
      </c>
    </row>
    <row r="280" spans="1:7" x14ac:dyDescent="0.2">
      <c r="A280" s="1" t="s">
        <v>334</v>
      </c>
      <c r="D280" s="1">
        <f t="shared" si="25"/>
        <v>258</v>
      </c>
      <c r="E280" t="s">
        <v>531</v>
      </c>
      <c r="F280" t="s">
        <v>532</v>
      </c>
      <c r="G280" s="3">
        <v>13.74</v>
      </c>
    </row>
    <row r="281" spans="1:7" x14ac:dyDescent="0.2">
      <c r="D281" s="1">
        <f t="shared" si="25"/>
        <v>259</v>
      </c>
      <c r="E281" t="s">
        <v>533</v>
      </c>
      <c r="F281" t="s">
        <v>534</v>
      </c>
      <c r="G281" s="3">
        <v>4.3600000000000003</v>
      </c>
    </row>
    <row r="282" spans="1:7" x14ac:dyDescent="0.2">
      <c r="D282" s="1">
        <f t="shared" si="25"/>
        <v>260</v>
      </c>
      <c r="E282" t="s">
        <v>535</v>
      </c>
      <c r="F282" t="s">
        <v>536</v>
      </c>
      <c r="G282" s="3">
        <v>7.06</v>
      </c>
    </row>
    <row r="283" spans="1:7" x14ac:dyDescent="0.2">
      <c r="D283" s="1">
        <f t="shared" si="25"/>
        <v>261</v>
      </c>
      <c r="E283" t="s">
        <v>787</v>
      </c>
      <c r="F283" t="s">
        <v>788</v>
      </c>
    </row>
    <row r="284" spans="1:7" x14ac:dyDescent="0.2">
      <c r="A284" s="1" t="s">
        <v>334</v>
      </c>
      <c r="D284" s="1">
        <f t="shared" si="25"/>
        <v>262</v>
      </c>
      <c r="E284" t="s">
        <v>537</v>
      </c>
      <c r="F284" t="s">
        <v>538</v>
      </c>
      <c r="G284" s="3">
        <v>1.04</v>
      </c>
    </row>
    <row r="285" spans="1:7" x14ac:dyDescent="0.2">
      <c r="D285" s="1">
        <f t="shared" si="25"/>
        <v>263</v>
      </c>
      <c r="E285" s="34" t="s">
        <v>539</v>
      </c>
      <c r="F285" s="34" t="s">
        <v>540</v>
      </c>
    </row>
    <row r="286" spans="1:7" x14ac:dyDescent="0.2">
      <c r="D286" s="1">
        <f t="shared" si="25"/>
        <v>264</v>
      </c>
      <c r="E286" t="s">
        <v>541</v>
      </c>
      <c r="F286" t="s">
        <v>542</v>
      </c>
      <c r="G286" s="3">
        <v>2.97</v>
      </c>
    </row>
    <row r="287" spans="1:7" x14ac:dyDescent="0.2">
      <c r="D287" s="1">
        <f t="shared" si="25"/>
        <v>265</v>
      </c>
      <c r="E287" t="s">
        <v>543</v>
      </c>
      <c r="F287" t="s">
        <v>544</v>
      </c>
      <c r="G287" s="3">
        <v>3.28</v>
      </c>
    </row>
    <row r="288" spans="1:7" x14ac:dyDescent="0.2">
      <c r="D288" s="1">
        <f t="shared" si="25"/>
        <v>266</v>
      </c>
      <c r="E288" t="s">
        <v>547</v>
      </c>
      <c r="F288" t="s">
        <v>548</v>
      </c>
    </row>
    <row r="289" spans="1:7" x14ac:dyDescent="0.2">
      <c r="D289" s="1">
        <f t="shared" si="25"/>
        <v>267</v>
      </c>
      <c r="E289" t="s">
        <v>549</v>
      </c>
      <c r="F289" t="s">
        <v>550</v>
      </c>
      <c r="G289" s="3">
        <v>18.07</v>
      </c>
    </row>
    <row r="290" spans="1:7" x14ac:dyDescent="0.2">
      <c r="D290" s="1">
        <f t="shared" si="25"/>
        <v>268</v>
      </c>
      <c r="E290" t="s">
        <v>551</v>
      </c>
      <c r="F290" t="s">
        <v>552</v>
      </c>
      <c r="G290" s="3">
        <v>2.68</v>
      </c>
    </row>
    <row r="291" spans="1:7" x14ac:dyDescent="0.2">
      <c r="D291" s="1">
        <f t="shared" si="25"/>
        <v>269</v>
      </c>
      <c r="E291" t="s">
        <v>553</v>
      </c>
      <c r="F291" t="s">
        <v>554</v>
      </c>
      <c r="G291" s="7">
        <v>7</v>
      </c>
    </row>
    <row r="292" spans="1:7" x14ac:dyDescent="0.2">
      <c r="D292" s="1">
        <f t="shared" si="25"/>
        <v>270</v>
      </c>
      <c r="E292" t="s">
        <v>555</v>
      </c>
      <c r="F292" t="s">
        <v>556</v>
      </c>
      <c r="G292" s="3">
        <v>1.76</v>
      </c>
    </row>
    <row r="293" spans="1:7" x14ac:dyDescent="0.2">
      <c r="D293" s="1">
        <f t="shared" si="25"/>
        <v>271</v>
      </c>
      <c r="E293" t="s">
        <v>992</v>
      </c>
      <c r="F293" t="s">
        <v>993</v>
      </c>
    </row>
    <row r="294" spans="1:7" x14ac:dyDescent="0.2">
      <c r="D294" s="1">
        <f t="shared" si="25"/>
        <v>272</v>
      </c>
      <c r="E294" t="s">
        <v>557</v>
      </c>
      <c r="F294" t="s">
        <v>558</v>
      </c>
      <c r="G294" s="3">
        <v>0.61</v>
      </c>
    </row>
    <row r="295" spans="1:7" x14ac:dyDescent="0.2">
      <c r="D295" s="1">
        <f t="shared" si="25"/>
        <v>273</v>
      </c>
      <c r="E295" t="s">
        <v>559</v>
      </c>
      <c r="F295" t="s">
        <v>560</v>
      </c>
      <c r="G295" s="3">
        <v>0.68</v>
      </c>
    </row>
    <row r="296" spans="1:7" x14ac:dyDescent="0.2">
      <c r="D296" s="1">
        <f t="shared" si="25"/>
        <v>274</v>
      </c>
      <c r="E296" t="s">
        <v>563</v>
      </c>
      <c r="F296" t="s">
        <v>564</v>
      </c>
      <c r="G296" s="3">
        <v>1.86</v>
      </c>
    </row>
    <row r="297" spans="1:7" x14ac:dyDescent="0.2">
      <c r="D297" s="1">
        <f t="shared" si="25"/>
        <v>275</v>
      </c>
      <c r="E297" t="s">
        <v>565</v>
      </c>
      <c r="F297" t="s">
        <v>566</v>
      </c>
      <c r="G297" s="3">
        <v>1.87</v>
      </c>
    </row>
    <row r="298" spans="1:7" x14ac:dyDescent="0.2">
      <c r="D298" s="1">
        <f t="shared" si="25"/>
        <v>276</v>
      </c>
      <c r="E298" s="34" t="s">
        <v>567</v>
      </c>
      <c r="F298" s="34" t="s">
        <v>568</v>
      </c>
      <c r="G298"/>
    </row>
    <row r="299" spans="1:7" x14ac:dyDescent="0.2">
      <c r="D299" s="1">
        <f t="shared" si="25"/>
        <v>277</v>
      </c>
      <c r="E299" t="s">
        <v>570</v>
      </c>
      <c r="F299" t="s">
        <v>569</v>
      </c>
      <c r="G299" s="3">
        <v>7.46</v>
      </c>
    </row>
    <row r="300" spans="1:7" x14ac:dyDescent="0.2">
      <c r="D300" s="1">
        <f t="shared" si="25"/>
        <v>278</v>
      </c>
      <c r="E300" t="s">
        <v>802</v>
      </c>
      <c r="F300" t="s">
        <v>803</v>
      </c>
    </row>
    <row r="301" spans="1:7" x14ac:dyDescent="0.2">
      <c r="D301" s="1">
        <f t="shared" si="25"/>
        <v>279</v>
      </c>
      <c r="E301" t="s">
        <v>800</v>
      </c>
      <c r="F301" t="s">
        <v>801</v>
      </c>
      <c r="G301" s="3">
        <v>8.77</v>
      </c>
    </row>
    <row r="302" spans="1:7" x14ac:dyDescent="0.2">
      <c r="D302" s="1">
        <f t="shared" si="25"/>
        <v>280</v>
      </c>
      <c r="E302" t="s">
        <v>571</v>
      </c>
      <c r="F302" t="s">
        <v>572</v>
      </c>
      <c r="G302" s="3">
        <v>2.77</v>
      </c>
    </row>
    <row r="303" spans="1:7" x14ac:dyDescent="0.2">
      <c r="D303" s="1">
        <f t="shared" si="25"/>
        <v>281</v>
      </c>
      <c r="E303" t="s">
        <v>348</v>
      </c>
      <c r="F303" t="s">
        <v>349</v>
      </c>
      <c r="G303" s="3">
        <v>2.67</v>
      </c>
    </row>
    <row r="304" spans="1:7" x14ac:dyDescent="0.2">
      <c r="A304" s="1" t="s">
        <v>334</v>
      </c>
      <c r="D304" s="1">
        <f t="shared" si="25"/>
        <v>282</v>
      </c>
      <c r="E304" t="s">
        <v>980</v>
      </c>
      <c r="F304" t="s">
        <v>981</v>
      </c>
    </row>
    <row r="305" spans="1:31" x14ac:dyDescent="0.2">
      <c r="A305" s="1" t="s">
        <v>334</v>
      </c>
      <c r="D305" s="1">
        <f t="shared" si="25"/>
        <v>283</v>
      </c>
      <c r="E305" t="s">
        <v>978</v>
      </c>
      <c r="F305" t="s">
        <v>979</v>
      </c>
    </row>
    <row r="306" spans="1:31" x14ac:dyDescent="0.2">
      <c r="A306" t="s">
        <v>334</v>
      </c>
      <c r="B306"/>
      <c r="C306"/>
      <c r="D306" s="1">
        <f t="shared" si="25"/>
        <v>284</v>
      </c>
      <c r="E306" t="s">
        <v>984</v>
      </c>
      <c r="F306" t="s">
        <v>985</v>
      </c>
    </row>
    <row r="307" spans="1:31" x14ac:dyDescent="0.2">
      <c r="A307"/>
      <c r="B307"/>
      <c r="C307"/>
      <c r="D307" s="1">
        <f t="shared" si="25"/>
        <v>285</v>
      </c>
      <c r="E307" t="s">
        <v>986</v>
      </c>
      <c r="F307" t="s">
        <v>987</v>
      </c>
    </row>
    <row r="308" spans="1:31" x14ac:dyDescent="0.2">
      <c r="A308" t="s">
        <v>334</v>
      </c>
      <c r="B308"/>
      <c r="C308"/>
      <c r="D308" s="1">
        <f t="shared" si="25"/>
        <v>286</v>
      </c>
      <c r="E308" t="s">
        <v>988</v>
      </c>
      <c r="F308" t="s">
        <v>989</v>
      </c>
    </row>
    <row r="309" spans="1:31" x14ac:dyDescent="0.2">
      <c r="A309" t="s">
        <v>334</v>
      </c>
      <c r="B309"/>
      <c r="C309"/>
      <c r="D309" s="1">
        <f t="shared" si="25"/>
        <v>287</v>
      </c>
      <c r="E309" t="s">
        <v>990</v>
      </c>
      <c r="F309" t="s">
        <v>991</v>
      </c>
    </row>
    <row r="310" spans="1:31" x14ac:dyDescent="0.2">
      <c r="A310" t="s">
        <v>334</v>
      </c>
      <c r="B310"/>
      <c r="C310"/>
      <c r="D310" s="1">
        <f t="shared" si="25"/>
        <v>288</v>
      </c>
      <c r="E310" t="s">
        <v>982</v>
      </c>
      <c r="F310" t="s">
        <v>983</v>
      </c>
    </row>
    <row r="311" spans="1:31" x14ac:dyDescent="0.2">
      <c r="A311" s="1" t="s">
        <v>334</v>
      </c>
      <c r="D311" s="1">
        <f t="shared" si="25"/>
        <v>289</v>
      </c>
      <c r="E311" t="s">
        <v>976</v>
      </c>
      <c r="F311" t="s">
        <v>977</v>
      </c>
    </row>
    <row r="312" spans="1:31" x14ac:dyDescent="0.2">
      <c r="A312" s="1" t="s">
        <v>334</v>
      </c>
      <c r="D312" s="1">
        <f t="shared" si="25"/>
        <v>290</v>
      </c>
      <c r="E312" t="s">
        <v>573</v>
      </c>
      <c r="F312" t="s">
        <v>574</v>
      </c>
      <c r="G312" s="7">
        <v>2.2000000000000002</v>
      </c>
    </row>
    <row r="313" spans="1:31" x14ac:dyDescent="0.2">
      <c r="A313" s="1" t="s">
        <v>334</v>
      </c>
      <c r="D313" s="1">
        <f t="shared" si="25"/>
        <v>291</v>
      </c>
      <c r="E313" t="s">
        <v>577</v>
      </c>
      <c r="F313" t="s">
        <v>578</v>
      </c>
      <c r="G313" s="3">
        <v>0.92</v>
      </c>
    </row>
    <row r="314" spans="1:31" x14ac:dyDescent="0.2">
      <c r="A314" s="1" t="s">
        <v>334</v>
      </c>
      <c r="D314" s="1">
        <f t="shared" si="25"/>
        <v>292</v>
      </c>
      <c r="E314" t="s">
        <v>579</v>
      </c>
      <c r="F314" t="s">
        <v>580</v>
      </c>
      <c r="G314" s="3">
        <v>2.94</v>
      </c>
    </row>
    <row r="315" spans="1:31" x14ac:dyDescent="0.2">
      <c r="A315" s="1" t="s">
        <v>334</v>
      </c>
      <c r="D315" s="1">
        <f t="shared" si="25"/>
        <v>293</v>
      </c>
      <c r="E315" t="s">
        <v>581</v>
      </c>
      <c r="F315" t="s">
        <v>582</v>
      </c>
      <c r="G315" s="3">
        <v>5.88</v>
      </c>
    </row>
    <row r="316" spans="1:31" x14ac:dyDescent="0.2">
      <c r="A316" s="1" t="s">
        <v>334</v>
      </c>
      <c r="D316" s="1">
        <f t="shared" si="25"/>
        <v>294</v>
      </c>
      <c r="E316" t="s">
        <v>583</v>
      </c>
      <c r="F316" t="s">
        <v>584</v>
      </c>
      <c r="G316" s="7">
        <v>3.46</v>
      </c>
    </row>
    <row r="317" spans="1:31" x14ac:dyDescent="0.2">
      <c r="A317" t="s">
        <v>334</v>
      </c>
      <c r="B317"/>
      <c r="C317"/>
      <c r="D317" s="1">
        <f t="shared" si="25"/>
        <v>295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+[147]Main!$M$5-[147]Main!$M$6</f>
        <v>99.997</v>
      </c>
      <c r="J317" s="6">
        <f>+H317-I317</f>
        <v>488.73748214000005</v>
      </c>
      <c r="K317" s="3" t="s">
        <v>1074</v>
      </c>
      <c r="L317" s="6">
        <f>+[147]Main!$M$3</f>
        <v>44.567334000000002</v>
      </c>
      <c r="M317" s="9">
        <v>45568</v>
      </c>
    </row>
    <row r="318" spans="1:31" x14ac:dyDescent="0.2">
      <c r="A318" t="s">
        <v>334</v>
      </c>
      <c r="B318"/>
      <c r="C318"/>
      <c r="D318" s="1">
        <f t="shared" si="25"/>
        <v>296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+[148]Main!$K$5-[148]Main!$K$6</f>
        <v>174.27199999999999</v>
      </c>
      <c r="J318" s="6">
        <f>+H318-I318</f>
        <v>317.95222608</v>
      </c>
      <c r="K318" s="3" t="s">
        <v>1074</v>
      </c>
      <c r="L318" s="6">
        <f>+[148]Main!$K$3</f>
        <v>43.215471999999998</v>
      </c>
      <c r="M318" s="9">
        <v>45567</v>
      </c>
    </row>
    <row r="319" spans="1:31" x14ac:dyDescent="0.2">
      <c r="A319" s="1" t="s">
        <v>334</v>
      </c>
      <c r="D319" s="1">
        <f t="shared" si="25"/>
        <v>297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[149]Main!$M$5-[149]Main!$M$6</f>
        <v>236.422</v>
      </c>
      <c r="J319" s="6">
        <f>H319-I319</f>
        <v>416.95678099999998</v>
      </c>
      <c r="L319" s="6">
        <f>[149]Main!$M$3</f>
        <v>19.799357000000001</v>
      </c>
      <c r="M319" s="9">
        <v>45063</v>
      </c>
      <c r="AE319" s="1">
        <v>2017</v>
      </c>
    </row>
    <row r="320" spans="1:31" x14ac:dyDescent="0.2">
      <c r="A320"/>
      <c r="B320"/>
      <c r="C320"/>
      <c r="D320" s="1">
        <f t="shared" si="25"/>
        <v>298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+[150]Main!$K$5-[150]Main!$K$6</f>
        <v>280.24800000000005</v>
      </c>
      <c r="J320" s="6">
        <f>+H320-I320</f>
        <v>196.5992511</v>
      </c>
      <c r="K320" s="3" t="s">
        <v>1074</v>
      </c>
      <c r="L320" s="6">
        <f>+[150]Main!$K$3</f>
        <v>53.518210000000003</v>
      </c>
      <c r="M320" s="9">
        <v>45557</v>
      </c>
    </row>
    <row r="321" spans="1:31" x14ac:dyDescent="0.2">
      <c r="A321" s="1" t="s">
        <v>334</v>
      </c>
      <c r="D321" s="1">
        <f t="shared" si="25"/>
        <v>299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+[151]Main!$J$5-[151]Main!$J$6</f>
        <v>69.49499999999999</v>
      </c>
      <c r="J321" s="6">
        <f>+H321-I321</f>
        <v>172.96200277999998</v>
      </c>
      <c r="K321" s="3" t="s">
        <v>1074</v>
      </c>
      <c r="L321" s="6">
        <f>+[151]Main!$J$3</f>
        <v>72.591916999999995</v>
      </c>
      <c r="M321" s="9">
        <v>45548</v>
      </c>
    </row>
    <row r="322" spans="1:31" x14ac:dyDescent="0.2">
      <c r="A322"/>
      <c r="B322"/>
      <c r="C322"/>
      <c r="D322" s="1">
        <f t="shared" si="25"/>
        <v>300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+[152]Main!$K$5-[152]Main!$K$6</f>
        <v>29.36</v>
      </c>
      <c r="J322" s="6">
        <f>+H322-I322</f>
        <v>66.314332159999992</v>
      </c>
      <c r="K322" s="3" t="s">
        <v>1074</v>
      </c>
      <c r="L322" s="6">
        <f>+[152]Main!$K$3</f>
        <v>74.745571999999996</v>
      </c>
      <c r="M322" s="9">
        <v>45554</v>
      </c>
    </row>
    <row r="323" spans="1:31" x14ac:dyDescent="0.2">
      <c r="A323"/>
      <c r="B323"/>
      <c r="C323"/>
      <c r="D323" s="1">
        <f t="shared" si="25"/>
        <v>301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+[153]Main!$L$5-[153]Main!$L$6</f>
        <v>33.298999999999999</v>
      </c>
      <c r="J323" s="6">
        <f>+H323-I323</f>
        <v>-3.1882702000000016</v>
      </c>
      <c r="K323" s="3" t="s">
        <v>1074</v>
      </c>
      <c r="L323" s="6">
        <f>+[153]Main!$L$3</f>
        <v>35.424388</v>
      </c>
      <c r="M323" s="9">
        <v>45558</v>
      </c>
    </row>
    <row r="324" spans="1:31" x14ac:dyDescent="0.2">
      <c r="D324" s="1">
        <f t="shared" si="25"/>
        <v>302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[154]Main!$K$5-[154]Main!$K$6</f>
        <v>54.983000000000004</v>
      </c>
      <c r="J324" s="6">
        <f>H324-I324</f>
        <v>-42.469815400000002</v>
      </c>
      <c r="L324" s="6">
        <f>[154]Main!$K$3</f>
        <v>35.751956</v>
      </c>
      <c r="M324" s="9">
        <v>45063</v>
      </c>
    </row>
    <row r="325" spans="1:31" x14ac:dyDescent="0.2">
      <c r="A325"/>
      <c r="B325"/>
      <c r="C325"/>
      <c r="D325" s="1">
        <f t="shared" si="25"/>
        <v>303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+[155]Main!$K$5-[155]Main!$K$6</f>
        <v>426.65000000000003</v>
      </c>
      <c r="J325" s="6">
        <f>+H325-I325</f>
        <v>-99.962968980000085</v>
      </c>
      <c r="K325" s="3" t="s">
        <v>1074</v>
      </c>
      <c r="L325" s="6">
        <f>+[155]Main!$K$3</f>
        <v>70.558753999999993</v>
      </c>
      <c r="M325" s="9">
        <v>45564</v>
      </c>
      <c r="AE325" s="1">
        <v>2015</v>
      </c>
    </row>
    <row r="326" spans="1:31" x14ac:dyDescent="0.2">
      <c r="A326" s="1" t="s">
        <v>334</v>
      </c>
      <c r="D326" s="1">
        <f t="shared" si="25"/>
        <v>304</v>
      </c>
      <c r="E326" s="1" t="s">
        <v>589</v>
      </c>
      <c r="F326" s="1" t="s">
        <v>590</v>
      </c>
    </row>
    <row r="327" spans="1:31" x14ac:dyDescent="0.2">
      <c r="D327" s="1">
        <f t="shared" si="25"/>
        <v>305</v>
      </c>
      <c r="E327" t="s">
        <v>591</v>
      </c>
      <c r="F327" t="s">
        <v>592</v>
      </c>
    </row>
    <row r="328" spans="1:31" x14ac:dyDescent="0.2">
      <c r="A328" s="1" t="s">
        <v>334</v>
      </c>
      <c r="D328" s="1">
        <f t="shared" si="25"/>
        <v>306</v>
      </c>
      <c r="E328" t="s">
        <v>593</v>
      </c>
      <c r="F328" t="s">
        <v>594</v>
      </c>
    </row>
    <row r="329" spans="1:31" x14ac:dyDescent="0.2">
      <c r="A329" s="1" t="s">
        <v>334</v>
      </c>
      <c r="D329" s="1">
        <f t="shared" ref="D329:D391" si="26">+D328+1</f>
        <v>307</v>
      </c>
      <c r="E329" s="1" t="s">
        <v>449</v>
      </c>
      <c r="F329" s="1" t="s">
        <v>662</v>
      </c>
    </row>
    <row r="330" spans="1:31" x14ac:dyDescent="0.2">
      <c r="D330" s="1">
        <f t="shared" si="26"/>
        <v>308</v>
      </c>
      <c r="E330" t="s">
        <v>1173</v>
      </c>
      <c r="F330" t="s">
        <v>1174</v>
      </c>
    </row>
    <row r="331" spans="1:31" x14ac:dyDescent="0.2">
      <c r="A331" s="1" t="s">
        <v>334</v>
      </c>
      <c r="D331" s="1">
        <f t="shared" si="26"/>
        <v>309</v>
      </c>
      <c r="E331" t="s">
        <v>775</v>
      </c>
      <c r="F331" t="s">
        <v>776</v>
      </c>
    </row>
    <row r="332" spans="1:31" x14ac:dyDescent="0.2">
      <c r="A332" s="1" t="s">
        <v>334</v>
      </c>
      <c r="D332" s="1">
        <f t="shared" si="26"/>
        <v>310</v>
      </c>
      <c r="E332" t="s">
        <v>665</v>
      </c>
      <c r="F332" t="s">
        <v>666</v>
      </c>
    </row>
    <row r="333" spans="1:31" x14ac:dyDescent="0.2">
      <c r="A333" t="s">
        <v>334</v>
      </c>
      <c r="B333"/>
      <c r="C333"/>
      <c r="D333" s="1">
        <f t="shared" si="26"/>
        <v>311</v>
      </c>
      <c r="E333" t="s">
        <v>667</v>
      </c>
      <c r="F333" t="s">
        <v>668</v>
      </c>
    </row>
    <row r="334" spans="1:31" x14ac:dyDescent="0.2">
      <c r="A334" t="s">
        <v>334</v>
      </c>
      <c r="B334"/>
      <c r="C334"/>
      <c r="D334" s="1">
        <f t="shared" si="26"/>
        <v>312</v>
      </c>
      <c r="E334" t="s">
        <v>669</v>
      </c>
      <c r="F334" t="s">
        <v>670</v>
      </c>
    </row>
    <row r="335" spans="1:31" x14ac:dyDescent="0.2">
      <c r="D335" s="1">
        <f t="shared" si="26"/>
        <v>313</v>
      </c>
      <c r="E335" t="s">
        <v>671</v>
      </c>
      <c r="F335" t="s">
        <v>672</v>
      </c>
    </row>
    <row r="336" spans="1:31" x14ac:dyDescent="0.2">
      <c r="A336" s="1" t="s">
        <v>334</v>
      </c>
      <c r="D336" s="1">
        <f t="shared" si="26"/>
        <v>314</v>
      </c>
      <c r="E336" t="s">
        <v>808</v>
      </c>
      <c r="F336" t="s">
        <v>809</v>
      </c>
    </row>
    <row r="337" spans="1:7" x14ac:dyDescent="0.2">
      <c r="A337" s="1" t="s">
        <v>334</v>
      </c>
      <c r="D337" s="1">
        <f t="shared" si="26"/>
        <v>315</v>
      </c>
      <c r="E337" t="s">
        <v>812</v>
      </c>
      <c r="F337" t="s">
        <v>813</v>
      </c>
    </row>
    <row r="338" spans="1:7" x14ac:dyDescent="0.2">
      <c r="A338" t="s">
        <v>334</v>
      </c>
      <c r="B338"/>
      <c r="C338"/>
      <c r="D338" s="1">
        <f t="shared" si="26"/>
        <v>316</v>
      </c>
      <c r="E338" t="s">
        <v>818</v>
      </c>
      <c r="F338" t="s">
        <v>819</v>
      </c>
    </row>
    <row r="339" spans="1:7" x14ac:dyDescent="0.2">
      <c r="A339" t="s">
        <v>334</v>
      </c>
      <c r="B339"/>
      <c r="C339"/>
      <c r="D339" s="1">
        <f t="shared" si="26"/>
        <v>317</v>
      </c>
      <c r="E339" t="s">
        <v>822</v>
      </c>
      <c r="F339" t="s">
        <v>823</v>
      </c>
    </row>
    <row r="340" spans="1:7" x14ac:dyDescent="0.2">
      <c r="A340" t="s">
        <v>334</v>
      </c>
      <c r="B340"/>
      <c r="C340"/>
      <c r="D340" s="1">
        <f t="shared" si="26"/>
        <v>318</v>
      </c>
      <c r="E340" t="s">
        <v>820</v>
      </c>
      <c r="F340" t="s">
        <v>821</v>
      </c>
    </row>
    <row r="341" spans="1:7" x14ac:dyDescent="0.2">
      <c r="A341" t="s">
        <v>334</v>
      </c>
      <c r="B341"/>
      <c r="C341"/>
      <c r="D341" s="1">
        <f t="shared" si="26"/>
        <v>319</v>
      </c>
      <c r="E341" t="s">
        <v>816</v>
      </c>
      <c r="F341" t="s">
        <v>817</v>
      </c>
    </row>
    <row r="342" spans="1:7" x14ac:dyDescent="0.2">
      <c r="A342" t="s">
        <v>334</v>
      </c>
      <c r="B342"/>
      <c r="C342"/>
      <c r="D342" s="1">
        <f t="shared" si="26"/>
        <v>320</v>
      </c>
      <c r="E342" t="s">
        <v>814</v>
      </c>
      <c r="F342" t="s">
        <v>815</v>
      </c>
    </row>
    <row r="343" spans="1:7" x14ac:dyDescent="0.2">
      <c r="A343" s="1" t="s">
        <v>334</v>
      </c>
      <c r="D343" s="1">
        <f t="shared" si="26"/>
        <v>321</v>
      </c>
      <c r="E343" t="s">
        <v>810</v>
      </c>
      <c r="F343" t="s">
        <v>811</v>
      </c>
    </row>
    <row r="344" spans="1:7" x14ac:dyDescent="0.2">
      <c r="A344" s="1" t="s">
        <v>334</v>
      </c>
      <c r="D344" s="1">
        <f t="shared" si="26"/>
        <v>322</v>
      </c>
      <c r="E344" t="s">
        <v>804</v>
      </c>
      <c r="F344" t="s">
        <v>805</v>
      </c>
    </row>
    <row r="345" spans="1:7" x14ac:dyDescent="0.2">
      <c r="A345" s="1" t="s">
        <v>334</v>
      </c>
      <c r="D345" s="1">
        <f t="shared" si="26"/>
        <v>323</v>
      </c>
      <c r="E345" t="s">
        <v>673</v>
      </c>
      <c r="F345" t="s">
        <v>674</v>
      </c>
    </row>
    <row r="346" spans="1:7" x14ac:dyDescent="0.2">
      <c r="A346" s="1" t="s">
        <v>334</v>
      </c>
      <c r="D346" s="1">
        <f t="shared" si="26"/>
        <v>324</v>
      </c>
      <c r="E346" t="s">
        <v>737</v>
      </c>
      <c r="F346" t="s">
        <v>738</v>
      </c>
    </row>
    <row r="347" spans="1:7" x14ac:dyDescent="0.2">
      <c r="A347" s="1" t="s">
        <v>334</v>
      </c>
      <c r="D347" s="1">
        <f t="shared" si="26"/>
        <v>325</v>
      </c>
      <c r="E347" s="5" t="s">
        <v>735</v>
      </c>
      <c r="F347" t="s">
        <v>736</v>
      </c>
      <c r="G347" s="3">
        <v>6.71</v>
      </c>
    </row>
    <row r="348" spans="1:7" x14ac:dyDescent="0.2">
      <c r="A348" s="1" t="s">
        <v>334</v>
      </c>
      <c r="D348" s="1">
        <f t="shared" si="26"/>
        <v>326</v>
      </c>
      <c r="E348" t="s">
        <v>675</v>
      </c>
      <c r="F348" t="s">
        <v>676</v>
      </c>
    </row>
    <row r="349" spans="1:7" x14ac:dyDescent="0.2">
      <c r="A349" t="s">
        <v>334</v>
      </c>
      <c r="B349"/>
      <c r="C349"/>
      <c r="D349" s="1">
        <f t="shared" si="26"/>
        <v>327</v>
      </c>
      <c r="E349" t="s">
        <v>722</v>
      </c>
      <c r="F349" t="s">
        <v>723</v>
      </c>
    </row>
    <row r="350" spans="1:7" x14ac:dyDescent="0.2">
      <c r="A350" s="1" t="s">
        <v>334</v>
      </c>
      <c r="D350" s="1">
        <f t="shared" si="26"/>
        <v>328</v>
      </c>
      <c r="E350" t="s">
        <v>677</v>
      </c>
      <c r="F350" t="s">
        <v>678</v>
      </c>
    </row>
    <row r="351" spans="1:7" x14ac:dyDescent="0.2">
      <c r="A351" s="1" t="s">
        <v>334</v>
      </c>
      <c r="D351" s="1">
        <f t="shared" si="26"/>
        <v>329</v>
      </c>
      <c r="E351" s="1" t="s">
        <v>696</v>
      </c>
      <c r="F351" s="1" t="s">
        <v>697</v>
      </c>
    </row>
    <row r="352" spans="1:7" x14ac:dyDescent="0.2">
      <c r="A352" t="s">
        <v>334</v>
      </c>
      <c r="B352"/>
      <c r="C352"/>
      <c r="D352" s="1">
        <f t="shared" si="26"/>
        <v>330</v>
      </c>
      <c r="E352" t="s">
        <v>700</v>
      </c>
      <c r="F352" t="s">
        <v>701</v>
      </c>
    </row>
    <row r="353" spans="1:13" x14ac:dyDescent="0.2">
      <c r="A353" t="s">
        <v>334</v>
      </c>
      <c r="B353"/>
      <c r="C353"/>
      <c r="D353" s="1">
        <f t="shared" si="26"/>
        <v>331</v>
      </c>
      <c r="E353" t="s">
        <v>702</v>
      </c>
      <c r="F353" t="s">
        <v>703</v>
      </c>
    </row>
    <row r="354" spans="1:13" x14ac:dyDescent="0.2">
      <c r="A354" t="s">
        <v>334</v>
      </c>
      <c r="B354"/>
      <c r="C354"/>
      <c r="D354" s="1">
        <f t="shared" si="26"/>
        <v>332</v>
      </c>
      <c r="E354" t="s">
        <v>824</v>
      </c>
      <c r="F354" t="s">
        <v>825</v>
      </c>
    </row>
    <row r="355" spans="1:13" x14ac:dyDescent="0.2">
      <c r="A355" t="s">
        <v>334</v>
      </c>
      <c r="B355"/>
      <c r="C355"/>
      <c r="D355" s="1">
        <f t="shared" si="26"/>
        <v>333</v>
      </c>
      <c r="E355" t="s">
        <v>828</v>
      </c>
      <c r="F355" t="s">
        <v>829</v>
      </c>
      <c r="G355" s="3">
        <v>0.48</v>
      </c>
    </row>
    <row r="356" spans="1:13" x14ac:dyDescent="0.2">
      <c r="A356" t="s">
        <v>334</v>
      </c>
      <c r="B356"/>
      <c r="C356"/>
      <c r="D356" s="1">
        <f t="shared" si="26"/>
        <v>334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[156]Main!$I$5-[156]Main!$I$6</f>
        <v>138.756</v>
      </c>
      <c r="J356" s="6">
        <f>H356-I356</f>
        <v>633.73115987000006</v>
      </c>
      <c r="K356" s="9" t="s">
        <v>1619</v>
      </c>
      <c r="L356" s="6">
        <f>[156]Main!$I$3</f>
        <v>84.795517000000004</v>
      </c>
      <c r="M356" s="9">
        <v>45622</v>
      </c>
    </row>
    <row r="357" spans="1:13" x14ac:dyDescent="0.2">
      <c r="A357"/>
      <c r="B357"/>
      <c r="C357"/>
      <c r="D357" s="1">
        <f t="shared" si="26"/>
        <v>335</v>
      </c>
      <c r="E357" t="s">
        <v>832</v>
      </c>
      <c r="F357" t="s">
        <v>833</v>
      </c>
    </row>
    <row r="358" spans="1:13" x14ac:dyDescent="0.2">
      <c r="A358" t="s">
        <v>334</v>
      </c>
      <c r="B358"/>
      <c r="C358"/>
      <c r="D358" s="1">
        <f t="shared" si="26"/>
        <v>336</v>
      </c>
      <c r="E358" s="5" t="s">
        <v>834</v>
      </c>
      <c r="F358" t="s">
        <v>835</v>
      </c>
      <c r="G358" s="3">
        <v>1.73</v>
      </c>
    </row>
    <row r="359" spans="1:13" x14ac:dyDescent="0.2">
      <c r="A359" t="s">
        <v>334</v>
      </c>
      <c r="B359"/>
      <c r="C359"/>
      <c r="D359" s="1">
        <f t="shared" si="26"/>
        <v>337</v>
      </c>
      <c r="E359" t="s">
        <v>836</v>
      </c>
      <c r="F359" t="s">
        <v>837</v>
      </c>
    </row>
    <row r="360" spans="1:13" x14ac:dyDescent="0.2">
      <c r="A360" t="s">
        <v>334</v>
      </c>
      <c r="B360"/>
      <c r="C360"/>
      <c r="D360" s="1">
        <f t="shared" si="26"/>
        <v>338</v>
      </c>
      <c r="E360" t="s">
        <v>838</v>
      </c>
      <c r="F360" t="s">
        <v>839</v>
      </c>
    </row>
    <row r="361" spans="1:13" x14ac:dyDescent="0.2">
      <c r="A361"/>
      <c r="B361"/>
      <c r="C361"/>
      <c r="D361" s="1">
        <f t="shared" si="26"/>
        <v>339</v>
      </c>
      <c r="E361" t="s">
        <v>840</v>
      </c>
      <c r="F361" t="s">
        <v>841</v>
      </c>
    </row>
    <row r="362" spans="1:13" x14ac:dyDescent="0.2">
      <c r="A362"/>
      <c r="B362"/>
      <c r="C362"/>
      <c r="D362" s="1">
        <f t="shared" si="26"/>
        <v>340</v>
      </c>
      <c r="E362" t="s">
        <v>842</v>
      </c>
      <c r="F362" t="s">
        <v>843</v>
      </c>
    </row>
    <row r="363" spans="1:13" x14ac:dyDescent="0.2">
      <c r="A363" t="s">
        <v>334</v>
      </c>
      <c r="B363"/>
      <c r="C363"/>
      <c r="D363" s="1">
        <f t="shared" si="26"/>
        <v>341</v>
      </c>
      <c r="E363" t="s">
        <v>844</v>
      </c>
      <c r="F363" t="s">
        <v>845</v>
      </c>
    </row>
    <row r="364" spans="1:13" x14ac:dyDescent="0.2">
      <c r="A364" t="s">
        <v>334</v>
      </c>
      <c r="B364"/>
      <c r="C364"/>
      <c r="D364" s="1">
        <f t="shared" si="26"/>
        <v>342</v>
      </c>
      <c r="E364" t="s">
        <v>846</v>
      </c>
      <c r="F364" t="s">
        <v>847</v>
      </c>
    </row>
    <row r="365" spans="1:13" x14ac:dyDescent="0.2">
      <c r="A365" t="s">
        <v>334</v>
      </c>
      <c r="B365"/>
      <c r="C365"/>
      <c r="D365" s="1">
        <f t="shared" si="26"/>
        <v>343</v>
      </c>
      <c r="E365" s="5" t="s">
        <v>852</v>
      </c>
      <c r="F365" t="s">
        <v>853</v>
      </c>
      <c r="G365" s="3">
        <v>0.32</v>
      </c>
    </row>
    <row r="366" spans="1:13" x14ac:dyDescent="0.2">
      <c r="A366" t="s">
        <v>334</v>
      </c>
      <c r="B366"/>
      <c r="C366"/>
      <c r="D366" s="1">
        <f t="shared" si="26"/>
        <v>344</v>
      </c>
      <c r="E366" s="5" t="s">
        <v>854</v>
      </c>
      <c r="F366" t="s">
        <v>855</v>
      </c>
      <c r="G366" s="3">
        <v>14.25</v>
      </c>
    </row>
    <row r="367" spans="1:13" x14ac:dyDescent="0.2">
      <c r="A367"/>
      <c r="B367"/>
      <c r="C367"/>
      <c r="D367" s="1">
        <f t="shared" si="26"/>
        <v>345</v>
      </c>
      <c r="E367" t="s">
        <v>856</v>
      </c>
      <c r="F367" t="s">
        <v>857</v>
      </c>
    </row>
    <row r="368" spans="1:13" x14ac:dyDescent="0.2">
      <c r="A368" t="s">
        <v>334</v>
      </c>
      <c r="B368"/>
      <c r="C368"/>
      <c r="D368" s="1">
        <f t="shared" si="26"/>
        <v>346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+[157]Main!$K$5-[157]Main!$K$6</f>
        <v>458.03099999999995</v>
      </c>
      <c r="J368" s="6">
        <f>+H368-I368</f>
        <v>267.94963252000002</v>
      </c>
      <c r="K368" s="3" t="s">
        <v>1280</v>
      </c>
      <c r="L368" s="6">
        <f>+[157]Main!$K$3</f>
        <v>30.426682</v>
      </c>
      <c r="M368" s="9">
        <v>45631</v>
      </c>
    </row>
    <row r="369" spans="1:13" x14ac:dyDescent="0.2">
      <c r="A369" t="s">
        <v>334</v>
      </c>
      <c r="B369"/>
      <c r="C369"/>
      <c r="D369" s="1">
        <f t="shared" si="26"/>
        <v>347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+[158]Main!$J$5-[158]Main!$J$6</f>
        <v>316.5809999999999</v>
      </c>
      <c r="J369" s="6">
        <f>+H369-I369</f>
        <v>-116.1096718199999</v>
      </c>
      <c r="K369" s="3" t="s">
        <v>1280</v>
      </c>
      <c r="L369" s="6">
        <f>+[158]Main!$J$3</f>
        <v>115.213407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6"/>
        <v>348</v>
      </c>
      <c r="E370" t="s">
        <v>862</v>
      </c>
      <c r="F370" t="s">
        <v>863</v>
      </c>
    </row>
    <row r="371" spans="1:13" x14ac:dyDescent="0.2">
      <c r="A371" t="s">
        <v>334</v>
      </c>
      <c r="B371"/>
      <c r="C371"/>
      <c r="D371" s="1">
        <f t="shared" si="26"/>
        <v>349</v>
      </c>
      <c r="E371" t="s">
        <v>864</v>
      </c>
      <c r="F371" t="s">
        <v>865</v>
      </c>
    </row>
    <row r="372" spans="1:13" x14ac:dyDescent="0.2">
      <c r="A372" t="s">
        <v>334</v>
      </c>
      <c r="B372"/>
      <c r="C372"/>
      <c r="D372" s="1">
        <f t="shared" si="26"/>
        <v>350</v>
      </c>
      <c r="E372" t="s">
        <v>866</v>
      </c>
      <c r="F372" t="s">
        <v>867</v>
      </c>
    </row>
    <row r="373" spans="1:13" x14ac:dyDescent="0.2">
      <c r="A373" t="s">
        <v>334</v>
      </c>
      <c r="B373"/>
      <c r="C373"/>
      <c r="D373" s="1">
        <f t="shared" si="26"/>
        <v>351</v>
      </c>
      <c r="E373" t="s">
        <v>868</v>
      </c>
      <c r="F373" t="s">
        <v>869</v>
      </c>
    </row>
    <row r="374" spans="1:13" x14ac:dyDescent="0.2">
      <c r="A374" t="s">
        <v>334</v>
      </c>
      <c r="B374"/>
      <c r="C374"/>
      <c r="D374" s="1">
        <f t="shared" si="26"/>
        <v>352</v>
      </c>
      <c r="E374" t="s">
        <v>872</v>
      </c>
      <c r="F374" t="s">
        <v>873</v>
      </c>
      <c r="G374" s="7">
        <v>2.8</v>
      </c>
    </row>
    <row r="375" spans="1:13" x14ac:dyDescent="0.2">
      <c r="A375" t="s">
        <v>334</v>
      </c>
      <c r="B375"/>
      <c r="C375"/>
      <c r="D375" s="1">
        <f t="shared" si="26"/>
        <v>353</v>
      </c>
      <c r="E375" t="s">
        <v>874</v>
      </c>
      <c r="F375" t="s">
        <v>875</v>
      </c>
      <c r="G375" s="7">
        <v>2.02</v>
      </c>
    </row>
    <row r="376" spans="1:13" x14ac:dyDescent="0.2">
      <c r="A376" t="s">
        <v>334</v>
      </c>
      <c r="B376"/>
      <c r="C376"/>
      <c r="D376" s="1">
        <f t="shared" si="26"/>
        <v>354</v>
      </c>
      <c r="E376" t="s">
        <v>876</v>
      </c>
      <c r="F376" t="s">
        <v>877</v>
      </c>
      <c r="G376" s="7">
        <v>2</v>
      </c>
    </row>
    <row r="377" spans="1:13" x14ac:dyDescent="0.2">
      <c r="A377" t="s">
        <v>334</v>
      </c>
      <c r="B377"/>
      <c r="C377"/>
      <c r="D377" s="1">
        <f t="shared" si="26"/>
        <v>355</v>
      </c>
      <c r="E377" t="s">
        <v>878</v>
      </c>
      <c r="F377" t="s">
        <v>879</v>
      </c>
      <c r="G377" s="7">
        <v>0.94</v>
      </c>
    </row>
    <row r="378" spans="1:13" x14ac:dyDescent="0.2">
      <c r="A378" t="s">
        <v>334</v>
      </c>
      <c r="B378"/>
      <c r="C378"/>
      <c r="D378" s="1">
        <f t="shared" si="26"/>
        <v>356</v>
      </c>
      <c r="E378" t="s">
        <v>880</v>
      </c>
      <c r="F378" t="s">
        <v>881</v>
      </c>
      <c r="G378" s="7">
        <v>2.36</v>
      </c>
    </row>
    <row r="379" spans="1:13" x14ac:dyDescent="0.2">
      <c r="A379" t="s">
        <v>334</v>
      </c>
      <c r="B379"/>
      <c r="C379"/>
      <c r="D379" s="1">
        <f t="shared" si="26"/>
        <v>357</v>
      </c>
      <c r="E379" t="s">
        <v>882</v>
      </c>
      <c r="F379" t="s">
        <v>883</v>
      </c>
      <c r="G379" s="7"/>
    </row>
    <row r="380" spans="1:13" x14ac:dyDescent="0.2">
      <c r="A380" t="s">
        <v>334</v>
      </c>
      <c r="B380"/>
      <c r="C380"/>
      <c r="D380" s="1">
        <f t="shared" si="26"/>
        <v>358</v>
      </c>
      <c r="E380" t="s">
        <v>884</v>
      </c>
      <c r="F380" t="s">
        <v>885</v>
      </c>
      <c r="G380" s="7">
        <v>7.3</v>
      </c>
    </row>
    <row r="381" spans="1:13" x14ac:dyDescent="0.2">
      <c r="A381" t="s">
        <v>334</v>
      </c>
      <c r="B381"/>
      <c r="C381"/>
      <c r="D381" s="1">
        <f t="shared" si="26"/>
        <v>359</v>
      </c>
      <c r="E381" t="s">
        <v>888</v>
      </c>
      <c r="F381" t="s">
        <v>889</v>
      </c>
      <c r="G381" s="7">
        <v>14.5</v>
      </c>
    </row>
    <row r="382" spans="1:13" x14ac:dyDescent="0.2">
      <c r="A382" t="s">
        <v>334</v>
      </c>
      <c r="B382"/>
      <c r="C382"/>
      <c r="D382" s="1">
        <f t="shared" si="26"/>
        <v>360</v>
      </c>
      <c r="E382" t="s">
        <v>890</v>
      </c>
      <c r="F382" t="s">
        <v>891</v>
      </c>
      <c r="G382" s="7">
        <v>16.95</v>
      </c>
    </row>
    <row r="383" spans="1:13" x14ac:dyDescent="0.2">
      <c r="A383" t="s">
        <v>334</v>
      </c>
      <c r="B383"/>
      <c r="C383"/>
      <c r="D383" s="1">
        <f t="shared" si="26"/>
        <v>361</v>
      </c>
      <c r="E383" t="s">
        <v>893</v>
      </c>
      <c r="F383" t="s">
        <v>892</v>
      </c>
      <c r="G383" s="7">
        <v>1.03</v>
      </c>
    </row>
    <row r="384" spans="1:13" x14ac:dyDescent="0.2">
      <c r="A384" t="s">
        <v>334</v>
      </c>
      <c r="B384"/>
      <c r="C384"/>
      <c r="D384" s="1">
        <f t="shared" si="26"/>
        <v>362</v>
      </c>
      <c r="E384" t="s">
        <v>894</v>
      </c>
      <c r="F384" t="s">
        <v>895</v>
      </c>
      <c r="G384" s="7">
        <v>2.4</v>
      </c>
    </row>
    <row r="385" spans="1:7" x14ac:dyDescent="0.2">
      <c r="A385" t="s">
        <v>334</v>
      </c>
      <c r="B385"/>
      <c r="C385"/>
      <c r="D385" s="1">
        <f t="shared" si="26"/>
        <v>363</v>
      </c>
      <c r="E385" t="s">
        <v>896</v>
      </c>
      <c r="F385" t="s">
        <v>897</v>
      </c>
      <c r="G385" s="7">
        <v>6.26</v>
      </c>
    </row>
    <row r="386" spans="1:7" x14ac:dyDescent="0.2">
      <c r="A386" t="s">
        <v>334</v>
      </c>
      <c r="B386"/>
      <c r="C386"/>
      <c r="D386" s="1">
        <f t="shared" si="26"/>
        <v>364</v>
      </c>
      <c r="E386" t="s">
        <v>898</v>
      </c>
      <c r="F386" t="s">
        <v>899</v>
      </c>
      <c r="G386" s="7">
        <v>17.100000000000001</v>
      </c>
    </row>
    <row r="387" spans="1:7" x14ac:dyDescent="0.2">
      <c r="A387" t="s">
        <v>334</v>
      </c>
      <c r="B387"/>
      <c r="C387"/>
      <c r="D387" s="1">
        <f t="shared" si="26"/>
        <v>365</v>
      </c>
      <c r="E387" t="s">
        <v>900</v>
      </c>
      <c r="F387" t="s">
        <v>901</v>
      </c>
      <c r="G387" s="3">
        <v>0.65</v>
      </c>
    </row>
    <row r="388" spans="1:7" x14ac:dyDescent="0.2">
      <c r="A388" t="s">
        <v>334</v>
      </c>
      <c r="B388"/>
      <c r="C388"/>
      <c r="D388" s="1">
        <f t="shared" si="26"/>
        <v>366</v>
      </c>
      <c r="E388" t="s">
        <v>902</v>
      </c>
      <c r="F388" t="s">
        <v>903</v>
      </c>
    </row>
    <row r="389" spans="1:7" x14ac:dyDescent="0.2">
      <c r="A389" t="s">
        <v>334</v>
      </c>
      <c r="B389"/>
      <c r="C389"/>
      <c r="D389" s="1">
        <f t="shared" si="26"/>
        <v>367</v>
      </c>
      <c r="E389" t="s">
        <v>904</v>
      </c>
      <c r="F389" t="s">
        <v>905</v>
      </c>
    </row>
    <row r="390" spans="1:7" x14ac:dyDescent="0.2">
      <c r="A390" t="s">
        <v>334</v>
      </c>
      <c r="B390"/>
      <c r="C390"/>
      <c r="D390" s="1">
        <f t="shared" si="26"/>
        <v>368</v>
      </c>
      <c r="E390" t="s">
        <v>906</v>
      </c>
      <c r="F390" t="s">
        <v>907</v>
      </c>
    </row>
    <row r="391" spans="1:7" x14ac:dyDescent="0.2">
      <c r="A391" t="s">
        <v>334</v>
      </c>
      <c r="B391"/>
      <c r="C391"/>
      <c r="D391" s="1">
        <f t="shared" si="26"/>
        <v>369</v>
      </c>
      <c r="E391" t="s">
        <v>908</v>
      </c>
      <c r="F391" t="s">
        <v>909</v>
      </c>
    </row>
    <row r="392" spans="1:7" x14ac:dyDescent="0.2">
      <c r="A392" t="s">
        <v>334</v>
      </c>
      <c r="B392"/>
      <c r="C392"/>
      <c r="D392" s="1">
        <f t="shared" ref="D392:D462" si="27">+D391+1</f>
        <v>370</v>
      </c>
      <c r="E392" t="s">
        <v>910</v>
      </c>
      <c r="F392" t="s">
        <v>911</v>
      </c>
    </row>
    <row r="393" spans="1:7" x14ac:dyDescent="0.2">
      <c r="A393"/>
      <c r="B393"/>
      <c r="C393"/>
      <c r="D393" s="1">
        <f t="shared" si="27"/>
        <v>371</v>
      </c>
      <c r="E393" t="s">
        <v>912</v>
      </c>
      <c r="F393" t="s">
        <v>913</v>
      </c>
    </row>
    <row r="394" spans="1:7" x14ac:dyDescent="0.2">
      <c r="A394"/>
      <c r="B394"/>
      <c r="C394"/>
      <c r="D394" s="1">
        <f t="shared" si="27"/>
        <v>372</v>
      </c>
      <c r="E394" t="s">
        <v>914</v>
      </c>
      <c r="F394" t="s">
        <v>915</v>
      </c>
    </row>
    <row r="395" spans="1:7" x14ac:dyDescent="0.2">
      <c r="A395"/>
      <c r="B395"/>
      <c r="C395"/>
      <c r="D395" s="1">
        <f t="shared" si="27"/>
        <v>373</v>
      </c>
      <c r="E395" t="s">
        <v>916</v>
      </c>
      <c r="F395" t="s">
        <v>917</v>
      </c>
    </row>
    <row r="396" spans="1:7" x14ac:dyDescent="0.2">
      <c r="A396"/>
      <c r="B396"/>
      <c r="C396"/>
      <c r="D396" s="1">
        <f t="shared" si="27"/>
        <v>374</v>
      </c>
      <c r="E396" t="s">
        <v>918</v>
      </c>
      <c r="F396" t="s">
        <v>919</v>
      </c>
    </row>
    <row r="397" spans="1:7" x14ac:dyDescent="0.2">
      <c r="A397"/>
      <c r="B397"/>
      <c r="C397"/>
      <c r="D397" s="1">
        <f t="shared" si="27"/>
        <v>375</v>
      </c>
      <c r="E397" t="s">
        <v>920</v>
      </c>
      <c r="F397" t="s">
        <v>921</v>
      </c>
    </row>
    <row r="398" spans="1:7" x14ac:dyDescent="0.2">
      <c r="A398"/>
      <c r="B398"/>
      <c r="C398"/>
      <c r="D398" s="1">
        <f t="shared" si="27"/>
        <v>376</v>
      </c>
      <c r="E398" t="s">
        <v>922</v>
      </c>
      <c r="F398" t="s">
        <v>923</v>
      </c>
    </row>
    <row r="399" spans="1:7" x14ac:dyDescent="0.2">
      <c r="A399"/>
      <c r="B399"/>
      <c r="C399"/>
      <c r="D399" s="1">
        <f t="shared" si="27"/>
        <v>377</v>
      </c>
      <c r="E399" s="5" t="s">
        <v>1296</v>
      </c>
      <c r="F399" t="s">
        <v>1297</v>
      </c>
      <c r="G399" s="7">
        <v>1</v>
      </c>
    </row>
    <row r="400" spans="1:7" x14ac:dyDescent="0.2">
      <c r="A400"/>
      <c r="B400"/>
      <c r="C400"/>
      <c r="D400" s="1">
        <f t="shared" si="27"/>
        <v>378</v>
      </c>
      <c r="E400" t="s">
        <v>924</v>
      </c>
      <c r="F400" t="s">
        <v>925</v>
      </c>
    </row>
    <row r="401" spans="1:7" x14ac:dyDescent="0.2">
      <c r="A401"/>
      <c r="B401"/>
      <c r="C401"/>
      <c r="D401" s="1">
        <f t="shared" si="27"/>
        <v>379</v>
      </c>
      <c r="E401" t="s">
        <v>926</v>
      </c>
      <c r="F401" t="s">
        <v>927</v>
      </c>
    </row>
    <row r="402" spans="1:7" x14ac:dyDescent="0.2">
      <c r="A402"/>
      <c r="B402"/>
      <c r="C402"/>
      <c r="D402" s="1">
        <f t="shared" si="27"/>
        <v>380</v>
      </c>
      <c r="E402" t="s">
        <v>928</v>
      </c>
      <c r="F402" t="s">
        <v>929</v>
      </c>
    </row>
    <row r="403" spans="1:7" x14ac:dyDescent="0.2">
      <c r="A403"/>
      <c r="B403"/>
      <c r="C403"/>
      <c r="D403" s="1">
        <f t="shared" si="27"/>
        <v>381</v>
      </c>
      <c r="E403" t="s">
        <v>930</v>
      </c>
      <c r="F403" t="s">
        <v>931</v>
      </c>
    </row>
    <row r="404" spans="1:7" x14ac:dyDescent="0.2">
      <c r="A404"/>
      <c r="B404"/>
      <c r="C404"/>
      <c r="D404" s="1">
        <f t="shared" si="27"/>
        <v>382</v>
      </c>
      <c r="E404" t="s">
        <v>932</v>
      </c>
      <c r="F404" t="s">
        <v>935</v>
      </c>
    </row>
    <row r="405" spans="1:7" x14ac:dyDescent="0.2">
      <c r="A405"/>
      <c r="B405"/>
      <c r="C405"/>
      <c r="D405" s="1">
        <f t="shared" si="27"/>
        <v>383</v>
      </c>
      <c r="E405" t="s">
        <v>933</v>
      </c>
      <c r="F405" t="s">
        <v>934</v>
      </c>
    </row>
    <row r="406" spans="1:7" x14ac:dyDescent="0.2">
      <c r="A406"/>
      <c r="B406"/>
      <c r="C406"/>
      <c r="D406" s="1">
        <f t="shared" si="27"/>
        <v>384</v>
      </c>
      <c r="E406" t="s">
        <v>938</v>
      </c>
      <c r="F406" t="s">
        <v>939</v>
      </c>
    </row>
    <row r="407" spans="1:7" x14ac:dyDescent="0.2">
      <c r="A407"/>
      <c r="B407"/>
      <c r="C407"/>
      <c r="D407" s="1">
        <f t="shared" si="27"/>
        <v>385</v>
      </c>
      <c r="E407" s="25" t="s">
        <v>1353</v>
      </c>
      <c r="F407" t="s">
        <v>1354</v>
      </c>
      <c r="G407" s="3">
        <v>2.84</v>
      </c>
    </row>
    <row r="408" spans="1:7" x14ac:dyDescent="0.2">
      <c r="A408"/>
      <c r="B408"/>
      <c r="C408"/>
      <c r="D408" s="1">
        <f t="shared" si="27"/>
        <v>386</v>
      </c>
      <c r="E408" t="s">
        <v>942</v>
      </c>
      <c r="F408" t="s">
        <v>943</v>
      </c>
    </row>
    <row r="409" spans="1:7" x14ac:dyDescent="0.2">
      <c r="A409"/>
      <c r="B409"/>
      <c r="C409"/>
      <c r="D409" s="1">
        <f t="shared" si="27"/>
        <v>387</v>
      </c>
      <c r="E409" t="s">
        <v>944</v>
      </c>
      <c r="F409" t="s">
        <v>945</v>
      </c>
    </row>
    <row r="410" spans="1:7" x14ac:dyDescent="0.2">
      <c r="A410"/>
      <c r="B410"/>
      <c r="C410"/>
      <c r="D410" s="1">
        <f t="shared" si="27"/>
        <v>388</v>
      </c>
      <c r="E410" t="s">
        <v>946</v>
      </c>
      <c r="F410" t="s">
        <v>947</v>
      </c>
    </row>
    <row r="411" spans="1:7" x14ac:dyDescent="0.2">
      <c r="A411"/>
      <c r="B411"/>
      <c r="C411"/>
      <c r="D411" s="1">
        <f t="shared" si="27"/>
        <v>389</v>
      </c>
      <c r="E411" t="s">
        <v>948</v>
      </c>
      <c r="F411" t="s">
        <v>949</v>
      </c>
    </row>
    <row r="412" spans="1:7" x14ac:dyDescent="0.2">
      <c r="A412"/>
      <c r="B412"/>
      <c r="C412"/>
      <c r="D412" s="1">
        <f t="shared" si="27"/>
        <v>390</v>
      </c>
      <c r="E412" t="s">
        <v>950</v>
      </c>
      <c r="F412" t="s">
        <v>951</v>
      </c>
    </row>
    <row r="413" spans="1:7" x14ac:dyDescent="0.2">
      <c r="A413"/>
      <c r="B413"/>
      <c r="C413"/>
      <c r="D413" s="1">
        <f t="shared" si="27"/>
        <v>391</v>
      </c>
      <c r="E413" t="s">
        <v>954</v>
      </c>
      <c r="F413" t="s">
        <v>955</v>
      </c>
    </row>
    <row r="414" spans="1:7" x14ac:dyDescent="0.2">
      <c r="A414"/>
      <c r="B414"/>
      <c r="C414"/>
      <c r="D414" s="1">
        <f t="shared" si="27"/>
        <v>392</v>
      </c>
      <c r="E414" t="s">
        <v>956</v>
      </c>
      <c r="F414" t="s">
        <v>957</v>
      </c>
    </row>
    <row r="415" spans="1:7" x14ac:dyDescent="0.2">
      <c r="A415"/>
      <c r="B415"/>
      <c r="C415"/>
      <c r="D415" s="1">
        <f t="shared" si="27"/>
        <v>393</v>
      </c>
      <c r="E415" t="s">
        <v>958</v>
      </c>
      <c r="F415" t="s">
        <v>959</v>
      </c>
    </row>
    <row r="416" spans="1:7" x14ac:dyDescent="0.2">
      <c r="A416"/>
      <c r="B416"/>
      <c r="C416"/>
      <c r="D416" s="1">
        <f t="shared" si="27"/>
        <v>394</v>
      </c>
      <c r="E416" t="s">
        <v>960</v>
      </c>
      <c r="F416" t="s">
        <v>961</v>
      </c>
    </row>
    <row r="417" spans="1:13" x14ac:dyDescent="0.2">
      <c r="A417"/>
      <c r="B417"/>
      <c r="C417"/>
      <c r="D417" s="1">
        <f t="shared" si="27"/>
        <v>395</v>
      </c>
      <c r="E417" t="s">
        <v>962</v>
      </c>
      <c r="F417" t="s">
        <v>963</v>
      </c>
    </row>
    <row r="418" spans="1:13" x14ac:dyDescent="0.2">
      <c r="A418"/>
      <c r="B418"/>
      <c r="C418"/>
      <c r="D418" s="1">
        <f t="shared" si="27"/>
        <v>396</v>
      </c>
      <c r="E418" t="s">
        <v>964</v>
      </c>
      <c r="F418" t="s">
        <v>965</v>
      </c>
    </row>
    <row r="419" spans="1:13" x14ac:dyDescent="0.2">
      <c r="A419"/>
      <c r="B419"/>
      <c r="C419"/>
      <c r="D419" s="1">
        <f t="shared" si="27"/>
        <v>397</v>
      </c>
      <c r="E419" t="s">
        <v>966</v>
      </c>
      <c r="F419" t="s">
        <v>967</v>
      </c>
    </row>
    <row r="420" spans="1:13" x14ac:dyDescent="0.2">
      <c r="A420"/>
      <c r="B420"/>
      <c r="C420"/>
      <c r="D420" s="1">
        <f t="shared" si="27"/>
        <v>398</v>
      </c>
      <c r="E420" t="s">
        <v>968</v>
      </c>
      <c r="F420" t="s">
        <v>969</v>
      </c>
    </row>
    <row r="421" spans="1:13" x14ac:dyDescent="0.2">
      <c r="A421"/>
      <c r="B421"/>
      <c r="C421"/>
      <c r="D421" s="1">
        <f t="shared" si="27"/>
        <v>399</v>
      </c>
      <c r="E421" t="s">
        <v>970</v>
      </c>
      <c r="F421" t="s">
        <v>971</v>
      </c>
    </row>
    <row r="422" spans="1:13" x14ac:dyDescent="0.2">
      <c r="A422"/>
      <c r="B422"/>
      <c r="C422"/>
      <c r="D422" s="1">
        <f t="shared" si="27"/>
        <v>400</v>
      </c>
      <c r="E422" t="s">
        <v>972</v>
      </c>
      <c r="F422" t="s">
        <v>973</v>
      </c>
    </row>
    <row r="423" spans="1:13" x14ac:dyDescent="0.2">
      <c r="A423"/>
      <c r="B423"/>
      <c r="C423"/>
      <c r="D423" s="1">
        <f t="shared" si="27"/>
        <v>401</v>
      </c>
      <c r="E423" t="s">
        <v>974</v>
      </c>
      <c r="F423" t="s">
        <v>975</v>
      </c>
    </row>
    <row r="424" spans="1:13" x14ac:dyDescent="0.2">
      <c r="D424" s="1">
        <f t="shared" si="27"/>
        <v>402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">
      <c r="D425" s="1">
        <f t="shared" si="27"/>
        <v>403</v>
      </c>
      <c r="E425" s="5" t="s">
        <v>1611</v>
      </c>
      <c r="F425" t="s">
        <v>1612</v>
      </c>
      <c r="G425" s="7">
        <v>42.9</v>
      </c>
      <c r="H425" s="6">
        <f t="shared" ref="H425:H439" si="28">+G425*L425</f>
        <v>518.07807479999997</v>
      </c>
      <c r="I425" s="6">
        <f>+[159]Main!$K$5-[159]Main!$K$6</f>
        <v>89.078000000000003</v>
      </c>
      <c r="J425" s="6">
        <f t="shared" ref="J425:J439" si="29">+H425-I425</f>
        <v>429.00007479999999</v>
      </c>
      <c r="K425" s="3" t="s">
        <v>1280</v>
      </c>
      <c r="L425" s="6">
        <f>+[159]Main!$K$3</f>
        <v>12.076411999999999</v>
      </c>
      <c r="M425" s="9">
        <v>45608</v>
      </c>
    </row>
    <row r="426" spans="1:13" x14ac:dyDescent="0.2">
      <c r="D426" s="1">
        <f t="shared" si="27"/>
        <v>404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+[160]Main!$K$5-[160]Main!$K$6</f>
        <v>15.414999999999999</v>
      </c>
      <c r="J426" s="6">
        <f t="shared" si="29"/>
        <v>279.69996187999993</v>
      </c>
      <c r="K426" s="3" t="s">
        <v>1074</v>
      </c>
      <c r="L426" s="6">
        <f>+[160]Main!$K$3</f>
        <v>27.999521999999999</v>
      </c>
      <c r="M426" s="9">
        <v>45474</v>
      </c>
    </row>
    <row r="427" spans="1:13" x14ac:dyDescent="0.2">
      <c r="D427" s="1">
        <f t="shared" si="27"/>
        <v>405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+[161]Main!$K$5-[161]Main!$K$6</f>
        <v>-77.494</v>
      </c>
      <c r="J427" s="6">
        <f>+H427-I427</f>
        <v>241.92998150000003</v>
      </c>
      <c r="K427" s="3" t="s">
        <v>1280</v>
      </c>
      <c r="L427" s="6">
        <f>+[161]Main!$K$3</f>
        <v>62.761825000000002</v>
      </c>
      <c r="M427" s="9">
        <v>45628</v>
      </c>
    </row>
    <row r="428" spans="1:13" x14ac:dyDescent="0.2">
      <c r="B428" s="1">
        <v>6</v>
      </c>
      <c r="C428" s="1">
        <v>2</v>
      </c>
      <c r="D428" s="1">
        <f t="shared" si="27"/>
        <v>406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+[162]Main!$L$5-[162]Main!$L$6</f>
        <v>41.190244</v>
      </c>
      <c r="J428" s="6">
        <f>+H428-I428</f>
        <v>251.82846074000003</v>
      </c>
      <c r="K428" s="3" t="s">
        <v>1074</v>
      </c>
      <c r="L428" s="6">
        <f>+[162]Main!$L$3</f>
        <v>6.2490660000000009</v>
      </c>
      <c r="M428" s="9">
        <v>45630</v>
      </c>
    </row>
    <row r="429" spans="1:13" x14ac:dyDescent="0.2">
      <c r="D429" s="1">
        <f t="shared" si="27"/>
        <v>407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+[163]Main!$M$5-[163]Main!$M$6</f>
        <v>117.82499999999999</v>
      </c>
      <c r="J429" s="6">
        <f>+H429-I429</f>
        <v>171.89033000000001</v>
      </c>
      <c r="K429" s="3" t="s">
        <v>1280</v>
      </c>
      <c r="L429" s="6">
        <f>+[163]Main!$M$3</f>
        <v>57.943066000000002</v>
      </c>
      <c r="M429" s="9">
        <v>45629</v>
      </c>
    </row>
    <row r="430" spans="1:13" x14ac:dyDescent="0.2">
      <c r="D430" s="1">
        <f t="shared" si="27"/>
        <v>408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+[164]Main!$M$5-[164]Main!$M$6</f>
        <v>1.9079999999999977</v>
      </c>
      <c r="J430" s="6">
        <f>+H430-I430</f>
        <v>144.23191650000004</v>
      </c>
      <c r="K430" s="3" t="s">
        <v>1280</v>
      </c>
      <c r="L430" s="6">
        <f>+[164]Main!$M$3</f>
        <v>32.475537000000003</v>
      </c>
      <c r="M430" s="9">
        <v>45630</v>
      </c>
    </row>
    <row r="431" spans="1:13" x14ac:dyDescent="0.2">
      <c r="D431" s="1">
        <f>+D462+1</f>
        <v>438</v>
      </c>
      <c r="E431" s="5" t="s">
        <v>1672</v>
      </c>
      <c r="F431" s="61" t="s">
        <v>1673</v>
      </c>
      <c r="G431" s="3">
        <v>6.41</v>
      </c>
      <c r="H431" s="6">
        <f>+G431*L431</f>
        <v>226.21900856999997</v>
      </c>
      <c r="I431" s="6">
        <f>+[176]Main!$K$5-[176]Main!$K$6</f>
        <v>98.310918000000001</v>
      </c>
      <c r="J431" s="6">
        <f>+H431-I431</f>
        <v>127.90809056999997</v>
      </c>
      <c r="K431" s="3" t="s">
        <v>1280</v>
      </c>
      <c r="L431" s="6">
        <f>+[176]Main!$K$3</f>
        <v>35.291576999999997</v>
      </c>
      <c r="M431" s="9">
        <v>45660</v>
      </c>
    </row>
    <row r="432" spans="1:13" x14ac:dyDescent="0.2">
      <c r="D432" s="1">
        <f>+D430+1</f>
        <v>409</v>
      </c>
      <c r="E432" s="5" t="s">
        <v>1615</v>
      </c>
      <c r="F432" t="s">
        <v>1616</v>
      </c>
      <c r="G432" s="3">
        <v>1.53</v>
      </c>
      <c r="H432" s="6">
        <f t="shared" si="28"/>
        <v>192.47591862000002</v>
      </c>
      <c r="I432" s="6">
        <f>+[165]Main!$L$5-[165]Main!$L$6</f>
        <v>74.8</v>
      </c>
      <c r="J432" s="6">
        <f t="shared" si="29"/>
        <v>117.67591862000002</v>
      </c>
      <c r="K432" s="3" t="s">
        <v>1280</v>
      </c>
      <c r="L432" s="6">
        <f>+[165]Main!$L$3</f>
        <v>125.801254</v>
      </c>
      <c r="M432" s="9">
        <v>45608</v>
      </c>
    </row>
    <row r="433" spans="4:13" x14ac:dyDescent="0.2">
      <c r="D433" s="1">
        <f t="shared" si="27"/>
        <v>410</v>
      </c>
      <c r="E433" s="5" t="s">
        <v>1099</v>
      </c>
      <c r="F433" t="s">
        <v>1100</v>
      </c>
      <c r="G433" s="7">
        <v>5</v>
      </c>
      <c r="H433" s="6">
        <f t="shared" si="28"/>
        <v>216.57198499999998</v>
      </c>
      <c r="I433" s="6">
        <f>+[166]Main!$J$5-[166]Main!$J$6</f>
        <v>104.35299999999999</v>
      </c>
      <c r="J433" s="6">
        <f t="shared" si="29"/>
        <v>112.21898499999999</v>
      </c>
      <c r="K433" s="3" t="s">
        <v>1074</v>
      </c>
      <c r="L433" s="6">
        <f>+[166]Main!$J$3</f>
        <v>43.314397</v>
      </c>
      <c r="M433" s="9">
        <v>45525</v>
      </c>
    </row>
    <row r="434" spans="4:13" x14ac:dyDescent="0.2">
      <c r="D434" s="1">
        <f t="shared" si="27"/>
        <v>411</v>
      </c>
      <c r="E434" s="5" t="s">
        <v>1163</v>
      </c>
      <c r="F434" t="s">
        <v>1164</v>
      </c>
      <c r="G434" s="7">
        <v>3.6</v>
      </c>
      <c r="H434" s="6">
        <f t="shared" si="28"/>
        <v>132.55131599999999</v>
      </c>
      <c r="I434" s="6">
        <f>+[167]Main!$L$5-[167]Main!$L$6</f>
        <v>33.507724000000003</v>
      </c>
      <c r="J434" s="6">
        <f t="shared" si="29"/>
        <v>99.04359199999999</v>
      </c>
      <c r="K434" s="3" t="s">
        <v>1074</v>
      </c>
      <c r="L434" s="6">
        <f>+[167]Main!$L$3</f>
        <v>36.819809999999997</v>
      </c>
      <c r="M434" s="9">
        <v>45567</v>
      </c>
    </row>
    <row r="435" spans="4:13" x14ac:dyDescent="0.2">
      <c r="D435" s="1">
        <f t="shared" si="27"/>
        <v>412</v>
      </c>
      <c r="E435" s="5" t="s">
        <v>1613</v>
      </c>
      <c r="F435" t="s">
        <v>1614</v>
      </c>
      <c r="G435" s="7">
        <v>13.15</v>
      </c>
      <c r="H435" s="6">
        <f t="shared" si="28"/>
        <v>319.40466320000002</v>
      </c>
      <c r="I435" s="6">
        <f>+[168]Main!$K$5-[168]Main!$K$6</f>
        <v>199.59700000000001</v>
      </c>
      <c r="J435" s="6">
        <f t="shared" si="29"/>
        <v>119.80766320000001</v>
      </c>
      <c r="K435" s="3" t="s">
        <v>1280</v>
      </c>
      <c r="L435" s="6">
        <f>+[168]Main!$K$3</f>
        <v>24.289328000000001</v>
      </c>
      <c r="M435" s="9">
        <v>45608</v>
      </c>
    </row>
    <row r="436" spans="4:13" x14ac:dyDescent="0.2">
      <c r="D436" s="1">
        <f t="shared" si="27"/>
        <v>413</v>
      </c>
      <c r="E436" s="5" t="s">
        <v>1629</v>
      </c>
      <c r="F436" t="s">
        <v>1628</v>
      </c>
      <c r="G436" s="3">
        <v>2.83</v>
      </c>
      <c r="H436" s="6">
        <f>+G436*L436</f>
        <v>108.43964851000001</v>
      </c>
      <c r="I436" s="6">
        <f>+[169]Main!$K$5-[169]Main!$K$6</f>
        <v>62.823</v>
      </c>
      <c r="J436" s="6">
        <f>+H436-I436</f>
        <v>45.616648510000012</v>
      </c>
      <c r="K436" s="3" t="s">
        <v>1280</v>
      </c>
      <c r="L436" s="6">
        <f>+[169]Main!$K$3</f>
        <v>38.317897000000002</v>
      </c>
      <c r="M436" s="9">
        <v>45629</v>
      </c>
    </row>
    <row r="437" spans="4:13" x14ac:dyDescent="0.2">
      <c r="D437" s="1">
        <f>+D454+1</f>
        <v>430</v>
      </c>
      <c r="E437" s="5" t="s">
        <v>1646</v>
      </c>
      <c r="F437" t="s">
        <v>1647</v>
      </c>
      <c r="G437" s="7">
        <v>2.69</v>
      </c>
      <c r="H437" s="6">
        <f>+G437*L437</f>
        <v>89.956825309999985</v>
      </c>
      <c r="I437" s="6">
        <f>+[170]Main!$K$5-[170]Main!$K$6</f>
        <v>5.4758170000000002</v>
      </c>
      <c r="J437" s="6">
        <f>+H437-I437</f>
        <v>84.481008309999979</v>
      </c>
      <c r="K437" s="3" t="s">
        <v>1280</v>
      </c>
      <c r="L437" s="6">
        <f>+[170]Main!$K$3</f>
        <v>33.441198999999997</v>
      </c>
      <c r="M437" s="9">
        <v>45630</v>
      </c>
    </row>
    <row r="438" spans="4:13" x14ac:dyDescent="0.2">
      <c r="D438" s="1">
        <f>+D460+1</f>
        <v>436</v>
      </c>
      <c r="E438" s="5" t="s">
        <v>1667</v>
      </c>
      <c r="F438" t="s">
        <v>1666</v>
      </c>
      <c r="G438" s="3">
        <v>1.02</v>
      </c>
      <c r="H438" s="6">
        <f>+G438*L438</f>
        <v>103.2980316</v>
      </c>
      <c r="I438" s="6">
        <f>+[171]Main!$L$5-[171]Main!$L$6</f>
        <v>59.1</v>
      </c>
      <c r="J438" s="6">
        <f>+H438-I438</f>
        <v>44.1980316</v>
      </c>
      <c r="K438" s="3" t="s">
        <v>1280</v>
      </c>
      <c r="L438" s="6">
        <f>+[171]Main!$L$3</f>
        <v>101.27258</v>
      </c>
      <c r="M438" s="9">
        <v>45656</v>
      </c>
    </row>
    <row r="439" spans="4:13" x14ac:dyDescent="0.2">
      <c r="D439" s="1">
        <f>+D436+1</f>
        <v>414</v>
      </c>
      <c r="E439" s="5" t="s">
        <v>1437</v>
      </c>
      <c r="F439" s="1" t="s">
        <v>1438</v>
      </c>
      <c r="G439" s="3">
        <v>0.19</v>
      </c>
      <c r="H439" s="6">
        <f t="shared" si="28"/>
        <v>4.1807902100000005</v>
      </c>
      <c r="I439" s="6">
        <f>+[172]Main!$P$5-[172]Main!$P$6</f>
        <v>-4.3319999999999999</v>
      </c>
      <c r="J439" s="6">
        <f t="shared" si="29"/>
        <v>8.5127902100000004</v>
      </c>
      <c r="K439" s="3" t="s">
        <v>1074</v>
      </c>
      <c r="L439" s="6">
        <f>+[172]Main!$P$3</f>
        <v>22.004159000000001</v>
      </c>
      <c r="M439" s="9">
        <v>45587</v>
      </c>
    </row>
    <row r="440" spans="4:13" x14ac:dyDescent="0.2">
      <c r="D440" s="1">
        <f t="shared" si="27"/>
        <v>415</v>
      </c>
      <c r="E440" s="41" t="s">
        <v>1631</v>
      </c>
      <c r="F440" t="s">
        <v>1630</v>
      </c>
      <c r="G440" s="7">
        <v>3.71</v>
      </c>
      <c r="H440" s="6">
        <f>+G440*L440</f>
        <v>181.33427843999999</v>
      </c>
      <c r="I440" s="6">
        <f>+[173]Main!$K$5-[173]Main!$K$6</f>
        <v>183.012</v>
      </c>
      <c r="J440" s="6">
        <f>+H440-I440</f>
        <v>-1.677721560000009</v>
      </c>
      <c r="K440" s="3" t="s">
        <v>1280</v>
      </c>
      <c r="L440" s="6">
        <f>+[173]Main!$K$3</f>
        <v>48.877164</v>
      </c>
      <c r="M440" s="9">
        <v>45629</v>
      </c>
    </row>
    <row r="441" spans="4:13" x14ac:dyDescent="0.2">
      <c r="D441" s="1">
        <f t="shared" si="27"/>
        <v>416</v>
      </c>
      <c r="E441" s="5" t="s">
        <v>1634</v>
      </c>
      <c r="F441" s="1" t="s">
        <v>1635</v>
      </c>
      <c r="G441" s="7">
        <v>6</v>
      </c>
      <c r="H441" s="6">
        <f>+G441*L441</f>
        <v>327.199524</v>
      </c>
      <c r="I441" s="6">
        <f>+[174]Main!$L$5-[174]Main!$L$6</f>
        <v>371.02100000000002</v>
      </c>
      <c r="J441" s="6">
        <f>+H441-I441</f>
        <v>-43.821476000000018</v>
      </c>
      <c r="K441" s="3" t="s">
        <v>1074</v>
      </c>
      <c r="L441" s="6">
        <f>+[174]Main!$L$3</f>
        <v>54.533253999999999</v>
      </c>
      <c r="M441" s="9">
        <v>45629</v>
      </c>
    </row>
    <row r="442" spans="4:13" x14ac:dyDescent="0.2">
      <c r="D442" s="1">
        <f t="shared" si="27"/>
        <v>417</v>
      </c>
      <c r="E442" s="1" t="s">
        <v>1193</v>
      </c>
      <c r="F442" s="1" t="s">
        <v>1194</v>
      </c>
      <c r="G442" s="3">
        <v>0.28999999999999998</v>
      </c>
    </row>
    <row r="443" spans="4:13" x14ac:dyDescent="0.2">
      <c r="D443" s="1">
        <f t="shared" si="27"/>
        <v>418</v>
      </c>
      <c r="E443" s="1" t="s">
        <v>1275</v>
      </c>
      <c r="F443" t="s">
        <v>1276</v>
      </c>
    </row>
    <row r="444" spans="4:13" x14ac:dyDescent="0.2">
      <c r="D444" s="1">
        <f t="shared" si="27"/>
        <v>419</v>
      </c>
      <c r="E444" s="1" t="s">
        <v>1304</v>
      </c>
      <c r="F444" s="1" t="s">
        <v>1305</v>
      </c>
    </row>
    <row r="445" spans="4:13" x14ac:dyDescent="0.2">
      <c r="D445" s="1">
        <f t="shared" si="27"/>
        <v>420</v>
      </c>
      <c r="E445" t="s">
        <v>1306</v>
      </c>
      <c r="F445" t="s">
        <v>1307</v>
      </c>
    </row>
    <row r="446" spans="4:13" x14ac:dyDescent="0.2">
      <c r="D446" s="1">
        <f t="shared" si="27"/>
        <v>421</v>
      </c>
      <c r="E446" s="1" t="s">
        <v>1357</v>
      </c>
    </row>
    <row r="447" spans="4:13" x14ac:dyDescent="0.2">
      <c r="D447" s="1">
        <f t="shared" si="27"/>
        <v>422</v>
      </c>
      <c r="E447" s="5" t="s">
        <v>1442</v>
      </c>
      <c r="F447" s="1" t="s">
        <v>1443</v>
      </c>
      <c r="G447" s="7">
        <v>30</v>
      </c>
    </row>
    <row r="448" spans="4:13" x14ac:dyDescent="0.2">
      <c r="D448" s="1">
        <f t="shared" si="27"/>
        <v>423</v>
      </c>
      <c r="E448" t="s">
        <v>1505</v>
      </c>
    </row>
    <row r="449" spans="4:7" x14ac:dyDescent="0.2">
      <c r="D449" s="1">
        <f t="shared" si="27"/>
        <v>424</v>
      </c>
      <c r="E449" s="1" t="s">
        <v>1617</v>
      </c>
      <c r="F449" t="s">
        <v>1618</v>
      </c>
    </row>
    <row r="450" spans="4:7" x14ac:dyDescent="0.2">
      <c r="D450" s="1">
        <f t="shared" si="27"/>
        <v>425</v>
      </c>
      <c r="E450" t="s">
        <v>1622</v>
      </c>
      <c r="F450" s="1" t="s">
        <v>1623</v>
      </c>
    </row>
    <row r="451" spans="4:7" x14ac:dyDescent="0.2">
      <c r="D451" s="1">
        <f t="shared" si="27"/>
        <v>426</v>
      </c>
      <c r="E451" t="s">
        <v>1624</v>
      </c>
      <c r="F451" t="s">
        <v>1625</v>
      </c>
    </row>
    <row r="452" spans="4:7" x14ac:dyDescent="0.2">
      <c r="D452" s="1">
        <f t="shared" si="27"/>
        <v>427</v>
      </c>
      <c r="E452" t="s">
        <v>1632</v>
      </c>
      <c r="F452" t="s">
        <v>1633</v>
      </c>
    </row>
    <row r="453" spans="4:7" x14ac:dyDescent="0.2">
      <c r="D453" s="1">
        <f t="shared" si="27"/>
        <v>428</v>
      </c>
      <c r="E453" s="5" t="s">
        <v>1637</v>
      </c>
      <c r="F453" s="1" t="s">
        <v>1636</v>
      </c>
      <c r="G453" s="3">
        <v>26.71</v>
      </c>
    </row>
    <row r="454" spans="4:7" x14ac:dyDescent="0.2">
      <c r="D454" s="1">
        <f t="shared" si="27"/>
        <v>429</v>
      </c>
      <c r="E454" s="1" t="s">
        <v>1642</v>
      </c>
      <c r="F454" t="s">
        <v>1643</v>
      </c>
    </row>
    <row r="455" spans="4:7" x14ac:dyDescent="0.2">
      <c r="D455" s="1">
        <f t="shared" si="27"/>
        <v>430</v>
      </c>
      <c r="E455" t="s">
        <v>1648</v>
      </c>
      <c r="F455" s="1" t="s">
        <v>1649</v>
      </c>
    </row>
    <row r="456" spans="4:7" x14ac:dyDescent="0.2">
      <c r="D456" s="1">
        <f t="shared" si="27"/>
        <v>431</v>
      </c>
      <c r="E456" s="1" t="s">
        <v>1650</v>
      </c>
      <c r="F456" t="s">
        <v>1651</v>
      </c>
      <c r="G456" s="3">
        <v>4.1100000000000003</v>
      </c>
    </row>
    <row r="457" spans="4:7" x14ac:dyDescent="0.2">
      <c r="D457" s="1">
        <f t="shared" si="27"/>
        <v>432</v>
      </c>
      <c r="E457" t="s">
        <v>1656</v>
      </c>
      <c r="F457" t="s">
        <v>1657</v>
      </c>
    </row>
    <row r="458" spans="4:7" x14ac:dyDescent="0.2">
      <c r="D458" s="1">
        <f t="shared" si="27"/>
        <v>433</v>
      </c>
      <c r="E458" s="1" t="s">
        <v>1658</v>
      </c>
      <c r="F458" s="1" t="s">
        <v>1659</v>
      </c>
    </row>
    <row r="459" spans="4:7" x14ac:dyDescent="0.2">
      <c r="D459" s="1">
        <f t="shared" si="27"/>
        <v>434</v>
      </c>
      <c r="E459" t="s">
        <v>1660</v>
      </c>
      <c r="F459" t="s">
        <v>1661</v>
      </c>
    </row>
    <row r="460" spans="4:7" x14ac:dyDescent="0.2">
      <c r="D460" s="1">
        <f t="shared" si="27"/>
        <v>435</v>
      </c>
      <c r="E460" s="1" t="s">
        <v>1662</v>
      </c>
      <c r="F460" s="1" t="s">
        <v>1663</v>
      </c>
      <c r="G460" s="3">
        <v>0.61</v>
      </c>
    </row>
    <row r="461" spans="4:7" x14ac:dyDescent="0.2">
      <c r="D461" s="1">
        <f t="shared" si="27"/>
        <v>436</v>
      </c>
      <c r="E461" t="s">
        <v>1668</v>
      </c>
      <c r="F461" t="s">
        <v>1669</v>
      </c>
    </row>
    <row r="462" spans="4:7" x14ac:dyDescent="0.2">
      <c r="D462" s="1">
        <f t="shared" si="27"/>
        <v>437</v>
      </c>
      <c r="E462" s="1" t="s">
        <v>1671</v>
      </c>
      <c r="F462" s="1" t="s">
        <v>1670</v>
      </c>
      <c r="G462" s="3">
        <v>1.46</v>
      </c>
    </row>
  </sheetData>
  <sortState xmlns:xlrd2="http://schemas.microsoft.com/office/spreadsheetml/2017/richdata2" ref="A162:AE209">
    <sortCondition descending="1" ref="H162:H209"/>
  </sortState>
  <mergeCells count="2">
    <mergeCell ref="S2:X2"/>
    <mergeCell ref="Y2:AD2"/>
  </mergeCells>
  <hyperlinks>
    <hyperlink ref="E7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5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8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6" r:id="rId18" xr:uid="{14A63DAF-63A6-4B91-A2AF-AE28EA251457}"/>
    <hyperlink ref="E250" r:id="rId19" xr:uid="{4ACA7C7F-E42A-4687-A776-AB8065DB40FF}"/>
    <hyperlink ref="E245" r:id="rId20" xr:uid="{B3421391-7EC0-4253-8F62-5ED45A5BFA02}"/>
    <hyperlink ref="E251" r:id="rId21" xr:uid="{F6A45FC7-B73C-4143-9CAB-B3ADA19B5FD7}"/>
    <hyperlink ref="E243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7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9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242" r:id="rId40" xr:uid="{6A576FDB-A573-4A00-8381-4BECF13B35A1}"/>
    <hyperlink ref="E158" r:id="rId41" xr:uid="{51C9506E-5D60-43F8-BADA-7F72A25DAFF6}"/>
    <hyperlink ref="E115" r:id="rId42" xr:uid="{9E4325F2-98CF-4735-96D0-66A9DC5A8E86}"/>
    <hyperlink ref="E217" r:id="rId43" xr:uid="{6D062383-838D-42C7-BFCD-E5C9DC258548}"/>
    <hyperlink ref="E30" r:id="rId44" xr:uid="{3F36D809-73FC-441C-88D2-EEB42A40734A}"/>
    <hyperlink ref="E31" r:id="rId45" xr:uid="{5D73AAA9-EBCA-4613-83CF-E75D37F58B6D}"/>
    <hyperlink ref="E33" r:id="rId46" xr:uid="{203E18C7-425E-49E1-9AA5-204AFBE41E2D}"/>
    <hyperlink ref="E29" r:id="rId47" xr:uid="{5670E9A9-D014-4D7B-962A-54CBDC766969}"/>
    <hyperlink ref="E64" r:id="rId48" xr:uid="{04E7711A-AB14-45D0-B73B-7EA804EC5564}"/>
    <hyperlink ref="E39" r:id="rId49" xr:uid="{76CA7CFE-7B9B-4C27-8561-3A158A30ED77}"/>
    <hyperlink ref="E46" r:id="rId50" xr:uid="{F5D5A68A-4783-46B8-B717-79A0E802B6C4}"/>
    <hyperlink ref="E36" r:id="rId51" xr:uid="{DD930D2F-20A9-46C3-8AA4-5E62A88271DB}"/>
    <hyperlink ref="E38" r:id="rId52" xr:uid="{E248BEED-DD02-463E-BFAC-D02D5521E787}"/>
    <hyperlink ref="E41" r:id="rId53" xr:uid="{01444C35-CEE7-41B7-B694-AE47417B7019}"/>
    <hyperlink ref="E43" r:id="rId54" xr:uid="{BC97A7B7-8716-48D0-BA90-60A75E6A24CE}"/>
    <hyperlink ref="E40" r:id="rId55" xr:uid="{AD16E898-B1E4-4F25-8E21-E2BC1C6FE9AD}"/>
    <hyperlink ref="E60" r:id="rId56" xr:uid="{E9207892-DA1F-48D2-B2C3-EFA59FCA8A47}"/>
    <hyperlink ref="E86" r:id="rId57" xr:uid="{DE2D1DDB-B5B7-4055-B885-0CD9E7670070}"/>
    <hyperlink ref="E32" r:id="rId58" xr:uid="{9DD12163-063E-4F73-89A5-34D8E8AC0534}"/>
    <hyperlink ref="E92" r:id="rId59" xr:uid="{1D3A6A47-22C9-4CC1-94BD-20DE3BB08016}"/>
    <hyperlink ref="E50" r:id="rId60" xr:uid="{27FB3DB4-8430-405F-9558-F31A0B69ED5F}"/>
    <hyperlink ref="E42" r:id="rId61" xr:uid="{144D13FD-59BD-499B-A0B4-B06985623C68}"/>
    <hyperlink ref="E213" r:id="rId62" xr:uid="{E48CD1EB-CFA1-47B1-BD8B-09F09CDD4FA4}"/>
    <hyperlink ref="E116" r:id="rId63" xr:uid="{6E9AFF81-F520-4A86-9FC2-D5CFE68E7EB7}"/>
    <hyperlink ref="E72" r:id="rId64" xr:uid="{ED527D70-0B51-4151-8378-8C40B68FF19D}"/>
    <hyperlink ref="E44" r:id="rId65" xr:uid="{A902B26E-CA39-4DC5-9F23-4459D8D315E8}"/>
    <hyperlink ref="E51" r:id="rId66" xr:uid="{5F0313F8-3376-4F67-9822-E1412CAA5959}"/>
    <hyperlink ref="E106" r:id="rId67" xr:uid="{AE3A3FD9-E651-4A72-81DB-B29CC61B516B}"/>
    <hyperlink ref="E65" r:id="rId68" xr:uid="{6FA4EBE7-4729-4097-A12F-CAD4CB58FFA6}"/>
    <hyperlink ref="E114" r:id="rId69" xr:uid="{C6F461C3-F385-4BE1-8914-0B22F9A9FF52}"/>
    <hyperlink ref="E48" r:id="rId70" xr:uid="{98D02B7D-F218-457E-B156-7FE773CF515A}"/>
    <hyperlink ref="E47" r:id="rId71" xr:uid="{02CB6FD9-C55D-44A1-9F2E-6A96A222EE6B}"/>
    <hyperlink ref="E78" r:id="rId72" xr:uid="{C691BA46-1169-4CAF-84E5-2A83E1B5404A}"/>
    <hyperlink ref="E49" r:id="rId73" xr:uid="{425EA3DE-2A59-4B96-B380-B688A4EDE233}"/>
    <hyperlink ref="E59" r:id="rId74" xr:uid="{1F24E207-02BC-4A1F-B083-69F8E95AC067}"/>
    <hyperlink ref="E63" r:id="rId75" xr:uid="{CE56D1ED-1CAA-4667-A3D9-82426599D26C}"/>
    <hyperlink ref="E103" r:id="rId76" xr:uid="{ED810682-5208-4265-9E0E-6746A399EA34}"/>
    <hyperlink ref="E161" r:id="rId77" xr:uid="{44DEB74A-F098-4876-A279-D1E6237DF8DB}"/>
    <hyperlink ref="E69" r:id="rId78" xr:uid="{ADF59BEC-B8D8-4144-ADEB-041425B69409}"/>
    <hyperlink ref="E324" r:id="rId79" xr:uid="{69AB4316-2FED-44FC-B108-3CD00D6F57B9}"/>
    <hyperlink ref="E319" r:id="rId80" xr:uid="{172C358D-5501-4447-9FDE-DA046F6FED55}"/>
    <hyperlink ref="E113" r:id="rId81" xr:uid="{D181F941-FF02-423B-9F90-890B434046DD}"/>
    <hyperlink ref="E159" r:id="rId82" xr:uid="{1924D31B-B6B9-4CB2-936E-0F68E40FA2F5}"/>
    <hyperlink ref="E160" r:id="rId83" xr:uid="{8E97DA51-E6CD-4B11-B6F8-BD0A3CC93541}"/>
    <hyperlink ref="E95" r:id="rId84" xr:uid="{BACD6400-1341-654E-A5B2-576C65F8052B}"/>
    <hyperlink ref="E358" r:id="rId85" xr:uid="{C4CF7488-CAF7-4516-AB24-0FC50F0916A3}"/>
    <hyperlink ref="E98" r:id="rId86" xr:uid="{2B6C4E35-2657-4D1A-8D80-C54F892964F4}"/>
    <hyperlink ref="E13" r:id="rId87" xr:uid="{D4CC8F9A-CC3B-EE41-860B-629E01D90BFD}"/>
    <hyperlink ref="E433" r:id="rId88" xr:uid="{C4EB2FD5-19C2-4B46-A645-6A4B58B3BF48}"/>
    <hyperlink ref="E220" r:id="rId89" xr:uid="{E2D5EE7E-5721-5749-A98C-474C4C00D036}"/>
    <hyperlink ref="E23" r:id="rId90" xr:uid="{AA34EED3-260C-48F6-B18F-9CB2123B2DB8}"/>
    <hyperlink ref="E34" r:id="rId91" xr:uid="{3556B95F-6CC1-4165-90C0-F95B358B441D}"/>
    <hyperlink ref="E426" r:id="rId92" xr:uid="{E9466C79-B428-4906-B5D4-8A65E345C46A}"/>
    <hyperlink ref="E70" r:id="rId93" xr:uid="{0F64F384-8187-4F0A-B6D5-472BB2A5904F}"/>
    <hyperlink ref="E105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66" r:id="rId98" xr:uid="{5E221389-B42A-4ECC-B5CE-DEA05F90F52F}"/>
    <hyperlink ref="E107" r:id="rId99" xr:uid="{50F9FE65-F347-4AD5-8CB3-AEF68BBB9AA8}"/>
    <hyperlink ref="E117" r:id="rId100" xr:uid="{75D04E08-C11D-42F6-A0B8-9E185A6BA249}"/>
    <hyperlink ref="E118" r:id="rId101" xr:uid="{DD06A32A-D1AE-4DFA-957F-7E5F6848399D}"/>
    <hyperlink ref="E53" r:id="rId102" xr:uid="{A9CCEE93-948C-4958-9273-229E876026E5}"/>
    <hyperlink ref="E61" r:id="rId103" xr:uid="{8A039020-76D6-4648-8559-2E66BD4069E8}"/>
    <hyperlink ref="E76" r:id="rId104" xr:uid="{57A317C3-FCD5-4B9D-9890-302872D6263D}"/>
    <hyperlink ref="E109" r:id="rId105" xr:uid="{7DEB18EF-0653-42AE-848B-1CD34B6185B1}"/>
    <hyperlink ref="E321" r:id="rId106" xr:uid="{500E1EB4-5BFA-41DA-B498-9CADDCBC3BD8}"/>
    <hyperlink ref="E224" r:id="rId107" xr:uid="{DA843767-B487-45EC-B6B6-4CAF3C575C50}"/>
    <hyperlink ref="E80" r:id="rId108" xr:uid="{5DA9C2AA-A278-4FF3-A2FD-E53617E5E8B8}"/>
    <hyperlink ref="E255" r:id="rId109" xr:uid="{91A036B5-0E03-4930-B738-BF1C076ACF18}"/>
    <hyperlink ref="E104" r:id="rId110" xr:uid="{8068ED1A-3B17-4C79-9022-B1BEE306CC58}"/>
    <hyperlink ref="E102" r:id="rId111" xr:uid="{DEB94AB7-6F89-44AE-9C77-B3E2D1E51B70}"/>
    <hyperlink ref="E322" r:id="rId112" xr:uid="{C5AE6E9D-13C3-40F4-80F9-EB86590BF332}"/>
    <hyperlink ref="E214" r:id="rId113" xr:uid="{47C928EF-242B-4B5F-9296-FA878004232C}"/>
    <hyperlink ref="E365" r:id="rId114" xr:uid="{B0C9190D-D136-462D-B004-BE374B10A4F0}"/>
    <hyperlink ref="E85" r:id="rId115" xr:uid="{1C0EAF20-C59C-4E14-90E0-E67EED291627}"/>
    <hyperlink ref="E320" r:id="rId116" xr:uid="{820E74E5-32AF-43AF-A75C-37305E58D952}"/>
    <hyperlink ref="E212" r:id="rId117" xr:uid="{C2EF7A04-6E03-432E-AE39-F9FC0944E6B7}"/>
    <hyperlink ref="E90" r:id="rId118" xr:uid="{4A53B476-D8D4-4433-B5B3-B626DD5ECAA5}"/>
    <hyperlink ref="E323" r:id="rId119" xr:uid="{0E69FC1D-F608-42EA-B683-C53C409C70F7}"/>
    <hyperlink ref="E162" r:id="rId120" xr:uid="{058DC54B-6F58-47B5-B00D-CB85499F0661}"/>
    <hyperlink ref="E163" r:id="rId121" xr:uid="{E3F91124-A68C-481A-9F88-5F0B403E12FC}"/>
    <hyperlink ref="E228" r:id="rId122" xr:uid="{879666A1-6AD0-495B-B29D-1523E9F3BF37}"/>
    <hyperlink ref="E54" r:id="rId123" xr:uid="{3E4416C1-24BA-4833-B8A9-810255675E01}"/>
    <hyperlink ref="E122" r:id="rId124" xr:uid="{CEEF1ECE-36B3-482E-AA72-8B9DAE4D2730}"/>
    <hyperlink ref="E119" r:id="rId125" xr:uid="{80739158-DB58-4D0E-8015-4407904D5E4C}"/>
    <hyperlink ref="E62" r:id="rId126" xr:uid="{FAC64BC1-A38C-4704-8DED-7AC1F6D784BD}"/>
    <hyperlink ref="E325" r:id="rId127" xr:uid="{B8FF6BDF-ECF2-42BA-996C-B33320BF3BB8}"/>
    <hyperlink ref="E121" r:id="rId128" xr:uid="{3C9F7D37-C376-486A-BD65-0A06F1A1BA4E}"/>
    <hyperlink ref="E75" r:id="rId129" xr:uid="{A739B306-7AF4-4BC1-B603-405E1AD42DA9}"/>
    <hyperlink ref="E68" r:id="rId130" xr:uid="{D16D1630-A1AE-4CF8-B35B-01F574ECC4EC}"/>
    <hyperlink ref="E82" r:id="rId131" xr:uid="{A96FF32D-8546-4297-AE3C-E279BBEB2988}"/>
    <hyperlink ref="E74" r:id="rId132" xr:uid="{B2C89E35-9AED-4A34-8767-FB6CD96F1DF7}"/>
    <hyperlink ref="E112" r:id="rId133" xr:uid="{7A0C9405-40F2-4CD9-999B-9032EC028C8E}"/>
    <hyperlink ref="E318" r:id="rId134" xr:uid="{F79A5FA4-445D-4428-8347-8E6CA8EBA325}"/>
    <hyperlink ref="E434" r:id="rId135" xr:uid="{C5162717-DEF1-45A6-BAF5-F5909C72945C}"/>
    <hyperlink ref="E215" r:id="rId136" xr:uid="{DCA25E80-5EA2-4E2F-B5AD-7E00734C912A}"/>
    <hyperlink ref="E317" r:id="rId137" xr:uid="{6E543356-A92B-4C40-A4D8-0039FD9CF30E}"/>
    <hyperlink ref="E219" r:id="rId138" xr:uid="{18B5F0EF-CE16-458F-B2EC-C055E9592268}"/>
    <hyperlink ref="E218" r:id="rId139" xr:uid="{8452EEB1-E3C6-4709-93A8-E45683AE4BD4}"/>
    <hyperlink ref="E77" r:id="rId140" xr:uid="{8515586A-C9D5-4B3A-AB81-567CAF8711D8}"/>
    <hyperlink ref="E96" r:id="rId141" xr:uid="{05112419-511E-40D9-B365-E7FC8328F3E3}"/>
    <hyperlink ref="E399" r:id="rId142" xr:uid="{42ED5909-2E52-452C-9738-284A43C46BA0}"/>
    <hyperlink ref="E111" r:id="rId143" xr:uid="{7B9292BF-8007-4C13-92AA-E4F48B407B78}"/>
    <hyperlink ref="E97" r:id="rId144" xr:uid="{4455E1D2-0A06-49CD-B578-A39396AB2276}"/>
    <hyperlink ref="E100" r:id="rId145" xr:uid="{9DBA9CB6-4FFE-4633-8913-39BE132E7E63}"/>
    <hyperlink ref="E15" r:id="rId146" xr:uid="{60368EA6-8CB5-4BF4-AD11-2511F2B2CC10}"/>
    <hyperlink ref="E248" r:id="rId147" xr:uid="{909F79D0-EDBD-44C4-8C45-548124C5C81A}"/>
    <hyperlink ref="E173" r:id="rId148" xr:uid="{0A7AB162-5181-4ECD-BE39-067356A9A255}"/>
    <hyperlink ref="E101" r:id="rId149" xr:uid="{A780315D-7EE1-43B1-808B-CA1A9B40DACC}"/>
    <hyperlink ref="E108" r:id="rId150" xr:uid="{6EE007AF-F0B0-4EED-9CDD-3FC2319822A5}"/>
    <hyperlink ref="E254" r:id="rId151" xr:uid="{ED761473-51F4-41BF-8401-76685055518C}"/>
    <hyperlink ref="E79" r:id="rId152" xr:uid="{7F559409-F96D-4010-8F92-37C722C2B828}"/>
    <hyperlink ref="E93" r:id="rId153" xr:uid="{C48A4FCA-0630-EF43-9EEC-B6CAB37EFE4F}"/>
    <hyperlink ref="E89" r:id="rId154" xr:uid="{96899701-8AB6-4B30-9017-19357666F340}"/>
    <hyperlink ref="E81" r:id="rId155" xr:uid="{CFB41F62-0690-4C3D-B6CD-811E3E94C4EE}"/>
    <hyperlink ref="E128" r:id="rId156" xr:uid="{82A44C16-0029-4130-9750-D08BCC5182B4}"/>
    <hyperlink ref="E57" r:id="rId157" xr:uid="{C35461B3-E679-4CC0-9362-2A53FE04533B}"/>
    <hyperlink ref="E84" r:id="rId158" xr:uid="{31B2FC14-DD5D-4E0C-A012-B1FDA85DBE36}"/>
    <hyperlink ref="E67" r:id="rId159" xr:uid="{96AAF9F5-B005-400B-B62E-90DC1A7E8852}"/>
    <hyperlink ref="E142" r:id="rId160" xr:uid="{5BE55498-D8ED-41C4-A33E-57BE28B07449}"/>
    <hyperlink ref="E439" r:id="rId161" xr:uid="{2B1AAFD9-D8D6-4616-841E-10108CC8192B}"/>
    <hyperlink ref="E447" r:id="rId162" xr:uid="{D4B5A9D9-65BB-430A-A731-1152EA8D5DED}"/>
    <hyperlink ref="E88" r:id="rId163" xr:uid="{67670CCE-8D41-4404-8F2B-F79243E31585}"/>
    <hyperlink ref="E120" r:id="rId164" xr:uid="{C904B992-93FD-497A-93CC-2FE800E3CDD4}"/>
    <hyperlink ref="E425" r:id="rId165" xr:uid="{B24388CE-B704-4189-8171-2A7C078385AA}"/>
    <hyperlink ref="E435" r:id="rId166" xr:uid="{107ACC16-1AF2-463F-97B2-B3329D313681}"/>
    <hyperlink ref="E432" r:id="rId167" xr:uid="{C40615BB-48F8-4AB1-92A6-E4710DC43430}"/>
    <hyperlink ref="E356" r:id="rId168" xr:uid="{0695F03B-1E3F-0E41-B1ED-4F68787EFC35}"/>
    <hyperlink ref="E427" r:id="rId169" xr:uid="{0152517F-3480-4755-804B-768910043082}"/>
    <hyperlink ref="E110" r:id="rId170" xr:uid="{F0EE4F6E-0A2F-4906-8143-739E8257E38C}"/>
    <hyperlink ref="E429" r:id="rId171" xr:uid="{0F9B63DB-3B35-4E51-BD36-EC943559BF1E}"/>
    <hyperlink ref="E436" r:id="rId172" xr:uid="{7592EF22-0CF5-48F3-8744-24868E314045}"/>
    <hyperlink ref="E440" r:id="rId173" xr:uid="{66F30E61-4E4B-47C8-8D49-028CC77AA4C6}"/>
    <hyperlink ref="E441" r:id="rId174" xr:uid="{778D749F-0610-418A-A963-ADCD5A226677}"/>
    <hyperlink ref="E453" r:id="rId175" xr:uid="{8E820BFC-E26B-4A27-A962-89FF7A10589B}"/>
    <hyperlink ref="E428" r:id="rId176" xr:uid="{3DD5CDF4-E650-429E-97DF-ABC116C3584D}"/>
    <hyperlink ref="E347" r:id="rId177" xr:uid="{1292FD9E-BA4F-4B20-AD44-4B752114EEEF}"/>
    <hyperlink ref="E430" r:id="rId178" xr:uid="{35FB9AE4-5A31-48BA-9D76-BF10058F42EC}"/>
    <hyperlink ref="E368" r:id="rId179" xr:uid="{4C62C768-C471-4E03-BD75-AF60DDF17283}"/>
    <hyperlink ref="E83" r:id="rId180" xr:uid="{FCC7525B-426F-4D18-B356-CF6486A50A0F}"/>
    <hyperlink ref="E369" r:id="rId181" xr:uid="{3714C986-B632-4E2F-8857-1DCA6DFD79FD}"/>
    <hyperlink ref="E244" r:id="rId182" xr:uid="{CE44BEA4-012D-4699-8F08-C58713DDB2BE}"/>
    <hyperlink ref="E210" r:id="rId183" xr:uid="{0E4C0ACB-35E3-43D4-B0E1-F865F7ED59B8}"/>
    <hyperlink ref="E366" r:id="rId184" xr:uid="{5127CACD-341C-4DCA-B244-83466075BEBF}"/>
    <hyperlink ref="E240" r:id="rId185" xr:uid="{3573C1AD-06BF-427D-B677-BD1F3CB3985C}"/>
    <hyperlink ref="E18" r:id="rId186" xr:uid="{2A05959C-B3A5-4B78-ADA7-E471C7CE2630}"/>
    <hyperlink ref="E6" r:id="rId187" xr:uid="{3E3C29B0-B6B6-4941-A344-5D4A8066AA33}"/>
    <hyperlink ref="E11" r:id="rId188" xr:uid="{FE407E2D-0513-4C01-8F65-0FACC1AB5B97}"/>
    <hyperlink ref="E14" r:id="rId189" xr:uid="{5ABD642F-31BA-4307-9A24-D75F9ABBBDAA}"/>
    <hyperlink ref="E24" r:id="rId190" xr:uid="{C4B4660F-C5FF-4941-BE50-98ABDA101D7F}"/>
    <hyperlink ref="E28" r:id="rId191" xr:uid="{3481449D-1354-4BBE-B320-9EC407192702}"/>
    <hyperlink ref="E437" r:id="rId192" xr:uid="{51D052A4-1B75-48F3-93AF-E8B1B96076CE}"/>
    <hyperlink ref="E438" r:id="rId193" xr:uid="{FD546B4F-FF4A-4365-A9F1-25C43D119A98}"/>
    <hyperlink ref="E431" r:id="rId194" xr:uid="{FA2E0702-7573-4035-93EA-A0CE71143105}"/>
  </hyperlinks>
  <pageMargins left="0.7" right="0.7" top="0.75" bottom="0.75" header="0.3" footer="0.3"/>
  <pageSetup paperSize="9" orientation="portrait" r:id="rId1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6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x14ac:dyDescent="0.2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2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2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2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2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2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2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2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2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2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x14ac:dyDescent="0.2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Main!D136+1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8"/>
  <sheetViews>
    <sheetView zoomScale="145" zoomScaleNormal="145" workbookViewId="0">
      <pane xSplit="2" ySplit="2" topLeftCell="C100" activePane="bottomRight" state="frozen"/>
      <selection pane="topRight" activeCell="C1" sqref="C1"/>
      <selection pane="bottomLeft" activeCell="A3" sqref="A3"/>
      <selection pane="bottomRight" activeCell="C126" sqref="C126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5" spans="2:9" x14ac:dyDescent="0.2">
      <c r="B125" t="s">
        <v>1652</v>
      </c>
    </row>
    <row r="126" spans="2:9" x14ac:dyDescent="0.2">
      <c r="B126" t="s">
        <v>1653</v>
      </c>
    </row>
    <row r="128" spans="2:9" x14ac:dyDescent="0.2">
      <c r="B128" t="s">
        <v>1024</v>
      </c>
      <c r="E128" t="s">
        <v>1019</v>
      </c>
      <c r="F128" t="s">
        <v>1025</v>
      </c>
      <c r="G128" t="s">
        <v>1026</v>
      </c>
      <c r="H128" s="38">
        <v>44915</v>
      </c>
      <c r="I128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4"/>
  <sheetViews>
    <sheetView zoomScale="205" zoomScaleNormal="205" workbookViewId="0">
      <pane xSplit="2" ySplit="2" topLeftCell="C94" activePane="bottomRight" state="frozen"/>
      <selection pane="topRight" activeCell="C1" sqref="C1"/>
      <selection pane="bottomLeft" activeCell="A3" sqref="A3"/>
      <selection pane="bottomRight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([175]Main!$J$5-[175]Main!$J$6)/HKD</f>
        <v>991.71512820512828</v>
      </c>
      <c r="G76" s="6">
        <f>+E76-F76</f>
        <v>23523.572694544873</v>
      </c>
      <c r="H76" s="3" t="s">
        <v>301</v>
      </c>
      <c r="I76" s="6">
        <f>+[175]Main!$J$3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1411</v>
      </c>
      <c r="C101" t="s">
        <v>1410</v>
      </c>
      <c r="D101">
        <v>7000</v>
      </c>
      <c r="E101">
        <v>2001</v>
      </c>
    </row>
    <row r="102" spans="2:5" x14ac:dyDescent="0.2">
      <c r="B102" t="s">
        <v>1359</v>
      </c>
      <c r="C102" t="s">
        <v>1205</v>
      </c>
      <c r="D102">
        <v>2900</v>
      </c>
    </row>
    <row r="103" spans="2:5" x14ac:dyDescent="0.2">
      <c r="B103" t="s">
        <v>747</v>
      </c>
      <c r="C103" t="s">
        <v>272</v>
      </c>
      <c r="D103">
        <v>2500</v>
      </c>
    </row>
    <row r="104" spans="2:5" x14ac:dyDescent="0.2">
      <c r="B104" t="s">
        <v>1369</v>
      </c>
      <c r="C104" t="s">
        <v>34</v>
      </c>
      <c r="D104">
        <v>1600</v>
      </c>
      <c r="E104">
        <v>2021</v>
      </c>
    </row>
    <row r="105" spans="2:5" x14ac:dyDescent="0.2">
      <c r="B105" t="s">
        <v>1664</v>
      </c>
      <c r="C105" t="s">
        <v>37</v>
      </c>
      <c r="D105">
        <v>1300</v>
      </c>
      <c r="E105">
        <v>2006</v>
      </c>
    </row>
    <row r="106" spans="2:5" x14ac:dyDescent="0.2">
      <c r="B106" t="s">
        <v>1367</v>
      </c>
      <c r="C106" t="s">
        <v>34</v>
      </c>
      <c r="D106">
        <v>993</v>
      </c>
      <c r="E106">
        <v>2021</v>
      </c>
    </row>
    <row r="107" spans="2:5" x14ac:dyDescent="0.2">
      <c r="B107" t="s">
        <v>1358</v>
      </c>
      <c r="C107" t="s">
        <v>32</v>
      </c>
    </row>
    <row r="108" spans="2:5" x14ac:dyDescent="0.2">
      <c r="B108" t="s">
        <v>1366</v>
      </c>
      <c r="C108" t="s">
        <v>34</v>
      </c>
    </row>
    <row r="109" spans="2:5" x14ac:dyDescent="0.2">
      <c r="B109" t="s">
        <v>1368</v>
      </c>
      <c r="C109" t="s">
        <v>34</v>
      </c>
    </row>
    <row r="110" spans="2:5" x14ac:dyDescent="0.2">
      <c r="B110" t="s">
        <v>1439</v>
      </c>
      <c r="C110" t="s">
        <v>1440</v>
      </c>
    </row>
    <row r="111" spans="2:5" x14ac:dyDescent="0.2">
      <c r="B111" t="s">
        <v>1441</v>
      </c>
      <c r="C111" t="s">
        <v>14</v>
      </c>
    </row>
    <row r="112" spans="2:5" x14ac:dyDescent="0.2">
      <c r="B112" t="s">
        <v>673</v>
      </c>
      <c r="C112" t="s">
        <v>1255</v>
      </c>
      <c r="E112" s="13">
        <v>45520</v>
      </c>
    </row>
    <row r="113" spans="2:3" x14ac:dyDescent="0.2">
      <c r="B113" t="s">
        <v>1654</v>
      </c>
      <c r="C113" t="s">
        <v>1655</v>
      </c>
    </row>
    <row r="114" spans="2:3" x14ac:dyDescent="0.2">
      <c r="B114" t="s">
        <v>1665</v>
      </c>
      <c r="C114" t="s">
        <v>39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2025-01-06T13:19:02Z</dcterms:modified>
</cp:coreProperties>
</file>