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04AE9BC-7AA5-4801-938A-FD085AEE68AA}" xr6:coauthVersionLast="47" xr6:coauthVersionMax="47" xr10:uidLastSave="{00000000-0000-0000-0000-000000000000}"/>
  <bookViews>
    <workbookView xWindow="-29385" yWindow="1290" windowWidth="25155" windowHeight="18300" activeTab="2" xr2:uid="{00000000-000D-0000-FFFF-FFFF00000000}"/>
  </bookViews>
  <sheets>
    <sheet name="Master" sheetId="23" r:id="rId1"/>
    <sheet name="Main" sheetId="1" r:id="rId2"/>
    <sheet name="Model" sheetId="6" r:id="rId3"/>
    <sheet name="Opdivo" sheetId="19" r:id="rId4"/>
    <sheet name="Orencia" sheetId="3" r:id="rId5"/>
    <sheet name="Yervoy" sheetId="10" r:id="rId6"/>
    <sheet name="Eliquis" sheetId="9" r:id="rId7"/>
    <sheet name="Empliciti" sheetId="22" r:id="rId8"/>
    <sheet name="Avapro" sheetId="17" r:id="rId9"/>
    <sheet name="Plavix" sheetId="2" r:id="rId10"/>
    <sheet name="Abilify" sheetId="11" r:id="rId11"/>
    <sheet name="Reyataz" sheetId="15" r:id="rId12"/>
    <sheet name="Sprycel" sheetId="8" r:id="rId13"/>
    <sheet name="Erbitux" sheetId="12" r:id="rId14"/>
    <sheet name="Onglyza" sheetId="18" r:id="rId15"/>
    <sheet name="Sustiva" sheetId="16" r:id="rId16"/>
    <sheet name="dapagliflozin" sheetId="13" r:id="rId17"/>
    <sheet name="ixabepilone" sheetId="7" r:id="rId18"/>
    <sheet name="790052" sheetId="14" r:id="rId19"/>
    <sheet name="Discontinuations" sheetId="5" r:id="rId20"/>
    <sheet name="brivanib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70" i="6" l="1"/>
  <c r="CB74" i="6"/>
  <c r="CB73" i="6"/>
  <c r="CB72" i="6"/>
  <c r="DT22" i="6"/>
  <c r="DT20" i="6"/>
  <c r="CA61" i="6"/>
  <c r="CA64" i="6"/>
  <c r="CA62" i="6"/>
  <c r="CA55" i="6"/>
  <c r="CA56" i="6" s="1"/>
  <c r="CA74" i="6"/>
  <c r="CA73" i="6"/>
  <c r="CA72" i="6"/>
  <c r="CA60" i="6"/>
  <c r="CB54" i="6"/>
  <c r="CA54" i="6"/>
  <c r="CB115" i="6"/>
  <c r="CB106" i="6"/>
  <c r="CB116" i="6" s="1"/>
  <c r="CB118" i="6" s="1"/>
  <c r="CB103" i="6"/>
  <c r="CB95" i="6"/>
  <c r="CB94" i="6" s="1"/>
  <c r="CB101" i="6"/>
  <c r="BV74" i="6"/>
  <c r="BV73" i="6"/>
  <c r="BV72" i="6"/>
  <c r="BF73" i="6"/>
  <c r="BE73" i="6"/>
  <c r="BD73" i="6"/>
  <c r="BF72" i="6"/>
  <c r="BE72" i="6"/>
  <c r="BD72" i="6"/>
  <c r="AW55" i="6"/>
  <c r="BA55" i="6"/>
  <c r="BA73" i="6"/>
  <c r="BA72" i="6"/>
  <c r="AW60" i="6"/>
  <c r="BA60" i="6"/>
  <c r="AW54" i="6"/>
  <c r="AX55" i="6"/>
  <c r="BB55" i="6"/>
  <c r="BB73" i="6"/>
  <c r="BB72" i="6"/>
  <c r="AX60" i="6"/>
  <c r="BB60" i="6"/>
  <c r="AX54" i="6"/>
  <c r="BC73" i="6"/>
  <c r="BC72" i="6"/>
  <c r="BC55" i="6"/>
  <c r="BG73" i="6"/>
  <c r="BG72" i="6"/>
  <c r="BJ73" i="6"/>
  <c r="BI73" i="6"/>
  <c r="BH73" i="6"/>
  <c r="BJ72" i="6"/>
  <c r="BI72" i="6"/>
  <c r="BH72" i="6"/>
  <c r="AY60" i="6"/>
  <c r="BC60" i="6"/>
  <c r="AY54" i="6"/>
  <c r="AZ55" i="6"/>
  <c r="BD55" i="6"/>
  <c r="AZ60" i="6"/>
  <c r="BD60" i="6"/>
  <c r="BC54" i="6"/>
  <c r="BG70" i="6" s="1"/>
  <c r="AZ54" i="6"/>
  <c r="BA54" i="6"/>
  <c r="BB54" i="6"/>
  <c r="BD54" i="6"/>
  <c r="BT106" i="6"/>
  <c r="BT118" i="6" s="1"/>
  <c r="DS23" i="6"/>
  <c r="DS17" i="6"/>
  <c r="DS13" i="6"/>
  <c r="DS12" i="6"/>
  <c r="DS3" i="6"/>
  <c r="DS4" i="6"/>
  <c r="DS5" i="6"/>
  <c r="DS6" i="6"/>
  <c r="DS7" i="6"/>
  <c r="DS8" i="6"/>
  <c r="DS9" i="6"/>
  <c r="DT23" i="6"/>
  <c r="DU23" i="6" s="1"/>
  <c r="DV23" i="6" s="1"/>
  <c r="DW23" i="6" s="1"/>
  <c r="DX23" i="6" s="1"/>
  <c r="DY23" i="6" s="1"/>
  <c r="DZ23" i="6" s="1"/>
  <c r="EA23" i="6" s="1"/>
  <c r="DR23" i="6"/>
  <c r="DQ23" i="6"/>
  <c r="BT101" i="6"/>
  <c r="BT95" i="6"/>
  <c r="BU72" i="6"/>
  <c r="BW68" i="6"/>
  <c r="BX68" i="6" s="1"/>
  <c r="BY68" i="6" s="1"/>
  <c r="BZ68" i="6" s="1"/>
  <c r="BZ59" i="6"/>
  <c r="BU68" i="6"/>
  <c r="BU65" i="6"/>
  <c r="BU59" i="6"/>
  <c r="BY59" i="6" s="1"/>
  <c r="BU74" i="6"/>
  <c r="BN59" i="6"/>
  <c r="BN57" i="6"/>
  <c r="BN55" i="6"/>
  <c r="BR57" i="6"/>
  <c r="BR60" i="6" s="1"/>
  <c r="BO57" i="6"/>
  <c r="BO59" i="6"/>
  <c r="BO55" i="6"/>
  <c r="BS55" i="6"/>
  <c r="BP59" i="6"/>
  <c r="BP57" i="6"/>
  <c r="BP55" i="6"/>
  <c r="BT59" i="6"/>
  <c r="BT57" i="6"/>
  <c r="BT55" i="6"/>
  <c r="BE54" i="6"/>
  <c r="BX73" i="6"/>
  <c r="BW73" i="6"/>
  <c r="BZ73" i="6"/>
  <c r="BU73" i="6"/>
  <c r="BY72" i="6"/>
  <c r="BX72" i="6"/>
  <c r="BW72" i="6"/>
  <c r="BZ72" i="6"/>
  <c r="BZ74" i="6"/>
  <c r="DS16" i="6"/>
  <c r="DS18" i="6"/>
  <c r="DR44" i="6"/>
  <c r="DQ44" i="6"/>
  <c r="DR24" i="6"/>
  <c r="DQ24" i="6"/>
  <c r="DQ21" i="6"/>
  <c r="DQ19" i="6"/>
  <c r="DQ18" i="6"/>
  <c r="DQ17" i="6"/>
  <c r="DQ16" i="6"/>
  <c r="DQ15" i="6"/>
  <c r="DQ14" i="6"/>
  <c r="DQ13" i="6"/>
  <c r="DQ12" i="6"/>
  <c r="DQ11" i="6"/>
  <c r="DQ3" i="6"/>
  <c r="DI4" i="6"/>
  <c r="DQ4" i="6"/>
  <c r="DQ5" i="6"/>
  <c r="DQ6" i="6"/>
  <c r="DQ7" i="6"/>
  <c r="DQ8" i="6"/>
  <c r="DQ9" i="6"/>
  <c r="DQ10" i="6"/>
  <c r="BF54" i="6"/>
  <c r="BK55" i="6"/>
  <c r="BK62" i="6"/>
  <c r="BL73" i="6"/>
  <c r="BK73" i="6"/>
  <c r="BL72" i="6"/>
  <c r="BK72" i="6"/>
  <c r="BO74" i="6"/>
  <c r="BN74" i="6"/>
  <c r="BO73" i="6"/>
  <c r="BN73" i="6"/>
  <c r="BM73" i="6"/>
  <c r="BO72" i="6"/>
  <c r="BN72" i="6"/>
  <c r="BM72" i="6"/>
  <c r="BG62" i="6"/>
  <c r="BG60" i="6"/>
  <c r="BK60" i="6"/>
  <c r="BH62" i="6"/>
  <c r="BL62" i="6"/>
  <c r="BR74" i="6"/>
  <c r="BQ74" i="6"/>
  <c r="BP74" i="6"/>
  <c r="BR73" i="6"/>
  <c r="BQ73" i="6"/>
  <c r="BP73" i="6"/>
  <c r="BR72" i="6"/>
  <c r="BQ72" i="6"/>
  <c r="BP72" i="6"/>
  <c r="BH60" i="6"/>
  <c r="BL60" i="6"/>
  <c r="BT74" i="6"/>
  <c r="BT73" i="6"/>
  <c r="BT72" i="6"/>
  <c r="BM62" i="6"/>
  <c r="BM60" i="6"/>
  <c r="BQ62" i="6"/>
  <c r="BU62" i="6" s="1"/>
  <c r="BP54" i="6"/>
  <c r="BO54" i="6"/>
  <c r="BN54" i="6"/>
  <c r="BR70" i="6" s="1"/>
  <c r="BM54" i="6"/>
  <c r="BM56" i="6" s="1"/>
  <c r="BM86" i="6" s="1"/>
  <c r="BL54" i="6"/>
  <c r="BK54" i="6"/>
  <c r="BJ54" i="6"/>
  <c r="BI54" i="6"/>
  <c r="BH54" i="6"/>
  <c r="BG54" i="6"/>
  <c r="BT54" i="6"/>
  <c r="BS54" i="6"/>
  <c r="BR54" i="6"/>
  <c r="BR56" i="6" s="1"/>
  <c r="BR86" i="6" s="1"/>
  <c r="BQ54" i="6"/>
  <c r="BQ56" i="6" s="1"/>
  <c r="BQ86" i="6" s="1"/>
  <c r="DR21" i="6"/>
  <c r="DR19" i="6"/>
  <c r="DR18" i="6"/>
  <c r="DR17" i="6"/>
  <c r="DR16" i="6"/>
  <c r="DR15" i="6"/>
  <c r="DR14" i="6"/>
  <c r="DR13" i="6"/>
  <c r="DR12" i="6"/>
  <c r="DR11" i="6"/>
  <c r="DR10" i="6"/>
  <c r="DR9" i="6"/>
  <c r="DR8" i="6"/>
  <c r="DR7" i="6"/>
  <c r="DR6" i="6"/>
  <c r="DR5" i="6"/>
  <c r="DR4" i="6"/>
  <c r="DR3" i="6"/>
  <c r="I29" i="6"/>
  <c r="H29" i="6"/>
  <c r="E29" i="6"/>
  <c r="K29" i="6"/>
  <c r="D29" i="6"/>
  <c r="C29" i="6"/>
  <c r="J29" i="6"/>
  <c r="U29" i="6"/>
  <c r="F29" i="6"/>
  <c r="G29" i="6"/>
  <c r="L29" i="6"/>
  <c r="M29" i="6"/>
  <c r="N29" i="6"/>
  <c r="O29" i="6"/>
  <c r="P29" i="6"/>
  <c r="Q29" i="6"/>
  <c r="R29" i="6"/>
  <c r="S29" i="6"/>
  <c r="T29" i="6"/>
  <c r="BS74" i="6"/>
  <c r="BS72" i="6"/>
  <c r="BS73" i="6"/>
  <c r="BQ60" i="6"/>
  <c r="BS60" i="6"/>
  <c r="AN60" i="6"/>
  <c r="AM60" i="6"/>
  <c r="AM61" i="6" s="1"/>
  <c r="AM63" i="6" s="1"/>
  <c r="AM66" i="6" s="1"/>
  <c r="AM67" i="6" s="1"/>
  <c r="AL60" i="6"/>
  <c r="AL61" i="6" s="1"/>
  <c r="AL63" i="6" s="1"/>
  <c r="AL66" i="6" s="1"/>
  <c r="AL67" i="6" s="1"/>
  <c r="AN54" i="6"/>
  <c r="AN56" i="6" s="1"/>
  <c r="AM54" i="6"/>
  <c r="AL54" i="6"/>
  <c r="AK106" i="6"/>
  <c r="AK95" i="6"/>
  <c r="AK111" i="6"/>
  <c r="AK101" i="6"/>
  <c r="AK75" i="6"/>
  <c r="AK76" i="6"/>
  <c r="AK77" i="6"/>
  <c r="AK78" i="6"/>
  <c r="AK79" i="6"/>
  <c r="AK80" i="6"/>
  <c r="AK81" i="6"/>
  <c r="AK82" i="6"/>
  <c r="AK83" i="6"/>
  <c r="AK84" i="6"/>
  <c r="AK60" i="6"/>
  <c r="AK38" i="6"/>
  <c r="AK54" i="6" s="1"/>
  <c r="AJ75" i="6"/>
  <c r="AJ76" i="6"/>
  <c r="AJ77" i="6"/>
  <c r="AJ78" i="6"/>
  <c r="AJ79" i="6"/>
  <c r="AJ80" i="6"/>
  <c r="AJ81" i="6"/>
  <c r="AJ82" i="6"/>
  <c r="AJ83" i="6"/>
  <c r="AJ84" i="6"/>
  <c r="AJ38" i="6"/>
  <c r="AJ54" i="6" s="1"/>
  <c r="AJ60" i="6"/>
  <c r="AI75" i="6"/>
  <c r="AI76" i="6"/>
  <c r="AI77" i="6"/>
  <c r="AI78" i="6"/>
  <c r="AI79" i="6"/>
  <c r="AI80" i="6"/>
  <c r="AI81" i="6"/>
  <c r="AI82" i="6"/>
  <c r="AI83" i="6"/>
  <c r="AI84" i="6"/>
  <c r="AI60" i="6"/>
  <c r="AI38" i="6"/>
  <c r="AI54" i="6" s="1"/>
  <c r="AH59" i="6"/>
  <c r="AH58" i="6"/>
  <c r="AH55" i="6"/>
  <c r="AH29" i="6"/>
  <c r="DI29" i="6" s="1"/>
  <c r="DJ29" i="6" s="1"/>
  <c r="DK29" i="6" s="1"/>
  <c r="DL29" i="6" s="1"/>
  <c r="DM29" i="6" s="1"/>
  <c r="DN29" i="6" s="1"/>
  <c r="AH26" i="6"/>
  <c r="DI26" i="6" s="1"/>
  <c r="AH33" i="6"/>
  <c r="AH78" i="6" s="1"/>
  <c r="AH40" i="6"/>
  <c r="DI40" i="6" s="1"/>
  <c r="DJ40" i="6" s="1"/>
  <c r="DK40" i="6" s="1"/>
  <c r="DL40" i="6" s="1"/>
  <c r="DM40" i="6" s="1"/>
  <c r="DN40" i="6" s="1"/>
  <c r="AH36" i="6"/>
  <c r="DI36" i="6" s="1"/>
  <c r="DJ36" i="6" s="1"/>
  <c r="DK36" i="6" s="1"/>
  <c r="DL36" i="6" s="1"/>
  <c r="DM36" i="6" s="1"/>
  <c r="DN36" i="6" s="1"/>
  <c r="AH6" i="6"/>
  <c r="DI6" i="6" s="1"/>
  <c r="AH5" i="6"/>
  <c r="DI5" i="6" s="1"/>
  <c r="AH3" i="6"/>
  <c r="DI3" i="6" s="1"/>
  <c r="AH44" i="6"/>
  <c r="DI44" i="6" s="1"/>
  <c r="DJ44" i="6" s="1"/>
  <c r="DK44" i="6" s="1"/>
  <c r="DL44" i="6" s="1"/>
  <c r="DM44" i="6" s="1"/>
  <c r="DN44" i="6" s="1"/>
  <c r="AH43" i="6"/>
  <c r="DI43" i="6" s="1"/>
  <c r="DJ43" i="6" s="1"/>
  <c r="DK43" i="6" s="1"/>
  <c r="DL43" i="6" s="1"/>
  <c r="DM43" i="6" s="1"/>
  <c r="DN43" i="6" s="1"/>
  <c r="AH42" i="6"/>
  <c r="AH41" i="6"/>
  <c r="AH82" i="6" s="1"/>
  <c r="AH37" i="6"/>
  <c r="DI37" i="6" s="1"/>
  <c r="AG62" i="6"/>
  <c r="AG57" i="6"/>
  <c r="AG60" i="6" s="1"/>
  <c r="AG38" i="6"/>
  <c r="AH38" i="6" s="1"/>
  <c r="AF111" i="6"/>
  <c r="AF109" i="6"/>
  <c r="AF106" i="6"/>
  <c r="AF95" i="6"/>
  <c r="AF101" i="6"/>
  <c r="AF62" i="6"/>
  <c r="AF60" i="6"/>
  <c r="DM38" i="6"/>
  <c r="DN38" i="6" s="1"/>
  <c r="DH6" i="6"/>
  <c r="AF54" i="6"/>
  <c r="AF87" i="6" s="1"/>
  <c r="DH5" i="6"/>
  <c r="CX75" i="6"/>
  <c r="CZ75" i="6"/>
  <c r="DA75" i="6"/>
  <c r="DH65" i="6"/>
  <c r="DI65" i="6" s="1"/>
  <c r="DJ65" i="6" s="1"/>
  <c r="DK65" i="6" s="1"/>
  <c r="DL65" i="6" s="1"/>
  <c r="DM65" i="6" s="1"/>
  <c r="DN65" i="6" s="1"/>
  <c r="DO65" i="6" s="1"/>
  <c r="DP65" i="6" s="1"/>
  <c r="DQ65" i="6" s="1"/>
  <c r="DR65" i="6" s="1"/>
  <c r="DS65" i="6" s="1"/>
  <c r="DT65" i="6" s="1"/>
  <c r="DU65" i="6" s="1"/>
  <c r="DV65" i="6" s="1"/>
  <c r="AH65" i="6"/>
  <c r="AE54" i="6"/>
  <c r="AE56" i="6" s="1"/>
  <c r="AF84" i="6"/>
  <c r="AD84" i="6"/>
  <c r="AC84" i="6"/>
  <c r="AB84" i="6"/>
  <c r="AA84" i="6"/>
  <c r="Z84" i="6"/>
  <c r="AE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AG81" i="6"/>
  <c r="AF81" i="6"/>
  <c r="I81" i="6"/>
  <c r="H81" i="6"/>
  <c r="G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AF78" i="6"/>
  <c r="J78" i="6"/>
  <c r="I78" i="6"/>
  <c r="H78" i="6"/>
  <c r="G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AF76" i="6"/>
  <c r="AE75" i="6"/>
  <c r="AD75" i="6"/>
  <c r="DE65" i="6"/>
  <c r="DF68" i="6"/>
  <c r="DF65" i="6"/>
  <c r="DF64" i="6"/>
  <c r="DF59" i="6"/>
  <c r="DF58" i="6"/>
  <c r="DF57" i="6"/>
  <c r="DG68" i="6"/>
  <c r="DG65" i="6"/>
  <c r="DG64" i="6"/>
  <c r="DG59" i="6"/>
  <c r="DG58" i="6"/>
  <c r="DG57" i="6"/>
  <c r="DG55" i="6"/>
  <c r="DH68" i="6"/>
  <c r="DI68" i="6" s="1"/>
  <c r="DJ68" i="6" s="1"/>
  <c r="DK68" i="6" s="1"/>
  <c r="DL68" i="6" s="1"/>
  <c r="DM68" i="6" s="1"/>
  <c r="DN68" i="6" s="1"/>
  <c r="DO68" i="6" s="1"/>
  <c r="DP68" i="6" s="1"/>
  <c r="DQ68" i="6" s="1"/>
  <c r="DR68" i="6" s="1"/>
  <c r="DS68" i="6" s="1"/>
  <c r="DT68" i="6" s="1"/>
  <c r="DU68" i="6" s="1"/>
  <c r="DV68" i="6" s="1"/>
  <c r="DH64" i="6"/>
  <c r="DH59" i="6"/>
  <c r="DH58" i="6"/>
  <c r="DH57" i="6"/>
  <c r="DI57" i="6" s="1"/>
  <c r="DJ57" i="6" s="1"/>
  <c r="DH55" i="6"/>
  <c r="DH29" i="6"/>
  <c r="DH26" i="6"/>
  <c r="DH36" i="6"/>
  <c r="DH41" i="6"/>
  <c r="DH40" i="6"/>
  <c r="DH44" i="6"/>
  <c r="DH43" i="6"/>
  <c r="DH33" i="6"/>
  <c r="DH3" i="6"/>
  <c r="DH42" i="6"/>
  <c r="DH37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AE111" i="6"/>
  <c r="AE109" i="6"/>
  <c r="AE106" i="6"/>
  <c r="AE95" i="6"/>
  <c r="AE101" i="6"/>
  <c r="AD94" i="6"/>
  <c r="AC94" i="6"/>
  <c r="AB94" i="6"/>
  <c r="Z94" i="6"/>
  <c r="Y94" i="6"/>
  <c r="DG37" i="6"/>
  <c r="DF37" i="6"/>
  <c r="AB62" i="6"/>
  <c r="AB60" i="6"/>
  <c r="AC62" i="6"/>
  <c r="AC60" i="6"/>
  <c r="Y54" i="6"/>
  <c r="Y87" i="6" s="1"/>
  <c r="Z54" i="6"/>
  <c r="Z89" i="6" s="1"/>
  <c r="Z62" i="6"/>
  <c r="AD62" i="6"/>
  <c r="AD60" i="6"/>
  <c r="AD54" i="6"/>
  <c r="AD89" i="6" s="1"/>
  <c r="AC54" i="6"/>
  <c r="AC89" i="6" s="1"/>
  <c r="AB54" i="6"/>
  <c r="AB56" i="6" s="1"/>
  <c r="AA54" i="6"/>
  <c r="AA88" i="6" s="1"/>
  <c r="AA62" i="6"/>
  <c r="AA60" i="6"/>
  <c r="AE62" i="6"/>
  <c r="AE60" i="6"/>
  <c r="AA109" i="6"/>
  <c r="AA111" i="6"/>
  <c r="AA106" i="6"/>
  <c r="AA101" i="6"/>
  <c r="AA95" i="6"/>
  <c r="X115" i="6"/>
  <c r="X106" i="6"/>
  <c r="X111" i="6"/>
  <c r="X95" i="6"/>
  <c r="X101" i="6"/>
  <c r="X62" i="6"/>
  <c r="X29" i="6"/>
  <c r="DG29" i="6" s="1"/>
  <c r="DF5" i="6"/>
  <c r="DF34" i="6"/>
  <c r="DF3" i="6"/>
  <c r="DF41" i="6"/>
  <c r="DF40" i="6"/>
  <c r="DF44" i="6"/>
  <c r="DF43" i="6"/>
  <c r="DF42" i="6"/>
  <c r="DF33" i="6"/>
  <c r="X60" i="6"/>
  <c r="DG5" i="6"/>
  <c r="DG3" i="6"/>
  <c r="DG41" i="6"/>
  <c r="DG44" i="6"/>
  <c r="V62" i="6"/>
  <c r="W54" i="6"/>
  <c r="W88" i="6" s="1"/>
  <c r="W62" i="6"/>
  <c r="W60" i="6"/>
  <c r="DF52" i="6"/>
  <c r="V47" i="6"/>
  <c r="V46" i="6"/>
  <c r="DF36" i="6"/>
  <c r="V35" i="6"/>
  <c r="V29" i="6" s="1"/>
  <c r="R52" i="6"/>
  <c r="S62" i="6"/>
  <c r="S60" i="6"/>
  <c r="U62" i="6"/>
  <c r="U60" i="6"/>
  <c r="T94" i="6"/>
  <c r="T62" i="6"/>
  <c r="T60" i="6"/>
  <c r="Q106" i="6"/>
  <c r="Q111" i="6"/>
  <c r="Q109" i="6"/>
  <c r="Q101" i="6"/>
  <c r="Q95" i="6"/>
  <c r="CP94" i="6"/>
  <c r="CO121" i="6"/>
  <c r="CP121" i="6"/>
  <c r="CL64" i="6"/>
  <c r="CL62" i="6"/>
  <c r="CO64" i="6"/>
  <c r="CO62" i="6"/>
  <c r="CP64" i="6"/>
  <c r="CP62" i="6"/>
  <c r="CP60" i="6"/>
  <c r="CO60" i="6"/>
  <c r="CN60" i="6"/>
  <c r="CM60" i="6"/>
  <c r="CL60" i="6"/>
  <c r="CP56" i="6"/>
  <c r="CP86" i="6" s="1"/>
  <c r="CO56" i="6"/>
  <c r="CO86" i="6" s="1"/>
  <c r="CN56" i="6"/>
  <c r="CM56" i="6"/>
  <c r="CM86" i="6" s="1"/>
  <c r="CL56" i="6"/>
  <c r="CL86" i="6" s="1"/>
  <c r="DE42" i="6"/>
  <c r="DE43" i="6"/>
  <c r="DE46" i="6"/>
  <c r="DE44" i="6"/>
  <c r="DE47" i="6"/>
  <c r="DE40" i="6"/>
  <c r="DE41" i="6"/>
  <c r="DE35" i="6"/>
  <c r="O52" i="6"/>
  <c r="P52" i="6"/>
  <c r="Q52" i="6"/>
  <c r="DE37" i="6"/>
  <c r="DE3" i="6"/>
  <c r="R57" i="6"/>
  <c r="DE57" i="6" s="1"/>
  <c r="R58" i="6"/>
  <c r="DE58" i="6" s="1"/>
  <c r="R59" i="6"/>
  <c r="P60" i="6"/>
  <c r="Q60" i="6"/>
  <c r="Q62" i="6"/>
  <c r="DE34" i="6"/>
  <c r="R53" i="6"/>
  <c r="DE53" i="6" s="1"/>
  <c r="R68" i="6"/>
  <c r="DE68" i="6" s="1"/>
  <c r="DE5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DD53" i="6"/>
  <c r="K52" i="6"/>
  <c r="L52" i="6"/>
  <c r="M52" i="6"/>
  <c r="N52" i="6"/>
  <c r="DD35" i="6"/>
  <c r="DD5" i="6"/>
  <c r="DD34" i="6"/>
  <c r="DD3" i="6"/>
  <c r="DD41" i="6"/>
  <c r="DD40" i="6"/>
  <c r="DD47" i="6"/>
  <c r="DD44" i="6"/>
  <c r="DD46" i="6"/>
  <c r="DD43" i="6"/>
  <c r="DD42" i="6"/>
  <c r="DD33" i="6"/>
  <c r="DD37" i="6"/>
  <c r="J52" i="6"/>
  <c r="I52" i="6"/>
  <c r="G52" i="6"/>
  <c r="F52" i="6"/>
  <c r="E52" i="6"/>
  <c r="D52" i="6"/>
  <c r="C52" i="6"/>
  <c r="H52" i="6"/>
  <c r="DC53" i="6"/>
  <c r="DC37" i="6"/>
  <c r="DC33" i="6"/>
  <c r="DC45" i="6"/>
  <c r="DC31" i="6"/>
  <c r="DC42" i="6"/>
  <c r="DC43" i="6"/>
  <c r="DC48" i="6"/>
  <c r="DC46" i="6"/>
  <c r="DC44" i="6"/>
  <c r="DC49" i="6"/>
  <c r="DC47" i="6"/>
  <c r="DC40" i="6"/>
  <c r="DC41" i="6"/>
  <c r="DC3" i="6"/>
  <c r="DC5" i="6"/>
  <c r="DC35" i="6"/>
  <c r="DB53" i="6"/>
  <c r="DB37" i="6"/>
  <c r="DB75" i="6" s="1"/>
  <c r="DB33" i="6"/>
  <c r="DB45" i="6"/>
  <c r="DB42" i="6"/>
  <c r="DB43" i="6"/>
  <c r="DB48" i="6"/>
  <c r="DB46" i="6"/>
  <c r="DB44" i="6"/>
  <c r="DB49" i="6"/>
  <c r="DB47" i="6"/>
  <c r="DB40" i="6"/>
  <c r="DB41" i="6"/>
  <c r="DB35" i="6"/>
  <c r="C60" i="6"/>
  <c r="C62" i="6"/>
  <c r="D60" i="6"/>
  <c r="D62" i="6"/>
  <c r="E60" i="6"/>
  <c r="E62" i="6"/>
  <c r="F60" i="6"/>
  <c r="F62" i="6"/>
  <c r="G60" i="6"/>
  <c r="G62" i="6"/>
  <c r="H62" i="6"/>
  <c r="L60" i="6"/>
  <c r="I62" i="6"/>
  <c r="I60" i="6"/>
  <c r="M60" i="6"/>
  <c r="M62" i="6"/>
  <c r="J60" i="6"/>
  <c r="J62" i="6"/>
  <c r="N60" i="6"/>
  <c r="N62" i="6"/>
  <c r="K60" i="6"/>
  <c r="K62" i="6"/>
  <c r="O60" i="6"/>
  <c r="O62" i="6"/>
  <c r="K4" i="1"/>
  <c r="C7" i="11"/>
  <c r="C6" i="11"/>
  <c r="DA54" i="6"/>
  <c r="DA86" i="6" s="1"/>
  <c r="CZ54" i="6"/>
  <c r="CY54" i="6"/>
  <c r="CY86" i="6" s="1"/>
  <c r="H60" i="6"/>
  <c r="DE33" i="6"/>
  <c r="V60" i="6"/>
  <c r="DG40" i="6"/>
  <c r="DG43" i="6"/>
  <c r="DG33" i="6"/>
  <c r="DG34" i="6"/>
  <c r="DG42" i="6"/>
  <c r="DG36" i="6"/>
  <c r="Y60" i="6"/>
  <c r="Z60" i="6"/>
  <c r="AG75" i="6"/>
  <c r="AF75" i="6"/>
  <c r="AG78" i="6"/>
  <c r="AG84" i="6"/>
  <c r="AG76" i="6"/>
  <c r="AG77" i="6"/>
  <c r="AG79" i="6"/>
  <c r="CA63" i="6" l="1"/>
  <c r="CA66" i="6" s="1"/>
  <c r="CA67" i="6" s="1"/>
  <c r="AX56" i="6"/>
  <c r="BJ70" i="6"/>
  <c r="CB104" i="6"/>
  <c r="BA70" i="6"/>
  <c r="AZ56" i="6"/>
  <c r="BD56" i="6"/>
  <c r="BO60" i="6"/>
  <c r="BB56" i="6"/>
  <c r="BB61" i="6" s="1"/>
  <c r="BB63" i="6" s="1"/>
  <c r="BB66" i="6" s="1"/>
  <c r="BB67" i="6" s="1"/>
  <c r="DT5" i="6"/>
  <c r="DU5" i="6" s="1"/>
  <c r="DV5" i="6" s="1"/>
  <c r="DW5" i="6" s="1"/>
  <c r="DX5" i="6" s="1"/>
  <c r="DY5" i="6" s="1"/>
  <c r="DZ5" i="6" s="1"/>
  <c r="EA5" i="6" s="1"/>
  <c r="BT104" i="6"/>
  <c r="AW56" i="6"/>
  <c r="AW61" i="6" s="1"/>
  <c r="AW63" i="6" s="1"/>
  <c r="AW66" i="6" s="1"/>
  <c r="AW67" i="6" s="1"/>
  <c r="DT7" i="6"/>
  <c r="DU7" i="6" s="1"/>
  <c r="DV7" i="6" s="1"/>
  <c r="DW7" i="6" s="1"/>
  <c r="DX7" i="6" s="1"/>
  <c r="DY7" i="6" s="1"/>
  <c r="DZ7" i="6" s="1"/>
  <c r="EA7" i="6" s="1"/>
  <c r="BF70" i="6"/>
  <c r="BM70" i="6"/>
  <c r="BN70" i="6"/>
  <c r="AK94" i="6"/>
  <c r="AK104" i="6" s="1"/>
  <c r="BP60" i="6"/>
  <c r="BA56" i="6"/>
  <c r="BA61" i="6" s="1"/>
  <c r="BA63" i="6" s="1"/>
  <c r="BA66" i="6" s="1"/>
  <c r="BA67" i="6" s="1"/>
  <c r="BS56" i="6"/>
  <c r="BS86" i="6" s="1"/>
  <c r="DT6" i="6"/>
  <c r="DU6" i="6" s="1"/>
  <c r="DV6" i="6" s="1"/>
  <c r="DW6" i="6" s="1"/>
  <c r="DX6" i="6" s="1"/>
  <c r="DY6" i="6" s="1"/>
  <c r="DZ6" i="6" s="1"/>
  <c r="EA6" i="6" s="1"/>
  <c r="BE70" i="6"/>
  <c r="BO56" i="6"/>
  <c r="BO86" i="6" s="1"/>
  <c r="BD70" i="6"/>
  <c r="BC70" i="6"/>
  <c r="BC56" i="6"/>
  <c r="BC61" i="6" s="1"/>
  <c r="BC63" i="6" s="1"/>
  <c r="BC66" i="6" s="1"/>
  <c r="BC67" i="6" s="1"/>
  <c r="BT60" i="6"/>
  <c r="BQ70" i="6"/>
  <c r="DT14" i="6"/>
  <c r="DU14" i="6" s="1"/>
  <c r="DV14" i="6" s="1"/>
  <c r="DW14" i="6" s="1"/>
  <c r="DX14" i="6" s="1"/>
  <c r="DY14" i="6" s="1"/>
  <c r="DZ14" i="6" s="1"/>
  <c r="EA14" i="6" s="1"/>
  <c r="DT15" i="6"/>
  <c r="DU15" i="6" s="1"/>
  <c r="DV15" i="6" s="1"/>
  <c r="DW15" i="6" s="1"/>
  <c r="DX15" i="6" s="1"/>
  <c r="DY15" i="6" s="1"/>
  <c r="DZ15" i="6" s="1"/>
  <c r="EA15" i="6" s="1"/>
  <c r="BT70" i="6"/>
  <c r="BK70" i="6"/>
  <c r="BT94" i="6"/>
  <c r="BL70" i="6"/>
  <c r="BO70" i="6"/>
  <c r="BN60" i="6"/>
  <c r="BP70" i="6"/>
  <c r="BN56" i="6"/>
  <c r="BN86" i="6" s="1"/>
  <c r="DT3" i="6"/>
  <c r="DU3" i="6" s="1"/>
  <c r="DV3" i="6" s="1"/>
  <c r="DW3" i="6" s="1"/>
  <c r="DX3" i="6" s="1"/>
  <c r="DY3" i="6" s="1"/>
  <c r="DZ3" i="6" s="1"/>
  <c r="EA3" i="6" s="1"/>
  <c r="BI70" i="6"/>
  <c r="BH70" i="6"/>
  <c r="BX59" i="6"/>
  <c r="DT9" i="6"/>
  <c r="DU9" i="6" s="1"/>
  <c r="DV9" i="6" s="1"/>
  <c r="DW9" i="6" s="1"/>
  <c r="DX9" i="6" s="1"/>
  <c r="DY9" i="6" s="1"/>
  <c r="DZ9" i="6" s="1"/>
  <c r="EA9" i="6" s="1"/>
  <c r="DS19" i="6"/>
  <c r="DS21" i="6"/>
  <c r="DT17" i="6"/>
  <c r="DU17" i="6" s="1"/>
  <c r="DV17" i="6" s="1"/>
  <c r="DW17" i="6" s="1"/>
  <c r="DX17" i="6" s="1"/>
  <c r="DY17" i="6" s="1"/>
  <c r="DZ17" i="6" s="1"/>
  <c r="EA17" i="6" s="1"/>
  <c r="DS15" i="6"/>
  <c r="DS14" i="6"/>
  <c r="DT13" i="6"/>
  <c r="DU13" i="6" s="1"/>
  <c r="DV13" i="6" s="1"/>
  <c r="DW13" i="6" s="1"/>
  <c r="DX13" i="6" s="1"/>
  <c r="DY13" i="6" s="1"/>
  <c r="DZ13" i="6" s="1"/>
  <c r="EA13" i="6" s="1"/>
  <c r="DT12" i="6"/>
  <c r="DU12" i="6" s="1"/>
  <c r="DV12" i="6" s="1"/>
  <c r="DW12" i="6" s="1"/>
  <c r="DX12" i="6" s="1"/>
  <c r="DY12" i="6" s="1"/>
  <c r="DZ12" i="6" s="1"/>
  <c r="EA12" i="6" s="1"/>
  <c r="DS11" i="6"/>
  <c r="DT11" i="6"/>
  <c r="DU11" i="6" s="1"/>
  <c r="DV11" i="6" s="1"/>
  <c r="DW11" i="6" s="1"/>
  <c r="DX11" i="6" s="1"/>
  <c r="DY11" i="6" s="1"/>
  <c r="DZ11" i="6" s="1"/>
  <c r="EA11" i="6" s="1"/>
  <c r="DT8" i="6"/>
  <c r="DU8" i="6" s="1"/>
  <c r="DV8" i="6" s="1"/>
  <c r="DW8" i="6" s="1"/>
  <c r="DX8" i="6" s="1"/>
  <c r="DY8" i="6" s="1"/>
  <c r="DZ8" i="6" s="1"/>
  <c r="EA8" i="6" s="1"/>
  <c r="BB70" i="6"/>
  <c r="AX61" i="6"/>
  <c r="AX63" i="6" s="1"/>
  <c r="AX66" i="6" s="1"/>
  <c r="AX67" i="6" s="1"/>
  <c r="AY56" i="6"/>
  <c r="AY61" i="6" s="1"/>
  <c r="AY63" i="6" s="1"/>
  <c r="AY66" i="6" s="1"/>
  <c r="AY67" i="6" s="1"/>
  <c r="BD61" i="6"/>
  <c r="BD63" i="6" s="1"/>
  <c r="BD66" i="6" s="1"/>
  <c r="BD67" i="6" s="1"/>
  <c r="AZ61" i="6"/>
  <c r="AZ63" i="6" s="1"/>
  <c r="AZ66" i="6" s="1"/>
  <c r="AZ67" i="6" s="1"/>
  <c r="DS10" i="6"/>
  <c r="DT10" i="6"/>
  <c r="BT56" i="6"/>
  <c r="BK56" i="6"/>
  <c r="BK86" i="6" s="1"/>
  <c r="BW74" i="6"/>
  <c r="BX74" i="6"/>
  <c r="BY74" i="6"/>
  <c r="BW65" i="6"/>
  <c r="BX65" i="6" s="1"/>
  <c r="BY65" i="6" s="1"/>
  <c r="BW62" i="6"/>
  <c r="BP56" i="6"/>
  <c r="BP86" i="6" s="1"/>
  <c r="O94" i="6"/>
  <c r="BG56" i="6"/>
  <c r="BG61" i="6" s="1"/>
  <c r="BG63" i="6" s="1"/>
  <c r="BG66" i="6" s="1"/>
  <c r="BG67" i="6" s="1"/>
  <c r="BL56" i="6"/>
  <c r="BL86" i="6" s="1"/>
  <c r="BH56" i="6"/>
  <c r="BH61" i="6" s="1"/>
  <c r="BH63" i="6" s="1"/>
  <c r="BH66" i="6" s="1"/>
  <c r="BH67" i="6" s="1"/>
  <c r="BM61" i="6"/>
  <c r="BM90" i="6" s="1"/>
  <c r="BV54" i="6"/>
  <c r="BU54" i="6"/>
  <c r="BU57" i="6" s="1"/>
  <c r="BU60" i="6" s="1"/>
  <c r="DR54" i="6"/>
  <c r="AN61" i="6"/>
  <c r="AN63" i="6" s="1"/>
  <c r="AN66" i="6" s="1"/>
  <c r="AN67" i="6" s="1"/>
  <c r="K7" i="1"/>
  <c r="BS70" i="6"/>
  <c r="BQ61" i="6"/>
  <c r="BR61" i="6"/>
  <c r="AE87" i="6"/>
  <c r="AH79" i="6"/>
  <c r="AE89" i="6"/>
  <c r="AB89" i="6"/>
  <c r="AB88" i="6"/>
  <c r="AH77" i="6"/>
  <c r="AF104" i="6"/>
  <c r="AB87" i="6"/>
  <c r="AH80" i="6"/>
  <c r="AA89" i="6"/>
  <c r="AA87" i="6"/>
  <c r="DF75" i="6"/>
  <c r="AJ88" i="6"/>
  <c r="AJ89" i="6"/>
  <c r="AJ87" i="6"/>
  <c r="AJ56" i="6"/>
  <c r="AJ61" i="6" s="1"/>
  <c r="AJ90" i="6" s="1"/>
  <c r="AK89" i="6"/>
  <c r="AK56" i="6"/>
  <c r="AK61" i="6" s="1"/>
  <c r="AK88" i="6"/>
  <c r="AK87" i="6"/>
  <c r="AF116" i="6"/>
  <c r="AF118" i="6" s="1"/>
  <c r="DI33" i="6"/>
  <c r="DJ33" i="6" s="1"/>
  <c r="DK33" i="6" s="1"/>
  <c r="DL33" i="6" s="1"/>
  <c r="DM33" i="6" s="1"/>
  <c r="DN33" i="6" s="1"/>
  <c r="AH84" i="6"/>
  <c r="AE88" i="6"/>
  <c r="AI56" i="6"/>
  <c r="AI61" i="6" s="1"/>
  <c r="AI63" i="6" s="1"/>
  <c r="AI88" i="6"/>
  <c r="AI89" i="6"/>
  <c r="AI70" i="6"/>
  <c r="AI87" i="6"/>
  <c r="AA56" i="6"/>
  <c r="AA61" i="6" s="1"/>
  <c r="AE104" i="6"/>
  <c r="X104" i="6"/>
  <c r="AE61" i="6"/>
  <c r="AE63" i="6" s="1"/>
  <c r="AE91" i="6" s="1"/>
  <c r="X116" i="6"/>
  <c r="X118" i="6" s="1"/>
  <c r="AE86" i="6"/>
  <c r="CN61" i="6"/>
  <c r="CN63" i="6" s="1"/>
  <c r="CN66" i="6" s="1"/>
  <c r="CN67" i="6" s="1"/>
  <c r="AG54" i="6"/>
  <c r="AG88" i="6" s="1"/>
  <c r="DE75" i="6"/>
  <c r="Z87" i="6"/>
  <c r="CN86" i="6"/>
  <c r="AJ70" i="6"/>
  <c r="X94" i="6"/>
  <c r="Y89" i="6"/>
  <c r="Z56" i="6"/>
  <c r="Z86" i="6" s="1"/>
  <c r="Y56" i="6"/>
  <c r="Y61" i="6" s="1"/>
  <c r="Y90" i="6" s="1"/>
  <c r="X54" i="6"/>
  <c r="X56" i="6" s="1"/>
  <c r="Z88" i="6"/>
  <c r="W87" i="6"/>
  <c r="AE116" i="6"/>
  <c r="AE118" i="6" s="1"/>
  <c r="CM61" i="6"/>
  <c r="CM63" i="6" s="1"/>
  <c r="CM66" i="6" s="1"/>
  <c r="CM67" i="6" s="1"/>
  <c r="AH57" i="6"/>
  <c r="AH60" i="6" s="1"/>
  <c r="Y88" i="6"/>
  <c r="Q94" i="6"/>
  <c r="AF89" i="6"/>
  <c r="AF70" i="6"/>
  <c r="AF56" i="6"/>
  <c r="AF86" i="6" s="1"/>
  <c r="AF88" i="6"/>
  <c r="Q116" i="6"/>
  <c r="DF60" i="6"/>
  <c r="AD88" i="6"/>
  <c r="DG75" i="6"/>
  <c r="AC70" i="6"/>
  <c r="AH83" i="6"/>
  <c r="DH62" i="6"/>
  <c r="DE52" i="6"/>
  <c r="DF62" i="6"/>
  <c r="AC87" i="6"/>
  <c r="AC88" i="6"/>
  <c r="AE70" i="6"/>
  <c r="DG60" i="6"/>
  <c r="AC56" i="6"/>
  <c r="AC86" i="6" s="1"/>
  <c r="CP61" i="6"/>
  <c r="CP63" i="6" s="1"/>
  <c r="CP66" i="6" s="1"/>
  <c r="CP67" i="6" s="1"/>
  <c r="DG62" i="6"/>
  <c r="AH81" i="6"/>
  <c r="AE94" i="6"/>
  <c r="DI75" i="6"/>
  <c r="AB61" i="6"/>
  <c r="AB90" i="6" s="1"/>
  <c r="AB86" i="6"/>
  <c r="AH54" i="6"/>
  <c r="DH60" i="6"/>
  <c r="AH75" i="6"/>
  <c r="DD52" i="6"/>
  <c r="AD56" i="6"/>
  <c r="Q104" i="6"/>
  <c r="AF94" i="6"/>
  <c r="AD87" i="6"/>
  <c r="DI41" i="6"/>
  <c r="DJ41" i="6" s="1"/>
  <c r="DK41" i="6" s="1"/>
  <c r="AD70" i="6"/>
  <c r="DH75" i="6"/>
  <c r="CO61" i="6"/>
  <c r="CO63" i="6" s="1"/>
  <c r="CO66" i="6" s="1"/>
  <c r="CO67" i="6" s="1"/>
  <c r="V54" i="6"/>
  <c r="V87" i="6" s="1"/>
  <c r="DE62" i="6"/>
  <c r="DC52" i="6"/>
  <c r="DC75" i="6"/>
  <c r="DD75" i="6"/>
  <c r="CZ70" i="6"/>
  <c r="CZ86" i="6"/>
  <c r="DI42" i="6"/>
  <c r="AH76" i="6"/>
  <c r="AA104" i="6"/>
  <c r="AA94" i="6"/>
  <c r="DB52" i="6"/>
  <c r="W89" i="6"/>
  <c r="W56" i="6"/>
  <c r="AA70" i="6"/>
  <c r="DA70" i="6"/>
  <c r="AA116" i="6"/>
  <c r="AA118" i="6" s="1"/>
  <c r="DH54" i="6"/>
  <c r="DG54" i="6"/>
  <c r="DE59" i="6"/>
  <c r="DE60" i="6" s="1"/>
  <c r="R60" i="6"/>
  <c r="R61" i="6" s="1"/>
  <c r="DK57" i="6"/>
  <c r="DJ37" i="6"/>
  <c r="CL61" i="6"/>
  <c r="CL63" i="6" s="1"/>
  <c r="CL66" i="6" s="1"/>
  <c r="CL67" i="6" s="1"/>
  <c r="BL61" i="6" l="1"/>
  <c r="BO61" i="6"/>
  <c r="BO90" i="6" s="1"/>
  <c r="BS61" i="6"/>
  <c r="BM63" i="6"/>
  <c r="BM66" i="6" s="1"/>
  <c r="BM67" i="6" s="1"/>
  <c r="BV70" i="6"/>
  <c r="BV56" i="6"/>
  <c r="BV86" i="6" s="1"/>
  <c r="BP61" i="6"/>
  <c r="BP63" i="6" s="1"/>
  <c r="BP66" i="6" s="1"/>
  <c r="BP67" i="6" s="1"/>
  <c r="BK61" i="6"/>
  <c r="BK90" i="6" s="1"/>
  <c r="BN61" i="6"/>
  <c r="DT16" i="6"/>
  <c r="DU16" i="6" s="1"/>
  <c r="DV16" i="6" s="1"/>
  <c r="DW16" i="6" s="1"/>
  <c r="DX16" i="6" s="1"/>
  <c r="DY16" i="6" s="1"/>
  <c r="DZ16" i="6" s="1"/>
  <c r="EA16" i="6" s="1"/>
  <c r="DS54" i="6"/>
  <c r="BY73" i="6"/>
  <c r="DT4" i="6"/>
  <c r="DU4" i="6" s="1"/>
  <c r="DV4" i="6" s="1"/>
  <c r="DW4" i="6" s="1"/>
  <c r="DX4" i="6" s="1"/>
  <c r="DY4" i="6" s="1"/>
  <c r="DZ4" i="6" s="1"/>
  <c r="EA4" i="6" s="1"/>
  <c r="DU10" i="6"/>
  <c r="BQ63" i="6"/>
  <c r="BQ66" i="6" s="1"/>
  <c r="BQ67" i="6" s="1"/>
  <c r="BQ90" i="6"/>
  <c r="BN63" i="6"/>
  <c r="BN66" i="6" s="1"/>
  <c r="BN67" i="6" s="1"/>
  <c r="BN90" i="6"/>
  <c r="BS63" i="6"/>
  <c r="BS66" i="6" s="1"/>
  <c r="BS67" i="6" s="1"/>
  <c r="BS90" i="6"/>
  <c r="BR63" i="6"/>
  <c r="BR66" i="6" s="1"/>
  <c r="BR67" i="6" s="1"/>
  <c r="BR90" i="6"/>
  <c r="BO63" i="6"/>
  <c r="BO66" i="6" s="1"/>
  <c r="BO67" i="6" s="1"/>
  <c r="BL63" i="6"/>
  <c r="BL66" i="6" s="1"/>
  <c r="BL67" i="6" s="1"/>
  <c r="BL90" i="6"/>
  <c r="BT61" i="6"/>
  <c r="BT86" i="6"/>
  <c r="BW54" i="6"/>
  <c r="CA70" i="6" s="1"/>
  <c r="BV60" i="6"/>
  <c r="BZ65" i="6"/>
  <c r="BX62" i="6"/>
  <c r="BU70" i="6"/>
  <c r="BU56" i="6"/>
  <c r="BU86" i="6" s="1"/>
  <c r="DT19" i="6"/>
  <c r="DU19" i="6" s="1"/>
  <c r="DV19" i="6" s="1"/>
  <c r="DW19" i="6" s="1"/>
  <c r="DX19" i="6" s="1"/>
  <c r="DY19" i="6" s="1"/>
  <c r="DZ19" i="6" s="1"/>
  <c r="EA19" i="6" s="1"/>
  <c r="BX54" i="6"/>
  <c r="DT18" i="6"/>
  <c r="DU18" i="6" s="1"/>
  <c r="DV18" i="6" s="1"/>
  <c r="DW18" i="6" s="1"/>
  <c r="DX18" i="6" s="1"/>
  <c r="DY18" i="6" s="1"/>
  <c r="DZ18" i="6" s="1"/>
  <c r="EA18" i="6" s="1"/>
  <c r="BZ54" i="6"/>
  <c r="BY54" i="6"/>
  <c r="BY57" i="6" s="1"/>
  <c r="BY60" i="6" s="1"/>
  <c r="AF119" i="6"/>
  <c r="AE66" i="6"/>
  <c r="AE67" i="6" s="1"/>
  <c r="AJ63" i="6"/>
  <c r="AJ66" i="6" s="1"/>
  <c r="AJ67" i="6" s="1"/>
  <c r="X119" i="6"/>
  <c r="AA86" i="6"/>
  <c r="AA90" i="6"/>
  <c r="AA63" i="6"/>
  <c r="AA91" i="6" s="1"/>
  <c r="AK70" i="6"/>
  <c r="AG70" i="6"/>
  <c r="AE90" i="6"/>
  <c r="X87" i="6"/>
  <c r="X88" i="6"/>
  <c r="Y63" i="6"/>
  <c r="Y91" i="6" s="1"/>
  <c r="AG89" i="6"/>
  <c r="AG56" i="6"/>
  <c r="AG61" i="6" s="1"/>
  <c r="AG63" i="6" s="1"/>
  <c r="AG87" i="6"/>
  <c r="Q117" i="6"/>
  <c r="Q118" i="6" s="1"/>
  <c r="Z61" i="6"/>
  <c r="Z63" i="6" s="1"/>
  <c r="Z91" i="6" s="1"/>
  <c r="AB63" i="6"/>
  <c r="AB91" i="6" s="1"/>
  <c r="AH87" i="6"/>
  <c r="AH89" i="6"/>
  <c r="AH70" i="6"/>
  <c r="AC61" i="6"/>
  <c r="AC90" i="6" s="1"/>
  <c r="Y86" i="6"/>
  <c r="AI90" i="6"/>
  <c r="AE119" i="6"/>
  <c r="AB70" i="6"/>
  <c r="X89" i="6"/>
  <c r="Z70" i="6"/>
  <c r="V88" i="6"/>
  <c r="AF61" i="6"/>
  <c r="X86" i="6"/>
  <c r="X61" i="6"/>
  <c r="Q119" i="6"/>
  <c r="AD86" i="6"/>
  <c r="AD61" i="6"/>
  <c r="V89" i="6"/>
  <c r="AI91" i="6"/>
  <c r="AI66" i="6"/>
  <c r="AI67" i="6" s="1"/>
  <c r="AH56" i="6"/>
  <c r="AH61" i="6" s="1"/>
  <c r="AH88" i="6"/>
  <c r="AK63" i="6"/>
  <c r="AK90" i="6"/>
  <c r="V56" i="6"/>
  <c r="R63" i="6"/>
  <c r="W86" i="6"/>
  <c r="W61" i="6"/>
  <c r="DG88" i="6"/>
  <c r="DG87" i="6"/>
  <c r="DG56" i="6"/>
  <c r="DG61" i="6" s="1"/>
  <c r="DG63" i="6" s="1"/>
  <c r="DG66" i="6" s="1"/>
  <c r="AA119" i="6"/>
  <c r="DK37" i="6"/>
  <c r="DJ75" i="6"/>
  <c r="DL57" i="6"/>
  <c r="DL41" i="6"/>
  <c r="DJ42" i="6"/>
  <c r="DI54" i="6"/>
  <c r="DH87" i="6"/>
  <c r="DH56" i="6"/>
  <c r="DH88" i="6"/>
  <c r="DH89" i="6"/>
  <c r="DH70" i="6"/>
  <c r="BP90" i="6" l="1"/>
  <c r="BK63" i="6"/>
  <c r="BK66" i="6" s="1"/>
  <c r="BK67" i="6" s="1"/>
  <c r="BU61" i="6"/>
  <c r="BU63" i="6" s="1"/>
  <c r="BU64" i="6" s="1"/>
  <c r="BU66" i="6" s="1"/>
  <c r="BU67" i="6" s="1"/>
  <c r="DV10" i="6"/>
  <c r="BU90" i="6"/>
  <c r="BT63" i="6"/>
  <c r="BT66" i="6" s="1"/>
  <c r="BT67" i="6" s="1"/>
  <c r="BT90" i="6"/>
  <c r="BX70" i="6"/>
  <c r="BX57" i="6"/>
  <c r="BX60" i="6" s="1"/>
  <c r="BX56" i="6"/>
  <c r="BX86" i="6" s="1"/>
  <c r="BV61" i="6"/>
  <c r="BV90" i="6" s="1"/>
  <c r="BZ70" i="6"/>
  <c r="BZ56" i="6"/>
  <c r="BZ86" i="6" s="1"/>
  <c r="BZ57" i="6"/>
  <c r="BZ60" i="6" s="1"/>
  <c r="BW70" i="6"/>
  <c r="BW60" i="6"/>
  <c r="BW56" i="6"/>
  <c r="BW86" i="6" s="1"/>
  <c r="BY62" i="6"/>
  <c r="BY70" i="6"/>
  <c r="BY56" i="6"/>
  <c r="BY86" i="6" s="1"/>
  <c r="BU55" i="6"/>
  <c r="DT21" i="6"/>
  <c r="DU21" i="6" s="1"/>
  <c r="DV21" i="6" s="1"/>
  <c r="DW21" i="6" s="1"/>
  <c r="AJ91" i="6"/>
  <c r="AA66" i="6"/>
  <c r="AA67" i="6" s="1"/>
  <c r="Y66" i="6"/>
  <c r="Y67" i="6" s="1"/>
  <c r="AG90" i="6"/>
  <c r="Z66" i="6"/>
  <c r="Z67" i="6" s="1"/>
  <c r="AC63" i="6"/>
  <c r="AC66" i="6" s="1"/>
  <c r="AC67" i="6" s="1"/>
  <c r="AB66" i="6"/>
  <c r="AB67" i="6" s="1"/>
  <c r="Z90" i="6"/>
  <c r="AF90" i="6"/>
  <c r="AF63" i="6"/>
  <c r="V61" i="6"/>
  <c r="V63" i="6" s="1"/>
  <c r="V86" i="6"/>
  <c r="X90" i="6"/>
  <c r="X63" i="6"/>
  <c r="AH90" i="6"/>
  <c r="AH63" i="6"/>
  <c r="AH91" i="6" s="1"/>
  <c r="AK66" i="6"/>
  <c r="AK67" i="6" s="1"/>
  <c r="AK91" i="6"/>
  <c r="AD63" i="6"/>
  <c r="AD90" i="6"/>
  <c r="DM57" i="6"/>
  <c r="W63" i="6"/>
  <c r="W90" i="6"/>
  <c r="DG67" i="6"/>
  <c r="AG66" i="6"/>
  <c r="AG67" i="6" s="1"/>
  <c r="AG91" i="6"/>
  <c r="DH61" i="6"/>
  <c r="DH86" i="6"/>
  <c r="R64" i="6"/>
  <c r="DK75" i="6"/>
  <c r="DL37" i="6"/>
  <c r="DI56" i="6"/>
  <c r="DI55" i="6" s="1"/>
  <c r="DI87" i="6"/>
  <c r="DI70" i="6"/>
  <c r="DI89" i="6"/>
  <c r="DI58" i="6"/>
  <c r="DK42" i="6"/>
  <c r="DJ54" i="6"/>
  <c r="DM41" i="6"/>
  <c r="DU54" i="6" l="1"/>
  <c r="DT54" i="6"/>
  <c r="BZ61" i="6"/>
  <c r="BZ90" i="6" s="1"/>
  <c r="DW10" i="6"/>
  <c r="DV54" i="6"/>
  <c r="DX21" i="6"/>
  <c r="BX55" i="6"/>
  <c r="BZ55" i="6"/>
  <c r="BW55" i="6"/>
  <c r="BW61" i="6"/>
  <c r="BV63" i="6"/>
  <c r="BY61" i="6"/>
  <c r="BY90" i="6" s="1"/>
  <c r="BX61" i="6"/>
  <c r="BZ62" i="6"/>
  <c r="BY55" i="6"/>
  <c r="AC91" i="6"/>
  <c r="V90" i="6"/>
  <c r="AF66" i="6"/>
  <c r="AF67" i="6" s="1"/>
  <c r="AF91" i="6"/>
  <c r="X91" i="6"/>
  <c r="X66" i="6"/>
  <c r="X67" i="6" s="1"/>
  <c r="AH66" i="6"/>
  <c r="AH67" i="6" s="1"/>
  <c r="AD91" i="6"/>
  <c r="AD66" i="6"/>
  <c r="AD67" i="6" s="1"/>
  <c r="W91" i="6"/>
  <c r="W66" i="6"/>
  <c r="W67" i="6" s="1"/>
  <c r="V66" i="6"/>
  <c r="V67" i="6" s="1"/>
  <c r="V91" i="6"/>
  <c r="DE64" i="6"/>
  <c r="R91" i="6"/>
  <c r="DI60" i="6"/>
  <c r="DI61" i="6" s="1"/>
  <c r="DI90" i="6" s="1"/>
  <c r="DI88" i="6"/>
  <c r="DN41" i="6"/>
  <c r="DN57" i="6"/>
  <c r="R66" i="6"/>
  <c r="DH90" i="6"/>
  <c r="DH63" i="6"/>
  <c r="DJ56" i="6"/>
  <c r="DJ55" i="6" s="1"/>
  <c r="DJ70" i="6"/>
  <c r="DJ89" i="6"/>
  <c r="DJ58" i="6"/>
  <c r="DJ87" i="6"/>
  <c r="DL42" i="6"/>
  <c r="DK54" i="6"/>
  <c r="DM37" i="6"/>
  <c r="DL75" i="6"/>
  <c r="BZ63" i="6" l="1"/>
  <c r="BZ64" i="6" s="1"/>
  <c r="BZ66" i="6" s="1"/>
  <c r="BZ67" i="6" s="1"/>
  <c r="DX10" i="6"/>
  <c r="DW54" i="6"/>
  <c r="DY21" i="6"/>
  <c r="BX90" i="6"/>
  <c r="BX63" i="6"/>
  <c r="BX64" i="6" s="1"/>
  <c r="BX66" i="6" s="1"/>
  <c r="BX67" i="6" s="1"/>
  <c r="BV66" i="6"/>
  <c r="BV67" i="6" s="1"/>
  <c r="BY63" i="6"/>
  <c r="BY64" i="6" s="1"/>
  <c r="BY66" i="6" s="1"/>
  <c r="BY67" i="6" s="1"/>
  <c r="BW90" i="6"/>
  <c r="BW63" i="6"/>
  <c r="DJ88" i="6"/>
  <c r="DJ60" i="6"/>
  <c r="DJ61" i="6" s="1"/>
  <c r="DJ90" i="6" s="1"/>
  <c r="DO57" i="6"/>
  <c r="DK56" i="6"/>
  <c r="DK70" i="6"/>
  <c r="DK58" i="6"/>
  <c r="DK89" i="6"/>
  <c r="DK87" i="6"/>
  <c r="DH91" i="6"/>
  <c r="DH66" i="6"/>
  <c r="R67" i="6"/>
  <c r="R94" i="6"/>
  <c r="DM42" i="6"/>
  <c r="DL54" i="6"/>
  <c r="DM75" i="6"/>
  <c r="DN37" i="6"/>
  <c r="DY10" i="6" l="1"/>
  <c r="DX54" i="6"/>
  <c r="DZ21" i="6"/>
  <c r="EA21" i="6" s="1"/>
  <c r="BW64" i="6"/>
  <c r="BW66" i="6" s="1"/>
  <c r="BW67" i="6" s="1"/>
  <c r="DL56" i="6"/>
  <c r="DL55" i="6" s="1"/>
  <c r="DL89" i="6"/>
  <c r="DL70" i="6"/>
  <c r="DL58" i="6"/>
  <c r="DL87" i="6"/>
  <c r="DP57" i="6"/>
  <c r="DH67" i="6"/>
  <c r="DK55" i="6"/>
  <c r="DN42" i="6"/>
  <c r="DM54" i="6"/>
  <c r="DN75" i="6"/>
  <c r="DK88" i="6"/>
  <c r="DK60" i="6"/>
  <c r="DK61" i="6" s="1"/>
  <c r="DK90" i="6" s="1"/>
  <c r="DZ10" i="6" l="1"/>
  <c r="DY54" i="6"/>
  <c r="DL88" i="6"/>
  <c r="DL60" i="6"/>
  <c r="DL61" i="6" s="1"/>
  <c r="DL90" i="6" s="1"/>
  <c r="DO75" i="6"/>
  <c r="DM89" i="6"/>
  <c r="DM56" i="6"/>
  <c r="DM55" i="6" s="1"/>
  <c r="DM70" i="6"/>
  <c r="DM58" i="6"/>
  <c r="DM87" i="6"/>
  <c r="DN54" i="6"/>
  <c r="EA10" i="6" l="1"/>
  <c r="EA54" i="6" s="1"/>
  <c r="DZ54" i="6"/>
  <c r="DP75" i="6"/>
  <c r="DN56" i="6"/>
  <c r="DN55" i="6" s="1"/>
  <c r="DN89" i="6"/>
  <c r="DN70" i="6"/>
  <c r="DN58" i="6"/>
  <c r="DN87" i="6"/>
  <c r="DO54" i="6"/>
  <c r="DM88" i="6"/>
  <c r="DM60" i="6"/>
  <c r="DM61" i="6" s="1"/>
  <c r="DM90" i="6" s="1"/>
  <c r="DP54" i="6" l="1"/>
  <c r="DN88" i="6"/>
  <c r="DN60" i="6"/>
  <c r="DN61" i="6" s="1"/>
  <c r="DN90" i="6" s="1"/>
  <c r="DO58" i="6"/>
  <c r="DO89" i="6"/>
  <c r="DO56" i="6"/>
  <c r="DO70" i="6"/>
  <c r="DO87" i="6"/>
  <c r="DQ75" i="6"/>
  <c r="DO55" i="6" l="1"/>
  <c r="DO88" i="6"/>
  <c r="DO60" i="6"/>
  <c r="DO61" i="6" s="1"/>
  <c r="DO90" i="6" s="1"/>
  <c r="DP58" i="6"/>
  <c r="DP70" i="6"/>
  <c r="DP89" i="6"/>
  <c r="DP56" i="6"/>
  <c r="DP55" i="6" s="1"/>
  <c r="DP87" i="6"/>
  <c r="DR75" i="6"/>
  <c r="DQ54" i="6"/>
  <c r="DS75" i="6" l="1"/>
  <c r="DP88" i="6"/>
  <c r="DP60" i="6"/>
  <c r="DP61" i="6" s="1"/>
  <c r="DP90" i="6" s="1"/>
  <c r="DQ89" i="6"/>
  <c r="DQ70" i="6"/>
  <c r="DQ87" i="6"/>
  <c r="DR70" i="6" l="1"/>
  <c r="DR89" i="6"/>
  <c r="DR87" i="6"/>
  <c r="DQ88" i="6"/>
  <c r="DQ60" i="6"/>
  <c r="DQ61" i="6" s="1"/>
  <c r="DQ90" i="6" s="1"/>
  <c r="DT75" i="6"/>
  <c r="DS89" i="6" l="1"/>
  <c r="DS70" i="6"/>
  <c r="DS87" i="6"/>
  <c r="DU75" i="6"/>
  <c r="DV75" i="6"/>
  <c r="DR88" i="6"/>
  <c r="DR60" i="6"/>
  <c r="DR61" i="6" s="1"/>
  <c r="DR90" i="6" s="1"/>
  <c r="DS88" i="6" l="1"/>
  <c r="DS60" i="6"/>
  <c r="DS61" i="6" s="1"/>
  <c r="DS90" i="6" s="1"/>
  <c r="DT70" i="6"/>
  <c r="DT89" i="6"/>
  <c r="DT87" i="6"/>
  <c r="DT88" i="6" l="1"/>
  <c r="DT60" i="6"/>
  <c r="DT61" i="6" s="1"/>
  <c r="DT90" i="6" s="1"/>
  <c r="DU70" i="6"/>
  <c r="DU89" i="6"/>
  <c r="DU87" i="6"/>
  <c r="DV89" i="6"/>
  <c r="DV70" i="6"/>
  <c r="DV87" i="6"/>
  <c r="DU88" i="6" l="1"/>
  <c r="DU60" i="6"/>
  <c r="DU61" i="6" s="1"/>
  <c r="DU90" i="6" s="1"/>
  <c r="DV88" i="6"/>
  <c r="DV60" i="6"/>
  <c r="DV61" i="6" s="1"/>
  <c r="DV90" i="6" s="1"/>
  <c r="L54" i="6" l="1"/>
  <c r="L56" i="6" s="1"/>
  <c r="L61" i="6" l="1"/>
  <c r="L86" i="6"/>
  <c r="L88" i="6"/>
  <c r="L87" i="6"/>
  <c r="L89" i="6"/>
  <c r="L63" i="6" l="1"/>
  <c r="L90" i="6"/>
  <c r="L66" i="6" l="1"/>
  <c r="L67" i="6" s="1"/>
  <c r="L91" i="6"/>
  <c r="T54" i="6"/>
  <c r="X70" i="6" s="1"/>
  <c r="T56" i="6" l="1"/>
  <c r="T61" i="6" s="1"/>
  <c r="T63" i="6" s="1"/>
  <c r="T89" i="6"/>
  <c r="T87" i="6"/>
  <c r="T88" i="6"/>
  <c r="T86" i="6" l="1"/>
  <c r="T90" i="6"/>
  <c r="T66" i="6"/>
  <c r="T67" i="6" s="1"/>
  <c r="T91" i="6"/>
  <c r="S54" i="6"/>
  <c r="S87" i="6" s="1"/>
  <c r="W92" i="6" l="1"/>
  <c r="W70" i="6"/>
  <c r="S56" i="6"/>
  <c r="S88" i="6"/>
  <c r="S89" i="6"/>
  <c r="S61" i="6" l="1"/>
  <c r="S86" i="6"/>
  <c r="S63" i="6" l="1"/>
  <c r="S90" i="6"/>
  <c r="S91" i="6" l="1"/>
  <c r="S66" i="6"/>
  <c r="S67" i="6" s="1"/>
  <c r="R54" i="6"/>
  <c r="R87" i="6" s="1"/>
  <c r="R55" i="6" l="1"/>
  <c r="V92" i="6"/>
  <c r="V70" i="6"/>
  <c r="R89" i="6"/>
  <c r="R90" i="6"/>
  <c r="R86" i="6"/>
  <c r="R88" i="6"/>
  <c r="Q54" i="6"/>
  <c r="Q87" i="6" s="1"/>
  <c r="Q89" i="6" l="1"/>
  <c r="Q56" i="6"/>
  <c r="Q88" i="6"/>
  <c r="Q61" i="6" l="1"/>
  <c r="Q86" i="6"/>
  <c r="Q90" i="6" l="1"/>
  <c r="Q63" i="6"/>
  <c r="Q66" i="6" l="1"/>
  <c r="Q67" i="6" s="1"/>
  <c r="Q91" i="6"/>
  <c r="P54" i="6"/>
  <c r="P70" i="6" s="1"/>
  <c r="P92" i="6" l="1"/>
  <c r="P56" i="6"/>
  <c r="P86" i="6" s="1"/>
  <c r="P87" i="6"/>
  <c r="T92" i="6"/>
  <c r="P89" i="6"/>
  <c r="P61" i="6"/>
  <c r="P88" i="6"/>
  <c r="T70" i="6"/>
  <c r="P90" i="6" l="1"/>
  <c r="P63" i="6"/>
  <c r="P91" i="6" l="1"/>
  <c r="P66" i="6"/>
  <c r="P67" i="6" l="1"/>
  <c r="P94" i="6"/>
  <c r="O54" i="6"/>
  <c r="O89" i="6" s="1"/>
  <c r="DE29" i="6"/>
  <c r="DE54" i="6" s="1"/>
  <c r="O56" i="6" l="1"/>
  <c r="O88" i="6"/>
  <c r="O87" i="6"/>
  <c r="S92" i="6"/>
  <c r="S70" i="6"/>
  <c r="O61" i="6" l="1"/>
  <c r="DE56" i="6"/>
  <c r="O86" i="6"/>
  <c r="DE86" i="6" l="1"/>
  <c r="DE61" i="6"/>
  <c r="DE63" i="6" s="1"/>
  <c r="DE66" i="6" s="1"/>
  <c r="DE67" i="6" s="1"/>
  <c r="DE55" i="6"/>
  <c r="O90" i="6"/>
  <c r="O63" i="6"/>
  <c r="O66" i="6" l="1"/>
  <c r="O67" i="6" s="1"/>
  <c r="O91" i="6"/>
  <c r="N54" i="6"/>
  <c r="N88" i="6" s="1"/>
  <c r="R70" i="6" l="1"/>
  <c r="N56" i="6"/>
  <c r="N89" i="6"/>
  <c r="N87" i="6"/>
  <c r="R92" i="6"/>
  <c r="N61" i="6" l="1"/>
  <c r="N86" i="6"/>
  <c r="N63" i="6" l="1"/>
  <c r="N90" i="6"/>
  <c r="N91" i="6" l="1"/>
  <c r="N66" i="6"/>
  <c r="N67" i="6" s="1"/>
  <c r="M54" i="6"/>
  <c r="M89" i="6" s="1"/>
  <c r="Q92" i="6" l="1"/>
  <c r="M88" i="6"/>
  <c r="M56" i="6"/>
  <c r="M87" i="6"/>
  <c r="Q70" i="6"/>
  <c r="M86" i="6" l="1"/>
  <c r="M61" i="6"/>
  <c r="M90" i="6" l="1"/>
  <c r="M63" i="6"/>
  <c r="M91" i="6" l="1"/>
  <c r="M66" i="6"/>
  <c r="M67" i="6" s="1"/>
  <c r="G54" i="6"/>
  <c r="G56" i="6" s="1"/>
  <c r="F54" i="6"/>
  <c r="F56" i="6" s="1"/>
  <c r="G86" i="6" l="1"/>
  <c r="G61" i="6"/>
  <c r="G63" i="6" s="1"/>
  <c r="G66" i="6" s="1"/>
  <c r="G67" i="6" s="1"/>
  <c r="F61" i="6"/>
  <c r="F63" i="6" s="1"/>
  <c r="F66" i="6" s="1"/>
  <c r="F67" i="6" s="1"/>
  <c r="F86" i="6"/>
  <c r="DF29" i="6"/>
  <c r="DF54" i="6" s="1"/>
  <c r="U54" i="6"/>
  <c r="U92" i="6" s="1"/>
  <c r="Y70" i="6" l="1"/>
  <c r="U70" i="6"/>
  <c r="DF87" i="6"/>
  <c r="DF70" i="6"/>
  <c r="DF88" i="6"/>
  <c r="DG70" i="6"/>
  <c r="U88" i="6"/>
  <c r="U89" i="6"/>
  <c r="U56" i="6"/>
  <c r="U87" i="6"/>
  <c r="U61" i="6" l="1"/>
  <c r="U86" i="6"/>
  <c r="DF56" i="6"/>
  <c r="DF86" i="6" l="1"/>
  <c r="DF61" i="6"/>
  <c r="DF63" i="6" s="1"/>
  <c r="DF66" i="6" s="1"/>
  <c r="DF55" i="6"/>
  <c r="U63" i="6"/>
  <c r="U90" i="6"/>
  <c r="DF94" i="6" l="1"/>
  <c r="DG94" i="6" s="1"/>
  <c r="DH94" i="6" s="1"/>
  <c r="DF67" i="6"/>
  <c r="U66" i="6"/>
  <c r="U67" i="6" s="1"/>
  <c r="U91" i="6"/>
  <c r="DI62" i="6" l="1"/>
  <c r="DI63" i="6" s="1"/>
  <c r="DI64" i="6" l="1"/>
  <c r="DI91" i="6" s="1"/>
  <c r="DI66" i="6" l="1"/>
  <c r="DI67" i="6" s="1"/>
  <c r="DI94" i="6" l="1"/>
  <c r="DJ62" i="6" s="1"/>
  <c r="DJ63" i="6" s="1"/>
  <c r="DJ64" i="6" l="1"/>
  <c r="DJ91" i="6" s="1"/>
  <c r="DJ66" i="6" l="1"/>
  <c r="DJ94" i="6" s="1"/>
  <c r="DJ67" i="6"/>
  <c r="DK62" i="6" l="1"/>
  <c r="DK63" i="6" s="1"/>
  <c r="DK64" i="6" l="1"/>
  <c r="DK91" i="6" s="1"/>
  <c r="DK66" i="6" l="1"/>
  <c r="DK94" i="6" s="1"/>
  <c r="DK67" i="6" l="1"/>
  <c r="DL62" i="6"/>
  <c r="DL63" i="6" s="1"/>
  <c r="DL64" i="6" l="1"/>
  <c r="DL91" i="6" s="1"/>
  <c r="DL66" i="6"/>
  <c r="DL67" i="6" l="1"/>
  <c r="DL94" i="6"/>
  <c r="DM62" i="6" l="1"/>
  <c r="DM63" i="6" s="1"/>
  <c r="DM64" i="6" l="1"/>
  <c r="DM91" i="6" s="1"/>
  <c r="DM66" i="6" l="1"/>
  <c r="DM94" i="6" s="1"/>
  <c r="DM67" i="6" l="1"/>
  <c r="DN62" i="6"/>
  <c r="DN63" i="6" s="1"/>
  <c r="DN64" i="6" l="1"/>
  <c r="DN91" i="6" s="1"/>
  <c r="DN66" i="6" l="1"/>
  <c r="DN67" i="6" l="1"/>
  <c r="DO66" i="6"/>
  <c r="DN94" i="6"/>
  <c r="DO67" i="6" l="1"/>
  <c r="DP66" i="6"/>
  <c r="DO62" i="6"/>
  <c r="DO63" i="6" s="1"/>
  <c r="DO64" i="6" s="1"/>
  <c r="DO91" i="6" s="1"/>
  <c r="DO94" i="6"/>
  <c r="DP62" i="6" l="1"/>
  <c r="DP63" i="6" s="1"/>
  <c r="DP64" i="6" s="1"/>
  <c r="DP91" i="6" s="1"/>
  <c r="DP94" i="6"/>
  <c r="DP67" i="6"/>
  <c r="DQ63" i="6" l="1"/>
  <c r="DQ91" i="6" s="1"/>
  <c r="DQ94" i="6"/>
  <c r="DQ67" i="6"/>
  <c r="DR67" i="6" l="1"/>
  <c r="DR63" i="6"/>
  <c r="DR91" i="6" s="1"/>
  <c r="DR94" i="6"/>
  <c r="DS63" i="6" l="1"/>
  <c r="DS91" i="6" s="1"/>
  <c r="DS94" i="6"/>
  <c r="DS67" i="6"/>
  <c r="DT94" i="6" l="1"/>
  <c r="DT63" i="6"/>
  <c r="DT91" i="6" s="1"/>
  <c r="DT67" i="6"/>
  <c r="DU67" i="6" l="1"/>
  <c r="DU94" i="6"/>
  <c r="DU63" i="6"/>
  <c r="DU91" i="6" s="1"/>
  <c r="DV94" i="6" l="1"/>
  <c r="DV63" i="6"/>
  <c r="DV91" i="6" s="1"/>
  <c r="DV67" i="6"/>
  <c r="J54" i="6"/>
  <c r="J56" i="6" s="1"/>
  <c r="J86" i="6" l="1"/>
  <c r="J61" i="6"/>
  <c r="J63" i="6" s="1"/>
  <c r="J66" i="6" s="1"/>
  <c r="J67" i="6" s="1"/>
  <c r="N92" i="6"/>
  <c r="J70" i="6"/>
  <c r="N70" i="6"/>
  <c r="J92" i="6"/>
  <c r="C54" i="6"/>
  <c r="G92" i="6" s="1"/>
  <c r="C56" i="6" l="1"/>
  <c r="G70" i="6"/>
  <c r="C61" i="6" l="1"/>
  <c r="C63" i="6" s="1"/>
  <c r="C66" i="6" s="1"/>
  <c r="C67" i="6" s="1"/>
  <c r="C86" i="6"/>
  <c r="D54" i="6"/>
  <c r="D56" i="6" s="1"/>
  <c r="D61" i="6" l="1"/>
  <c r="D63" i="6" s="1"/>
  <c r="D66" i="6" s="1"/>
  <c r="D67" i="6" s="1"/>
  <c r="D86" i="6"/>
  <c r="K54" i="6"/>
  <c r="O70" i="6" s="1"/>
  <c r="DD29" i="6"/>
  <c r="DD54" i="6" s="1"/>
  <c r="DE70" i="6" l="1"/>
  <c r="DD56" i="6"/>
  <c r="DD86" i="6" s="1"/>
  <c r="K88" i="6"/>
  <c r="O92" i="6"/>
  <c r="K56" i="6"/>
  <c r="K89" i="6"/>
  <c r="K87" i="6"/>
  <c r="K70" i="6"/>
  <c r="K92" i="6"/>
  <c r="K86" i="6" l="1"/>
  <c r="K61" i="6"/>
  <c r="DD55" i="6"/>
  <c r="K90" i="6" l="1"/>
  <c r="K63" i="6"/>
  <c r="K66" i="6" l="1"/>
  <c r="K67" i="6" s="1"/>
  <c r="K91" i="6"/>
  <c r="DB29" i="6"/>
  <c r="DB54" i="6" s="1"/>
  <c r="E54" i="6"/>
  <c r="E56" i="6" s="1"/>
  <c r="E61" i="6" l="1"/>
  <c r="E63" i="6" s="1"/>
  <c r="E66" i="6" s="1"/>
  <c r="E67" i="6" s="1"/>
  <c r="E86" i="6"/>
  <c r="DB70" i="6"/>
  <c r="DB86" i="6"/>
  <c r="H54" i="6"/>
  <c r="L70" i="6" s="1"/>
  <c r="H56" i="6" l="1"/>
  <c r="H61" i="6" s="1"/>
  <c r="H63" i="6" s="1"/>
  <c r="H66" i="6" s="1"/>
  <c r="H67" i="6" s="1"/>
  <c r="L92" i="6"/>
  <c r="H70" i="6"/>
  <c r="H92" i="6"/>
  <c r="I54" i="6"/>
  <c r="M92" i="6" s="1"/>
  <c r="DC29" i="6"/>
  <c r="DC54" i="6" s="1"/>
  <c r="H86" i="6" l="1"/>
  <c r="DC86" i="6"/>
  <c r="DD70" i="6"/>
  <c r="DC70" i="6"/>
  <c r="DD92" i="6"/>
  <c r="I56" i="6"/>
  <c r="I70" i="6"/>
  <c r="M70" i="6"/>
  <c r="I92" i="6"/>
  <c r="I61" i="6" l="1"/>
  <c r="I63" i="6" s="1"/>
  <c r="I66" i="6" s="1"/>
  <c r="I67" i="6" s="1"/>
  <c r="I8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tc={DF0CA8EA-E15D-4DCF-8A89-D3F0E51858A5}</author>
    <author>tc={DFDA0432-9884-4EBE-96B3-87B7B5D4D515}</author>
    <author>tc={1727F93D-8F9D-4AF0-A375-BADEA5A4BCDB}</author>
    <author>tc={946EE862-FE62-45E3-9122-A9E70C0AF3D7}</author>
    <author>tc={59AADAB3-7D26-4862-B979-01EC18E461EC}</author>
    <author>Martin</author>
    <author>Martin Shkreli</author>
    <author>Dean Wagner</author>
    <author>MSMB</author>
  </authors>
  <commentList>
    <comment ref="DS10" authorId="0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BT13" authorId="1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8" authorId="2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21" authorId="3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DZ23" authorId="4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AF33" authorId="5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3" authorId="5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6" authorId="5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7" authorId="5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1" authorId="5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2" authorId="6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3" authorId="5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4" authorId="5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3" authorId="6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3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3" authorId="6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3" authorId="6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7" authorId="7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7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8" authorId="6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6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7" authorId="8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7" authorId="5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7" authorId="8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86" authorId="6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DD92" authorId="6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<sst xmlns="http://schemas.openxmlformats.org/spreadsheetml/2006/main" count="1352" uniqueCount="710">
  <si>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</si>
  <si>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</si>
  <si>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</si>
  <si>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</si>
  <si>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</si>
  <si>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</si>
  <si>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</si>
  <si>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</si>
  <si>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</si>
  <si>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</si>
  <si>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</si>
  <si>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</si>
  <si>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</si>
  <si>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</si>
  <si>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</si>
  <si>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</si>
  <si>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</si>
  <si>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</si>
  <si>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</si>
  <si>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</si>
  <si>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</si>
  <si>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</si>
  <si>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</si>
  <si>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</si>
  <si>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</si>
  <si>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</si>
  <si>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</si>
  <si>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</si>
  <si>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</si>
  <si>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</si>
  <si>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</si>
  <si>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</si>
  <si>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</si>
  <si>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</si>
  <si>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</si>
  <si>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</si>
  <si>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</si>
  <si>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</si>
  <si>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</si>
  <si>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</si>
  <si>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</si>
  <si>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</si>
  <si>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</si>
  <si>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</si>
  <si>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</si>
  <si>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</si>
  <si>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</si>
  <si>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</si>
  <si>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</si>
  <si>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</si>
  <si>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</si>
  <si>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</si>
  <si>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</si>
  <si>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</si>
  <si>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</si>
  <si>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</si>
  <si>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</si>
  <si>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</si>
  <si>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</si>
  <si>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</si>
  <si>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</si>
  <si>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</si>
  <si>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</si>
  <si>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</si>
  <si>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</si>
  <si>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</si>
  <si>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</si>
  <si>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</si>
  <si>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Complex - BMY's first internal biologic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</si>
  <si>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</si>
  <si>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</si>
  <si>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</si>
  <si>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</si>
  <si>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</si>
  <si>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</si>
  <si>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</si>
  <si>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</si>
  <si>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</si>
  <si>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</si>
  <si>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</si>
  <si>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</si>
  <si>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</si>
  <si>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</si>
  <si>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</si>
  <si>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</si>
  <si>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</si>
  <si>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</si>
  <si>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</si>
  <si>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</si>
  <si>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</si>
  <si>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</si>
  <si>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</si>
  <si>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</si>
  <si>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</si>
  <si>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</si>
  <si>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</si>
  <si>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</si>
  <si>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</si>
  <si>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</si>
  <si>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</si>
  <si>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</si>
  <si>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</si>
  <si>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</si>
  <si>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</si>
  <si>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</si>
  <si>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</si>
  <si>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</si>
  <si>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</si>
  <si>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</si>
  <si>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</si>
  <si>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</si>
  <si>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</si>
  <si>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</si>
  <si>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</si>
  <si>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</si>
  <si>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</si>
  <si>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</si>
  <si>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</si>
  <si>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</si>
  <si>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</si>
  <si>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</si>
  <si>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</si>
  <si>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</si>
  <si>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</si>
  <si>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</si>
  <si>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</si>
  <si>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</si>
  <si>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</si>
  <si>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</si>
  <si>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</si>
  <si>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</si>
  <si>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</si>
  <si>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</si>
  <si>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</si>
  <si>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</si>
  <si>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</si>
  <si>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</si>
  <si>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</si>
  <si>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</si>
  <si>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</si>
  <si>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</si>
  <si>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</si>
  <si>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</si>
  <si>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</si>
  <si>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</si>
  <si>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</si>
  <si>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</si>
  <si>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</si>
  <si>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</si>
  <si>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warfarin, BAY-59-7939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</si>
  <si>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</si>
  <si>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</si>
  <si>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</si>
  <si>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</si>
  <si>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</si>
  <si>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</si>
  <si>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</si>
  <si>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</si>
  <si>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</si>
  <si>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</si>
  <si>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</si>
  <si>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</si>
  <si>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</si>
  <si>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</si>
  <si>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</si>
  <si>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</si>
  <si>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</si>
  <si>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</si>
  <si>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</si>
  <si>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</si>
  <si>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</si>
  <si>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</si>
  <si>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</si>
  <si>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</si>
  <si>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</si>
  <si>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</si>
  <si>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</si>
  <si>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</si>
  <si>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</si>
  <si>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</si>
  <si>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</si>
  <si>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</si>
  <si>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</si>
  <si>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</si>
  <si>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</si>
  <si>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</si>
  <si>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</si>
  <si>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</si>
  <si>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</si>
  <si>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</si>
  <si>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</si>
  <si>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</si>
  <si>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</si>
  <si>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</si>
  <si>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</si>
  <si>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</si>
  <si>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</si>
  <si>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</si>
  <si>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</si>
  <si>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</si>
  <si>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</si>
  <si>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</si>
  <si>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</si>
  <si>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</si>
  <si>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</si>
  <si>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</si>
  <si>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</si>
  <si>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</si>
  <si>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</si>
  <si>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</si>
  <si>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</si>
  <si>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</si>
  <si>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</si>
  <si>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</si>
  <si>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</si>
  <si>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</si>
  <si>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</si>
  <si>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</si>
  <si>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</si>
  <si>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</si>
  <si>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</si>
  <si>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</si>
  <si>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</si>
  <si>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</si>
  <si>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</si>
  <si>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</si>
  <si>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</si>
  <si>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</si>
  <si>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</si>
  <si>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</si>
  <si>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</si>
  <si>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</si>
  <si>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</si>
  <si>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</si>
  <si>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</si>
  <si>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</si>
  <si>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</si>
  <si>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</si>
  <si>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</si>
  <si>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</si>
  <si>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</si>
  <si>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</si>
  <si>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</si>
  <si>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</si>
  <si>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</si>
  <si>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</si>
  <si>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</si>
  <si>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</si>
  <si>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</si>
  <si>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</si>
  <si>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</si>
  <si>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</si>
  <si>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</si>
  <si>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</si>
  <si>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</si>
  <si>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</si>
  <si>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</si>
  <si>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</si>
  <si>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</si>
  <si>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</si>
  <si>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</si>
  <si>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</si>
  <si>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</si>
  <si>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</si>
  <si>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</si>
  <si>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</si>
  <si>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</si>
  <si>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</si>
  <si>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</si>
  <si>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</si>
  <si>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</si>
  <si>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</si>
  <si>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</si>
  <si>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</si>
  <si>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</si>
  <si>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</si>
  <si>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</si>
  <si>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</si>
  <si>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</si>
  <si>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</si>
  <si>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</si>
  <si>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</si>
  <si>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</si>
  <si>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</si>
  <si>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</si>
  <si>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</si>
  <si>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</si>
  <si>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</si>
  <si>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</si>
  <si>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</si>
  <si>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</si>
  <si>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</si>
  <si>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</si>
  <si>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</si>
  <si>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</si>
  <si>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</si>
  <si>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</si>
  <si>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</si>
  <si>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</si>
  <si>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</si>
  <si>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</si>
  <si>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</si>
  <si>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</si>
  <si>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</si>
  <si>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</si>
  <si>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</si>
  <si>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</si>
  <si>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</si>
  <si>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</si>
  <si>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</si>
  <si>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</si>
  <si>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</si>
  <si>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</si>
  <si>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</si>
  <si>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</si>
  <si>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</si>
  <si>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</si>
  <si>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</si>
  <si>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</si>
  <si>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</si>
  <si>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</si>
  <si>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</si>
  <si>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</si>
  <si>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</si>
  <si>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</si>
  <si>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</si>
  <si>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</si>
  <si>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</si>
  <si>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</si>
  <si>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</si>
  <si>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</si>
  <si>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</si>
  <si>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</si>
  <si>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</si>
  <si>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</si>
  <si>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</si>
  <si>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</si>
  <si>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</si>
  <si>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</si>
  <si>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</si>
  <si>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</si>
  <si>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</si>
  <si>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</si>
  <si>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</si>
  <si>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</si>
  <si>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</si>
  <si>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</si>
  <si>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</si>
  <si>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</si>
  <si>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</si>
  <si>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</si>
  <si>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</si>
  <si>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</si>
  <si>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</si>
  <si>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</si>
  <si>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</si>
  <si>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</si>
  <si>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</si>
  <si>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</si>
  <si>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</si>
  <si>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</si>
  <si>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</si>
  <si>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</si>
  <si>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</si>
  <si>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</si>
  <si>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</si>
  <si>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</si>
  <si>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</si>
  <si>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</si>
  <si>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</si>
  <si>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</si>
  <si>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</si>
  <si>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</si>
  <si>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</si>
  <si>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</si>
  <si>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</si>
  <si>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</si>
  <si>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</si>
  <si>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</si>
  <si>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</si>
  <si>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</si>
  <si>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</si>
  <si>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</si>
  <si>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</si>
  <si>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</si>
  <si>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</si>
  <si>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</si>
  <si>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</si>
  <si>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</si>
  <si>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</si>
  <si>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</si>
  <si>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</si>
  <si>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</si>
  <si>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</si>
  <si>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</si>
  <si>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</si>
  <si>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</si>
  <si>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</si>
  <si>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</si>
  <si>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</si>
  <si>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</si>
  <si>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</si>
  <si>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</si>
  <si>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</si>
  <si>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</si>
  <si>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</si>
  <si>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</si>
  <si>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</si>
  <si>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</si>
  <si>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</si>
  <si>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</si>
  <si>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</si>
  <si>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</si>
  <si>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</si>
  <si>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</si>
  <si>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</si>
  <si>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</si>
  <si>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</si>
  <si>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</si>
  <si>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</si>
  <si>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</si>
  <si>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</si>
  <si>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</si>
  <si>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</si>
  <si>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</si>
  <si>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</si>
  <si>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</si>
  <si>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</si>
  <si>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</si>
  <si>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</si>
  <si>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</si>
  <si>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</si>
  <si>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</si>
  <si>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</si>
  <si>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</si>
  <si>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</si>
  <si>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</si>
  <si>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</si>
  <si>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</si>
  <si>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</si>
  <si>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</si>
  <si>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</si>
  <si>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</si>
  <si>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</si>
  <si>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</si>
  <si>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</si>
  <si>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</si>
  <si>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</si>
  <si>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</si>
  <si>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</si>
  <si>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</si>
  <si>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Eliquis (apixaban - ??)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</si>
  <si>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</si>
  <si>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</si>
  <si>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</si>
  <si>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</si>
  <si>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</si>
  <si>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</si>
  <si>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</si>
  <si>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</si>
  <si>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</si>
  <si>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</si>
  <si>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</si>
  <si>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</si>
  <si>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</si>
  <si>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</si>
  <si>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</si>
  <si>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</si>
  <si>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</si>
  <si>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</si>
  <si>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</si>
  <si>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</si>
  <si>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</si>
  <si>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</si>
  <si>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</si>
  <si>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</si>
  <si>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</si>
  <si>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</si>
  <si>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</si>
  <si>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</si>
  <si>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</si>
  <si>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NDA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</si>
  <si>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</si>
  <si>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</si>
  <si>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</si>
  <si>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</si>
  <si>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</si>
  <si>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</si>
  <si>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</si>
  <si>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</si>
  <si>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</si>
  <si>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</si>
  <si>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</si>
  <si>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</si>
  <si>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</si>
  <si>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</si>
  <si>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</si>
  <si>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</si>
  <si>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</si>
  <si>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</si>
  <si>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</si>
  <si>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</si>
  <si>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</si>
  <si>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</si>
  <si>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</si>
  <si>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</si>
  <si>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</si>
  <si>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</si>
  <si>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</si>
  <si>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</si>
  <si>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</si>
  <si>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</si>
  <si>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</si>
  <si>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</si>
  <si>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</si>
  <si>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</si>
  <si>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</si>
  <si>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</si>
  <si>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</si>
  <si>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</si>
  <si>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</si>
  <si>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</si>
  <si>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</si>
  <si>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</si>
  <si>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</si>
  <si>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</si>
  <si>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</si>
  <si>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</si>
  <si>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</si>
  <si>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</si>
  <si>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</si>
  <si>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</si>
  <si>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</si>
  <si>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</si>
  <si>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</si>
  <si>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</si>
  <si>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</si>
  <si>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</si>
  <si>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</si>
  <si>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</si>
  <si>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</si>
  <si>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</si>
  <si>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</si>
  <si>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</si>
  <si>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</si>
  <si>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</si>
  <si>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</si>
  <si>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</si>
  <si>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</si>
  <si>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</si>
  <si>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</si>
  <si>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</si>
  <si>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</si>
  <si>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</si>
  <si>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</si>
  <si>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</si>
  <si>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</si>
  <si>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</si>
  <si>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</si>
  <si>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</si>
  <si>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</si>
  <si>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</si>
  <si>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</si>
  <si>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</si>
  <si>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</si>
  <si>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</si>
  <si>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</si>
  <si>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</si>
  <si>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</si>
  <si>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</si>
  <si>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</si>
  <si>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</si>
  <si>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</si>
  <si>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</si>
  <si>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</si>
  <si>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</si>
  <si>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</si>
  <si>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</si>
  <si>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</si>
  <si>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</si>
  <si>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</si>
  <si>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</si>
  <si>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</si>
  <si>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</si>
  <si>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</si>
  <si>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</si>
  <si>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</si>
  <si>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</si>
  <si>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</si>
  <si>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</si>
  <si>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</si>
  <si>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</si>
  <si>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</si>
  <si>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</si>
  <si>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</si>
  <si>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</si>
  <si>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</si>
  <si>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</si>
  <si>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</si>
  <si>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</si>
  <si>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</si>
  <si>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</si>
  <si>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</si>
  <si>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</si>
  <si>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</si>
  <si>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</si>
  <si>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</si>
  <si>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</si>
  <si>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</si>
  <si>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</si>
  <si>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</si>
  <si>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</si>
  <si>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</si>
  <si>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</si>
  <si>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</si>
  <si>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</si>
  <si>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</si>
  <si>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</si>
  <si>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</si>
  <si>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Pomalyst (</t>
  </si>
  <si>
    <t>Revlimid (lenalidomide)</t>
  </si>
  <si>
    <t>Mature Products</t>
  </si>
  <si>
    <t>Reblozyl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</si>
  <si>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</si>
  <si>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</si>
  <si>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</si>
  <si>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</si>
  <si>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</si>
  <si>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</si>
  <si>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</si>
  <si>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</si>
  <si>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</si>
  <si>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</si>
  <si>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</si>
  <si>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</si>
  <si>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</si>
  <si>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</si>
  <si>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</si>
  <si>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</si>
  <si>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</si>
  <si>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</si>
  <si>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</si>
  <si>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</si>
  <si>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</si>
  <si>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</si>
  <si>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</si>
  <si>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</si>
  <si>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</si>
  <si>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</si>
  <si>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</si>
  <si>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</si>
  <si>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</si>
  <si>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20</t>
  </si>
  <si>
    <t>150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</si>
  <si>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</si>
  <si>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</si>
  <si>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</si>
  <si>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</si>
  <si>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</si>
  <si>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</si>
  <si>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</si>
  <si>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</si>
  <si>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</si>
  <si>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</si>
  <si>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</si>
  <si>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</si>
  <si>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</si>
  <si>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</si>
  <si>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</si>
  <si>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</si>
  <si>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</si>
  <si>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</si>
  <si>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repotrectinib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</si>
  <si>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</si>
  <si>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</si>
  <si>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</si>
  <si>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</si>
  <si>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</si>
  <si>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</si>
  <si>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</si>
  <si>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</si>
  <si>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</si>
  <si>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</si>
  <si>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</si>
  <si>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</si>
  <si>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</si>
  <si>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</si>
  <si>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</si>
  <si>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</si>
  <si>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</si>
  <si>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</si>
  <si>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</si>
  <si>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</si>
  <si>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</si>
  <si>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</si>
  <si>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</si>
  <si>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</si>
  <si>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</si>
  <si>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</si>
  <si>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</si>
  <si>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</si>
  <si>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</si>
  <si>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2019: Celgene merger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</si>
  <si>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</si>
  <si>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</si>
  <si>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</si>
  <si>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</si>
  <si>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</si>
  <si>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</si>
  <si>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12/22/2023: Announces Karuna deal.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</si>
</sst>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73481</xdr:colOff>
      <xdr:row>0</xdr:row>
      <xdr:rowOff>0</xdr:rowOff>
    </xdr:from>
    <xdr:to>
      <xdr:col>80</xdr:col>
      <xdr:colOff>73481</xdr:colOff>
      <xdr:row>132</xdr:row>
      <xdr:rowOff>28575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6309302" y="0"/>
          <a:ext cx="0" cy="201490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26069</xdr:colOff>
      <xdr:row>0</xdr:row>
      <xdr:rowOff>0</xdr:rowOff>
    </xdr:from>
    <xdr:to>
      <xdr:col>122</xdr:col>
      <xdr:colOff>26069</xdr:colOff>
      <xdr:row>108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0613845" y="0"/>
          <a:ext cx="0" cy="13299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S10" dT="2022-09-06T16:09:34.65" personId="{9F68C8B4-E179-4E5B-B186-EECC601E0E41}" id="{DF0CA8EA-E15D-4DCF-8A89-D3F0E51858A5}">
    <text>Q222 call: 9.0B-9.5B</text>
  </threadedComment>
  <threadedComment ref="BT13" dT="2022-09-06T16:10:39.10" personId="{9F68C8B4-E179-4E5B-B186-EECC601E0E41}" id="{DFDA0432-9884-4EBE-96B3-87B7B5D4D515}">
    <text>Q222: demand &gt; supply</text>
  </threadedComment>
  <threadedComment ref="DZ18" dT="2022-09-06T16:58:28.46" personId="{9F68C8B4-E179-4E5B-B186-EECC601E0E41}" id="{1727F93D-8F9D-4AF0-A375-BADEA5A4BCDB}">
    <text>Q222: 4B peak sales</text>
  </threadedComment>
  <threadedComment ref="DZ21" dT="2022-09-06T15:58:32.95" personId="{9F68C8B4-E179-4E5B-B186-EECC601E0E41}" id="{946EE862-FE62-45E3-9122-A9E70C0AF3D7}">
    <text>Q222: 3B peak sales?</text>
  </threadedComment>
  <threadedComment ref="DZ23" dT="2022-09-06T16:02:11.56" personId="{9F68C8B4-E179-4E5B-B186-EECC601E0E41}" id="{59AADAB3-7D26-4862-B979-01EC18E461EC}">
    <text>Q222: &gt;4B by 2029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RowHeight="12.75" x14ac:dyDescent="0.2"/>
  <cols>
    <col min="1" max="1" width="5" bestFit="1" customWidth="1"/>
    <col min="2" max="2" width="17.5703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5703125" customWidth="1"/>
    <col min="8" max="8" width="15.7109375" bestFit="1" customWidth="1"/>
    <col min="9" max="9" width="23.140625" bestFit="1" customWidth="1"/>
    <col min="10" max="10" width="12.5703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494</v>
      </c>
      <c r="E2" s="32" t="s">
        <v>1</v>
      </c>
      <c r="F2" s="32" t="s">
        <v>141</v>
      </c>
      <c r="G2" s="32" t="s">
        <v>655</v>
      </c>
      <c r="H2" s="32" t="s">
        <v>501</v>
      </c>
      <c r="I2" s="32" t="s">
        <v>512</v>
      </c>
      <c r="J2" s="62" t="s">
        <v>515</v>
      </c>
      <c r="K2" s="32" t="s">
        <v>151</v>
      </c>
      <c r="L2" s="32" t="s">
        <v>3</v>
      </c>
    </row>
    <row r="3" spans="1:16" x14ac:dyDescent="0.2">
      <c r="B3" s="13" t="s">
        <v>277</v>
      </c>
      <c r="E3" s="7" t="s">
        <v>278</v>
      </c>
      <c r="F3" s="7" t="s">
        <v>279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269</v>
      </c>
      <c r="E4" s="7" t="s">
        <v>32</v>
      </c>
      <c r="F4" s="7" t="s">
        <v>271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262</v>
      </c>
      <c r="E5" s="7" t="s">
        <v>32</v>
      </c>
      <c r="F5" s="7" t="s">
        <v>116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210</v>
      </c>
      <c r="E6" s="7" t="s">
        <v>44</v>
      </c>
      <c r="F6" s="7" t="s">
        <v>178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274</v>
      </c>
      <c r="C7" s="7" t="s">
        <v>245</v>
      </c>
      <c r="D7" s="6" t="s">
        <v>11</v>
      </c>
      <c r="E7" s="6" t="s">
        <v>85</v>
      </c>
      <c r="F7" s="16">
        <v>35751</v>
      </c>
      <c r="G7" s="7" t="s">
        <v>117</v>
      </c>
      <c r="H7" s="7" t="s">
        <v>200</v>
      </c>
      <c r="I7" s="8" t="s">
        <v>276</v>
      </c>
      <c r="J7" s="62"/>
      <c r="K7" s="32"/>
      <c r="L7" s="32"/>
    </row>
    <row r="8" spans="1:16" x14ac:dyDescent="0.2">
      <c r="B8" s="13" t="s">
        <v>290</v>
      </c>
      <c r="C8" s="7" t="s">
        <v>33</v>
      </c>
      <c r="D8" s="6" t="s">
        <v>14</v>
      </c>
      <c r="E8" s="6" t="s">
        <v>85</v>
      </c>
      <c r="F8" s="16">
        <v>37575</v>
      </c>
      <c r="G8" s="7" t="s">
        <v>113</v>
      </c>
      <c r="H8" s="7" t="s">
        <v>13</v>
      </c>
      <c r="I8" s="8" t="s">
        <v>289</v>
      </c>
      <c r="J8" s="62"/>
      <c r="K8" s="32"/>
      <c r="L8" s="32"/>
    </row>
    <row r="9" spans="1:16" x14ac:dyDescent="0.2">
      <c r="B9" s="46" t="s">
        <v>407</v>
      </c>
      <c r="C9" s="7" t="s">
        <v>255</v>
      </c>
      <c r="D9" s="6">
        <v>1</v>
      </c>
      <c r="E9" s="27" t="s">
        <v>82</v>
      </c>
      <c r="F9" s="45">
        <v>40709</v>
      </c>
      <c r="G9" s="7"/>
      <c r="H9" s="7"/>
      <c r="I9" s="8" t="s">
        <v>295</v>
      </c>
      <c r="J9" s="62"/>
      <c r="K9" s="32"/>
      <c r="L9" s="32"/>
    </row>
    <row r="10" spans="1:16" x14ac:dyDescent="0.2">
      <c r="B10" s="5" t="s">
        <v>252</v>
      </c>
      <c r="C10" s="7" t="s">
        <v>158</v>
      </c>
      <c r="D10" s="6" t="s">
        <v>160</v>
      </c>
      <c r="E10" s="7" t="s">
        <v>85</v>
      </c>
      <c r="F10" s="16">
        <v>40025</v>
      </c>
      <c r="G10" s="7" t="s">
        <v>159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186</v>
      </c>
      <c r="C13" s="32" t="s">
        <v>209</v>
      </c>
      <c r="D13" s="32" t="s">
        <v>495</v>
      </c>
      <c r="E13" s="32" t="s">
        <v>496</v>
      </c>
      <c r="F13" s="32" t="s">
        <v>500</v>
      </c>
      <c r="G13" s="32" t="s">
        <v>499</v>
      </c>
      <c r="H13" s="32" t="s">
        <v>502</v>
      </c>
    </row>
    <row r="14" spans="1:16" x14ac:dyDescent="0.2">
      <c r="B14" s="32" t="s">
        <v>186</v>
      </c>
      <c r="C14" s="32" t="s">
        <v>209</v>
      </c>
      <c r="D14" s="32" t="s">
        <v>495</v>
      </c>
      <c r="E14" s="32" t="s">
        <v>497</v>
      </c>
      <c r="F14" s="32" t="s">
        <v>500</v>
      </c>
      <c r="G14" s="32" t="s">
        <v>161</v>
      </c>
    </row>
    <row r="15" spans="1:16" x14ac:dyDescent="0.2">
      <c r="B15" s="32" t="s">
        <v>186</v>
      </c>
      <c r="C15" s="32" t="s">
        <v>209</v>
      </c>
      <c r="D15" s="32" t="s">
        <v>495</v>
      </c>
      <c r="E15" s="32" t="s">
        <v>498</v>
      </c>
      <c r="F15" s="32" t="s">
        <v>500</v>
      </c>
      <c r="G15" s="32" t="s">
        <v>185</v>
      </c>
    </row>
    <row r="16" spans="1:16" x14ac:dyDescent="0.2">
      <c r="B16" s="32" t="s">
        <v>507</v>
      </c>
      <c r="C16" s="32" t="s">
        <v>506</v>
      </c>
      <c r="D16" s="32" t="s">
        <v>508</v>
      </c>
      <c r="E16" s="32" t="s">
        <v>509</v>
      </c>
      <c r="G16" s="32" t="s">
        <v>161</v>
      </c>
      <c r="H16" s="32" t="s">
        <v>510</v>
      </c>
      <c r="I16" s="32" t="s">
        <v>520</v>
      </c>
      <c r="J16" s="61">
        <v>2008</v>
      </c>
    </row>
    <row r="17" spans="2:12" x14ac:dyDescent="0.2">
      <c r="B17" s="32" t="s">
        <v>518</v>
      </c>
      <c r="C17" s="32" t="s">
        <v>511</v>
      </c>
      <c r="D17" s="32" t="s">
        <v>513</v>
      </c>
      <c r="E17" s="32" t="s">
        <v>528</v>
      </c>
      <c r="F17" s="32" t="s">
        <v>111</v>
      </c>
      <c r="G17" s="32" t="s">
        <v>45</v>
      </c>
      <c r="H17" s="32" t="s">
        <v>525</v>
      </c>
      <c r="I17" s="32" t="s">
        <v>526</v>
      </c>
      <c r="J17" s="61" t="s">
        <v>527</v>
      </c>
    </row>
    <row r="18" spans="2:12" x14ac:dyDescent="0.2">
      <c r="B18" s="32" t="s">
        <v>518</v>
      </c>
      <c r="C18" s="32" t="s">
        <v>511</v>
      </c>
      <c r="D18" s="32" t="s">
        <v>513</v>
      </c>
      <c r="E18" s="32" t="s">
        <v>514</v>
      </c>
      <c r="F18" s="32" t="s">
        <v>111</v>
      </c>
      <c r="G18" s="32" t="s">
        <v>161</v>
      </c>
      <c r="H18" s="32" t="s">
        <v>519</v>
      </c>
      <c r="I18" t="s">
        <v>516</v>
      </c>
      <c r="J18" s="61" t="s">
        <v>517</v>
      </c>
    </row>
    <row r="19" spans="2:12" x14ac:dyDescent="0.2">
      <c r="B19" s="32" t="s">
        <v>518</v>
      </c>
      <c r="C19" s="32" t="s">
        <v>511</v>
      </c>
      <c r="D19" s="32" t="s">
        <v>513</v>
      </c>
      <c r="E19" s="32" t="s">
        <v>531</v>
      </c>
      <c r="F19" s="32" t="s">
        <v>111</v>
      </c>
      <c r="G19" s="32" t="s">
        <v>45</v>
      </c>
      <c r="H19" s="32" t="s">
        <v>519</v>
      </c>
      <c r="I19" t="s">
        <v>529</v>
      </c>
      <c r="J19" s="61" t="s">
        <v>530</v>
      </c>
    </row>
    <row r="20" spans="2:12" x14ac:dyDescent="0.2">
      <c r="B20" s="32" t="s">
        <v>394</v>
      </c>
      <c r="D20" s="32" t="s">
        <v>521</v>
      </c>
      <c r="E20" t="s">
        <v>285</v>
      </c>
      <c r="G20" t="s">
        <v>161</v>
      </c>
      <c r="H20" s="32" t="s">
        <v>522</v>
      </c>
      <c r="I20" s="32" t="s">
        <v>523</v>
      </c>
      <c r="J20" s="61">
        <v>2010</v>
      </c>
    </row>
    <row r="21" spans="2:12" s="63" customFormat="1" x14ac:dyDescent="0.2">
      <c r="B21" s="63" t="s">
        <v>532</v>
      </c>
      <c r="D21" s="63" t="s">
        <v>533</v>
      </c>
      <c r="E21" s="63" t="s">
        <v>536</v>
      </c>
      <c r="F21" s="63" t="s">
        <v>535</v>
      </c>
      <c r="G21" s="63" t="s">
        <v>177</v>
      </c>
      <c r="H21" s="63" t="s">
        <v>535</v>
      </c>
      <c r="I21" s="63" t="s">
        <v>534</v>
      </c>
      <c r="J21" s="64">
        <v>2009</v>
      </c>
    </row>
    <row r="22" spans="2:12" x14ac:dyDescent="0.2">
      <c r="B22" s="32" t="s">
        <v>537</v>
      </c>
      <c r="D22" s="32" t="s">
        <v>525</v>
      </c>
      <c r="E22" s="32" t="s">
        <v>539</v>
      </c>
      <c r="F22" s="32" t="s">
        <v>543</v>
      </c>
      <c r="G22" s="32" t="s">
        <v>177</v>
      </c>
      <c r="H22" s="32" t="s">
        <v>542</v>
      </c>
      <c r="I22" s="32" t="s">
        <v>540</v>
      </c>
      <c r="J22" s="62" t="s">
        <v>541</v>
      </c>
      <c r="K22" s="32" t="s">
        <v>538</v>
      </c>
    </row>
    <row r="23" spans="2:12" x14ac:dyDescent="0.2">
      <c r="B23" s="32" t="s">
        <v>408</v>
      </c>
      <c r="D23" s="32" t="s">
        <v>525</v>
      </c>
      <c r="E23" s="32" t="s">
        <v>546</v>
      </c>
      <c r="F23" s="32" t="s">
        <v>547</v>
      </c>
      <c r="G23" s="32" t="s">
        <v>177</v>
      </c>
      <c r="H23" s="32" t="s">
        <v>542</v>
      </c>
      <c r="I23" s="32" t="s">
        <v>545</v>
      </c>
      <c r="J23" s="62" t="s">
        <v>544</v>
      </c>
      <c r="K23" s="32" t="s">
        <v>409</v>
      </c>
    </row>
    <row r="24" spans="2:12" x14ac:dyDescent="0.2">
      <c r="B24" s="32" t="s">
        <v>408</v>
      </c>
      <c r="D24" s="32" t="s">
        <v>525</v>
      </c>
      <c r="E24" s="32" t="s">
        <v>28</v>
      </c>
      <c r="F24" s="32" t="s">
        <v>547</v>
      </c>
      <c r="G24" s="32" t="s">
        <v>177</v>
      </c>
      <c r="H24" s="32" t="s">
        <v>542</v>
      </c>
      <c r="I24" s="32" t="s">
        <v>556</v>
      </c>
      <c r="J24" s="62" t="s">
        <v>544</v>
      </c>
      <c r="K24" s="32" t="s">
        <v>409</v>
      </c>
    </row>
    <row r="25" spans="2:12" s="63" customFormat="1" x14ac:dyDescent="0.2">
      <c r="B25" s="63" t="s">
        <v>548</v>
      </c>
      <c r="D25" s="63" t="s">
        <v>525</v>
      </c>
      <c r="E25" s="63" t="s">
        <v>551</v>
      </c>
      <c r="F25" s="63" t="s">
        <v>535</v>
      </c>
      <c r="G25" s="63" t="s">
        <v>161</v>
      </c>
      <c r="H25" s="63" t="s">
        <v>542</v>
      </c>
      <c r="I25" s="63" t="s">
        <v>550</v>
      </c>
      <c r="J25" s="64" t="s">
        <v>549</v>
      </c>
    </row>
    <row r="26" spans="2:12" x14ac:dyDescent="0.2">
      <c r="B26" s="32" t="s">
        <v>552</v>
      </c>
      <c r="C26" s="32" t="s">
        <v>213</v>
      </c>
      <c r="D26" s="32" t="s">
        <v>553</v>
      </c>
      <c r="E26" s="32" t="s">
        <v>554</v>
      </c>
      <c r="F26" s="32" t="s">
        <v>555</v>
      </c>
      <c r="G26" s="32" t="s">
        <v>45</v>
      </c>
      <c r="H26" s="32" t="s">
        <v>502</v>
      </c>
    </row>
    <row r="27" spans="2:12" x14ac:dyDescent="0.2">
      <c r="B27" s="32" t="s">
        <v>256</v>
      </c>
      <c r="C27" s="32" t="s">
        <v>423</v>
      </c>
      <c r="D27" s="32" t="s">
        <v>525</v>
      </c>
      <c r="E27" s="32" t="s">
        <v>285</v>
      </c>
      <c r="G27" s="32" t="s">
        <v>45</v>
      </c>
      <c r="H27" s="32" t="s">
        <v>542</v>
      </c>
      <c r="I27" s="32" t="s">
        <v>557</v>
      </c>
      <c r="J27" s="62" t="s">
        <v>558</v>
      </c>
    </row>
    <row r="28" spans="2:12" x14ac:dyDescent="0.2">
      <c r="B28" s="32" t="s">
        <v>559</v>
      </c>
      <c r="C28" s="32" t="s">
        <v>560</v>
      </c>
      <c r="D28" s="32" t="s">
        <v>525</v>
      </c>
      <c r="E28" s="32" t="s">
        <v>285</v>
      </c>
      <c r="G28" s="32" t="s">
        <v>45</v>
      </c>
      <c r="H28" s="32" t="s">
        <v>542</v>
      </c>
      <c r="I28" s="32" t="s">
        <v>557</v>
      </c>
      <c r="J28" s="62" t="s">
        <v>558</v>
      </c>
    </row>
    <row r="29" spans="2:12" x14ac:dyDescent="0.2">
      <c r="B29" s="32" t="s">
        <v>562</v>
      </c>
      <c r="D29" s="32" t="s">
        <v>533</v>
      </c>
      <c r="E29" s="32" t="s">
        <v>563</v>
      </c>
      <c r="F29" s="32" t="s">
        <v>564</v>
      </c>
      <c r="G29" s="32" t="s">
        <v>161</v>
      </c>
      <c r="H29" s="32" t="s">
        <v>519</v>
      </c>
      <c r="I29" s="32" t="s">
        <v>565</v>
      </c>
      <c r="J29" s="62" t="s">
        <v>566</v>
      </c>
      <c r="L29" s="32" t="s">
        <v>561</v>
      </c>
    </row>
    <row r="30" spans="2:12" x14ac:dyDescent="0.2">
      <c r="B30" s="32" t="s">
        <v>175</v>
      </c>
      <c r="D30" s="32" t="s">
        <v>533</v>
      </c>
      <c r="E30" s="32" t="s">
        <v>554</v>
      </c>
      <c r="F30" s="32" t="s">
        <v>569</v>
      </c>
      <c r="G30" s="32" t="s">
        <v>177</v>
      </c>
      <c r="H30" s="32" t="s">
        <v>519</v>
      </c>
      <c r="I30" s="32" t="s">
        <v>567</v>
      </c>
      <c r="J30" s="62" t="s">
        <v>568</v>
      </c>
    </row>
    <row r="31" spans="2:12" x14ac:dyDescent="0.2">
      <c r="B31" s="13" t="s">
        <v>470</v>
      </c>
      <c r="C31" s="7" t="s">
        <v>158</v>
      </c>
      <c r="D31" s="6" t="s">
        <v>160</v>
      </c>
      <c r="E31" s="7" t="s">
        <v>85</v>
      </c>
      <c r="F31" s="26" t="s">
        <v>471</v>
      </c>
      <c r="G31" s="26" t="s">
        <v>162</v>
      </c>
      <c r="H31" s="26" t="s">
        <v>479</v>
      </c>
      <c r="I31" s="8" t="s">
        <v>282</v>
      </c>
    </row>
    <row r="32" spans="2:12" x14ac:dyDescent="0.2">
      <c r="B32" s="46" t="s">
        <v>424</v>
      </c>
      <c r="C32" s="7" t="s">
        <v>257</v>
      </c>
      <c r="D32" s="6">
        <v>1</v>
      </c>
      <c r="E32" s="26" t="s">
        <v>85</v>
      </c>
      <c r="F32" s="26" t="s">
        <v>161</v>
      </c>
      <c r="G32" s="26" t="s">
        <v>425</v>
      </c>
    </row>
    <row r="33" spans="2:8" x14ac:dyDescent="0.2">
      <c r="B33" s="46" t="s">
        <v>426</v>
      </c>
      <c r="C33" s="26" t="s">
        <v>257</v>
      </c>
      <c r="D33" s="6">
        <v>1</v>
      </c>
      <c r="E33" s="26" t="s">
        <v>427</v>
      </c>
      <c r="F33" s="26" t="s">
        <v>161</v>
      </c>
      <c r="G33" s="26" t="s">
        <v>428</v>
      </c>
    </row>
    <row r="34" spans="2:8" x14ac:dyDescent="0.2">
      <c r="B34" s="46" t="s">
        <v>394</v>
      </c>
      <c r="C34" s="7" t="s">
        <v>285</v>
      </c>
      <c r="D34" s="6">
        <v>1</v>
      </c>
      <c r="E34" s="7"/>
      <c r="F34" s="7" t="s">
        <v>177</v>
      </c>
      <c r="G34" s="26" t="s">
        <v>258</v>
      </c>
    </row>
    <row r="35" spans="2:8" x14ac:dyDescent="0.2">
      <c r="B35" s="5" t="s">
        <v>179</v>
      </c>
      <c r="C35" s="7" t="s">
        <v>32</v>
      </c>
      <c r="D35" s="6">
        <v>1</v>
      </c>
      <c r="E35" s="7" t="s">
        <v>85</v>
      </c>
      <c r="F35" s="7" t="s">
        <v>177</v>
      </c>
      <c r="G35" s="7" t="s">
        <v>280</v>
      </c>
      <c r="H35" s="7" t="s">
        <v>281</v>
      </c>
    </row>
    <row r="36" spans="2:8" x14ac:dyDescent="0.2">
      <c r="B36" s="13" t="s">
        <v>423</v>
      </c>
      <c r="C36" s="7" t="s">
        <v>257</v>
      </c>
      <c r="D36" s="6">
        <v>1</v>
      </c>
      <c r="E36" s="7" t="s">
        <v>85</v>
      </c>
      <c r="F36" s="26" t="s">
        <v>45</v>
      </c>
      <c r="G36" s="7" t="s">
        <v>258</v>
      </c>
      <c r="H36" s="42" t="s">
        <v>282</v>
      </c>
    </row>
    <row r="37" spans="2:8" x14ac:dyDescent="0.2">
      <c r="B37" s="5" t="s">
        <v>288</v>
      </c>
      <c r="C37" s="7" t="s">
        <v>176</v>
      </c>
      <c r="D37" s="6">
        <v>1</v>
      </c>
      <c r="E37" s="7"/>
      <c r="F37" s="7" t="s">
        <v>161</v>
      </c>
      <c r="G37" s="7"/>
      <c r="H37" s="8" t="s">
        <v>295</v>
      </c>
    </row>
    <row r="38" spans="2:8" x14ac:dyDescent="0.2">
      <c r="B38" s="5" t="s">
        <v>180</v>
      </c>
      <c r="C38" s="7"/>
      <c r="D38" s="6"/>
      <c r="E38" s="7"/>
      <c r="F38" s="7"/>
      <c r="G38" s="7" t="s">
        <v>181</v>
      </c>
      <c r="H38" s="8" t="s">
        <v>282</v>
      </c>
    </row>
    <row r="39" spans="2:8" x14ac:dyDescent="0.2">
      <c r="B39" s="5" t="s">
        <v>380</v>
      </c>
      <c r="C39" s="7" t="s">
        <v>176</v>
      </c>
      <c r="D39" s="6" t="s">
        <v>381</v>
      </c>
      <c r="E39" s="7" t="s">
        <v>82</v>
      </c>
      <c r="F39" s="7" t="s">
        <v>161</v>
      </c>
      <c r="G39" s="7" t="s">
        <v>382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570</v>
      </c>
    </row>
    <row r="44" spans="2:8" x14ac:dyDescent="0.2">
      <c r="B44" s="14" t="s">
        <v>287</v>
      </c>
    </row>
    <row r="45" spans="2:8" x14ac:dyDescent="0.2">
      <c r="B45" s="1"/>
    </row>
    <row r="46" spans="2:8" x14ac:dyDescent="0.2">
      <c r="B46" s="1" t="s">
        <v>296</v>
      </c>
    </row>
    <row r="47" spans="2:8" x14ac:dyDescent="0.2">
      <c r="B47" s="1" t="s">
        <v>297</v>
      </c>
    </row>
    <row r="48" spans="2:8" x14ac:dyDescent="0.2">
      <c r="B48" s="1" t="s">
        <v>298</v>
      </c>
    </row>
    <row r="49" spans="2:2" x14ac:dyDescent="0.2">
      <c r="B49" s="23" t="s">
        <v>299</v>
      </c>
    </row>
    <row r="50" spans="2:2" x14ac:dyDescent="0.2">
      <c r="B50" s="1" t="s">
        <v>300</v>
      </c>
    </row>
    <row r="51" spans="2:2" x14ac:dyDescent="0.2">
      <c r="B51" s="1" t="s">
        <v>301</v>
      </c>
    </row>
    <row r="52" spans="2:2" x14ac:dyDescent="0.2">
      <c r="B52" s="1" t="s">
        <v>302</v>
      </c>
    </row>
    <row r="53" spans="2:2" x14ac:dyDescent="0.2">
      <c r="B53" s="1" t="s">
        <v>303</v>
      </c>
    </row>
    <row r="54" spans="2:2" x14ac:dyDescent="0.2">
      <c r="B54" s="23" t="s">
        <v>304</v>
      </c>
    </row>
    <row r="55" spans="2:2" x14ac:dyDescent="0.2">
      <c r="B55" s="1" t="s">
        <v>305</v>
      </c>
    </row>
    <row r="56" spans="2:2" x14ac:dyDescent="0.2">
      <c r="B56" s="1" t="s">
        <v>306</v>
      </c>
    </row>
    <row r="57" spans="2:2" x14ac:dyDescent="0.2">
      <c r="B57" s="1" t="s">
        <v>307</v>
      </c>
    </row>
    <row r="58" spans="2:2" x14ac:dyDescent="0.2">
      <c r="B58" s="1" t="s">
        <v>308</v>
      </c>
    </row>
    <row r="59" spans="2:2" x14ac:dyDescent="0.2">
      <c r="B59" s="1" t="s">
        <v>309</v>
      </c>
    </row>
    <row r="60" spans="2:2" x14ac:dyDescent="0.2">
      <c r="B60" s="1" t="s">
        <v>310</v>
      </c>
    </row>
    <row r="61" spans="2:2" x14ac:dyDescent="0.2">
      <c r="B61" s="1" t="s">
        <v>311</v>
      </c>
    </row>
    <row r="62" spans="2:2" x14ac:dyDescent="0.2">
      <c r="B62" s="1" t="s">
        <v>312</v>
      </c>
    </row>
    <row r="63" spans="2:2" x14ac:dyDescent="0.2">
      <c r="B63" s="1" t="s">
        <v>313</v>
      </c>
    </row>
    <row r="64" spans="2:2" x14ac:dyDescent="0.2">
      <c r="B64" s="1" t="s">
        <v>314</v>
      </c>
    </row>
    <row r="65" spans="2:2" x14ac:dyDescent="0.2">
      <c r="B65" s="1" t="s">
        <v>315</v>
      </c>
    </row>
    <row r="66" spans="2:2" x14ac:dyDescent="0.2">
      <c r="B66" s="1" t="s">
        <v>316</v>
      </c>
    </row>
    <row r="67" spans="2:2" x14ac:dyDescent="0.2">
      <c r="B67" s="1" t="s">
        <v>317</v>
      </c>
    </row>
    <row r="68" spans="2:2" x14ac:dyDescent="0.2">
      <c r="B68" s="1" t="s">
        <v>318</v>
      </c>
    </row>
    <row r="69" spans="2:2" x14ac:dyDescent="0.2">
      <c r="B69" s="1" t="s">
        <v>319</v>
      </c>
    </row>
    <row r="70" spans="2:2" x14ac:dyDescent="0.2">
      <c r="B70" s="1" t="s">
        <v>320</v>
      </c>
    </row>
    <row r="71" spans="2:2" x14ac:dyDescent="0.2">
      <c r="B71" s="1" t="s">
        <v>321</v>
      </c>
    </row>
    <row r="72" spans="2:2" x14ac:dyDescent="0.2">
      <c r="B72" s="1" t="s">
        <v>322</v>
      </c>
    </row>
    <row r="73" spans="2:2" x14ac:dyDescent="0.2">
      <c r="B73" s="1" t="s">
        <v>505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275</v>
      </c>
    </row>
    <row r="4" spans="1:3" x14ac:dyDescent="0.2">
      <c r="B4" s="1" t="s">
        <v>1</v>
      </c>
      <c r="C4" s="23" t="s">
        <v>205</v>
      </c>
    </row>
    <row r="5" spans="1:3" x14ac:dyDescent="0.2">
      <c r="C5" s="23" t="s">
        <v>206</v>
      </c>
    </row>
    <row r="6" spans="1:3" x14ac:dyDescent="0.2">
      <c r="B6" s="1" t="s">
        <v>141</v>
      </c>
      <c r="C6" s="23" t="s">
        <v>204</v>
      </c>
    </row>
    <row r="7" spans="1:3" x14ac:dyDescent="0.2">
      <c r="B7" s="1" t="s">
        <v>201</v>
      </c>
      <c r="C7" s="23" t="s">
        <v>202</v>
      </c>
    </row>
    <row r="8" spans="1:3" x14ac:dyDescent="0.2">
      <c r="B8" s="1" t="s">
        <v>3</v>
      </c>
      <c r="C8" s="23" t="s">
        <v>203</v>
      </c>
    </row>
    <row r="9" spans="1:3" x14ac:dyDescent="0.2">
      <c r="B9" s="1" t="s">
        <v>4</v>
      </c>
      <c r="C9" s="1" t="s">
        <v>86</v>
      </c>
    </row>
    <row r="10" spans="1:3" x14ac:dyDescent="0.2">
      <c r="C10" s="1" t="s">
        <v>215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167</v>
      </c>
    </row>
    <row r="24" spans="2:3" x14ac:dyDescent="0.2">
      <c r="B24" s="23" t="s">
        <v>140</v>
      </c>
    </row>
    <row r="25" spans="2:3" x14ac:dyDescent="0.2">
      <c r="C25" s="17" t="s">
        <v>364</v>
      </c>
    </row>
    <row r="26" spans="2:3" x14ac:dyDescent="0.2">
      <c r="C26" s="23" t="s">
        <v>365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197</v>
      </c>
      <c r="C4" s="7"/>
      <c r="D4" s="7" t="s">
        <v>199</v>
      </c>
      <c r="E4" s="7" t="s">
        <v>198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261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265</v>
      </c>
    </row>
    <row r="6" spans="1:3" x14ac:dyDescent="0.2">
      <c r="B6" s="1" t="s">
        <v>263</v>
      </c>
      <c r="C6" s="1" t="s">
        <v>264</v>
      </c>
    </row>
    <row r="7" spans="1:3" x14ac:dyDescent="0.2">
      <c r="B7" s="1" t="s">
        <v>3</v>
      </c>
      <c r="C7" s="1" t="s">
        <v>268</v>
      </c>
    </row>
    <row r="8" spans="1:3" x14ac:dyDescent="0.2">
      <c r="B8" s="1" t="s">
        <v>266</v>
      </c>
      <c r="C8" s="1" t="s">
        <v>267</v>
      </c>
    </row>
    <row r="9" spans="1:3" x14ac:dyDescent="0.2">
      <c r="B9" s="1" t="s">
        <v>140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118</v>
      </c>
    </row>
    <row r="3" spans="1:3" x14ac:dyDescent="0.2">
      <c r="B3" s="1" t="s">
        <v>65</v>
      </c>
      <c r="C3" s="1" t="s">
        <v>77</v>
      </c>
    </row>
    <row r="4" spans="1:3" x14ac:dyDescent="0.2">
      <c r="B4" s="1" t="s">
        <v>1</v>
      </c>
      <c r="C4" s="1" t="s">
        <v>125</v>
      </c>
    </row>
    <row r="5" spans="1:3" x14ac:dyDescent="0.2">
      <c r="B5" s="1" t="s">
        <v>3</v>
      </c>
      <c r="C5" s="1" t="s">
        <v>134</v>
      </c>
    </row>
    <row r="6" spans="1:3" x14ac:dyDescent="0.2">
      <c r="B6" s="1" t="s">
        <v>126</v>
      </c>
      <c r="C6" s="1" t="s">
        <v>127</v>
      </c>
    </row>
    <row r="7" spans="1:3" x14ac:dyDescent="0.2">
      <c r="B7" s="1" t="s">
        <v>123</v>
      </c>
      <c r="C7" s="1" t="s">
        <v>124</v>
      </c>
    </row>
    <row r="8" spans="1:3" x14ac:dyDescent="0.2">
      <c r="B8" s="23" t="s">
        <v>4</v>
      </c>
      <c r="C8" s="23" t="s">
        <v>388</v>
      </c>
    </row>
    <row r="9" spans="1:3" x14ac:dyDescent="0.2">
      <c r="B9" s="1" t="s">
        <v>78</v>
      </c>
      <c r="C9" s="1" t="s">
        <v>135</v>
      </c>
    </row>
    <row r="11" spans="1:3" x14ac:dyDescent="0.2">
      <c r="C11" s="17" t="s">
        <v>389</v>
      </c>
    </row>
    <row r="12" spans="1:3" x14ac:dyDescent="0.2">
      <c r="C12" s="23" t="s">
        <v>390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130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131</v>
      </c>
    </row>
    <row r="25" spans="3:3" x14ac:dyDescent="0.2">
      <c r="C25" s="1" t="s">
        <v>79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80</v>
      </c>
    </row>
    <row r="38" spans="3:3" x14ac:dyDescent="0.2">
      <c r="C38" s="1" t="s">
        <v>81</v>
      </c>
    </row>
    <row r="40" spans="3:3" x14ac:dyDescent="0.2">
      <c r="C40" s="17" t="s">
        <v>119</v>
      </c>
    </row>
    <row r="42" spans="3:3" x14ac:dyDescent="0.2">
      <c r="C42" s="17" t="s">
        <v>120</v>
      </c>
    </row>
    <row r="44" spans="3:3" x14ac:dyDescent="0.2">
      <c r="C44" s="17" t="s">
        <v>121</v>
      </c>
    </row>
    <row r="46" spans="3:3" x14ac:dyDescent="0.2">
      <c r="C46" s="17" t="s">
        <v>122</v>
      </c>
    </row>
    <row r="48" spans="3:3" x14ac:dyDescent="0.2">
      <c r="C48" s="17" t="s">
        <v>128</v>
      </c>
    </row>
    <row r="50" spans="3:3" x14ac:dyDescent="0.2">
      <c r="C50" s="17" t="s">
        <v>129</v>
      </c>
    </row>
    <row r="52" spans="3:3" x14ac:dyDescent="0.2">
      <c r="C52" s="17" t="s">
        <v>132</v>
      </c>
    </row>
    <row r="54" spans="3:3" x14ac:dyDescent="0.2">
      <c r="C54" s="17" t="s">
        <v>133</v>
      </c>
    </row>
    <row r="57" spans="3:3" x14ac:dyDescent="0.2">
      <c r="C57" s="17" t="s">
        <v>224</v>
      </c>
    </row>
    <row r="58" spans="3:3" x14ac:dyDescent="0.2">
      <c r="C58" s="1" t="s">
        <v>225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219</v>
      </c>
    </row>
    <row r="4" spans="1:3" x14ac:dyDescent="0.2">
      <c r="B4" s="1" t="s">
        <v>151</v>
      </c>
      <c r="C4" s="1" t="s">
        <v>220</v>
      </c>
    </row>
    <row r="5" spans="1:3" x14ac:dyDescent="0.2">
      <c r="B5" s="1" t="s">
        <v>140</v>
      </c>
    </row>
    <row r="6" spans="1:3" x14ac:dyDescent="0.2">
      <c r="C6" s="17" t="s">
        <v>234</v>
      </c>
    </row>
    <row r="7" spans="1:3" x14ac:dyDescent="0.2">
      <c r="C7" s="23" t="s">
        <v>232</v>
      </c>
    </row>
    <row r="8" spans="1:3" x14ac:dyDescent="0.2">
      <c r="C8" s="23" t="s">
        <v>233</v>
      </c>
    </row>
    <row r="10" spans="1:3" x14ac:dyDescent="0.2">
      <c r="C10" s="17" t="s">
        <v>222</v>
      </c>
    </row>
    <row r="11" spans="1:3" x14ac:dyDescent="0.2">
      <c r="C11" s="1" t="s">
        <v>221</v>
      </c>
    </row>
    <row r="13" spans="1:3" x14ac:dyDescent="0.2">
      <c r="C13" s="17" t="s">
        <v>235</v>
      </c>
    </row>
    <row r="14" spans="1:3" x14ac:dyDescent="0.2">
      <c r="C14" s="1" t="s">
        <v>237</v>
      </c>
    </row>
    <row r="15" spans="1:3" x14ac:dyDescent="0.2">
      <c r="C15" s="1" t="s">
        <v>236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356</v>
      </c>
    </row>
    <row r="3" spans="1:3" x14ac:dyDescent="0.2">
      <c r="B3" t="s">
        <v>65</v>
      </c>
      <c r="C3" t="s">
        <v>248</v>
      </c>
    </row>
    <row r="4" spans="1:3" x14ac:dyDescent="0.2">
      <c r="B4" t="s">
        <v>357</v>
      </c>
      <c r="C4" s="32" t="s">
        <v>366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90</v>
      </c>
    </row>
    <row r="3" spans="1:3" x14ac:dyDescent="0.2">
      <c r="B3" s="1" t="s">
        <v>65</v>
      </c>
      <c r="C3" s="1" t="s">
        <v>270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273</v>
      </c>
    </row>
    <row r="6" spans="1:3" x14ac:dyDescent="0.2">
      <c r="B6" s="1" t="s">
        <v>263</v>
      </c>
    </row>
    <row r="7" spans="1:3" x14ac:dyDescent="0.2">
      <c r="B7" s="1" t="s">
        <v>151</v>
      </c>
    </row>
    <row r="8" spans="1:3" x14ac:dyDescent="0.2">
      <c r="B8" s="1" t="s">
        <v>3</v>
      </c>
    </row>
    <row r="9" spans="1:3" x14ac:dyDescent="0.2">
      <c r="B9" s="1" t="s">
        <v>110</v>
      </c>
      <c r="C9" s="1" t="s">
        <v>272</v>
      </c>
    </row>
    <row r="10" spans="1:3" x14ac:dyDescent="0.2">
      <c r="B10" s="1" t="s">
        <v>266</v>
      </c>
    </row>
    <row r="11" spans="1:3" x14ac:dyDescent="0.2">
      <c r="B11" s="1" t="s">
        <v>140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473</v>
      </c>
    </row>
    <row r="3" spans="1:3" x14ac:dyDescent="0.2">
      <c r="B3" s="1" t="s">
        <v>65</v>
      </c>
      <c r="C3" s="23" t="s">
        <v>470</v>
      </c>
    </row>
    <row r="4" spans="1:3" x14ac:dyDescent="0.2">
      <c r="B4" s="1" t="s">
        <v>151</v>
      </c>
      <c r="C4" s="1" t="s">
        <v>160</v>
      </c>
    </row>
    <row r="5" spans="1:3" x14ac:dyDescent="0.2">
      <c r="B5" s="23" t="s">
        <v>141</v>
      </c>
      <c r="C5" s="23" t="s">
        <v>475</v>
      </c>
    </row>
    <row r="6" spans="1:3" x14ac:dyDescent="0.2">
      <c r="B6" s="23" t="s">
        <v>357</v>
      </c>
      <c r="C6" s="23" t="s">
        <v>474</v>
      </c>
    </row>
    <row r="7" spans="1:3" x14ac:dyDescent="0.2">
      <c r="B7" s="23" t="s">
        <v>123</v>
      </c>
      <c r="C7" s="23" t="s">
        <v>476</v>
      </c>
    </row>
    <row r="8" spans="1:3" x14ac:dyDescent="0.2">
      <c r="B8" s="23"/>
      <c r="C8" s="23" t="s">
        <v>478</v>
      </c>
    </row>
    <row r="9" spans="1:3" x14ac:dyDescent="0.2">
      <c r="B9" s="23"/>
      <c r="C9" s="23" t="s">
        <v>477</v>
      </c>
    </row>
    <row r="10" spans="1:3" x14ac:dyDescent="0.2">
      <c r="B10" s="1" t="s">
        <v>140</v>
      </c>
    </row>
    <row r="11" spans="1:3" x14ac:dyDescent="0.2">
      <c r="C11" s="17" t="s">
        <v>353</v>
      </c>
    </row>
    <row r="12" spans="1:3" x14ac:dyDescent="0.2">
      <c r="C12" s="23" t="s">
        <v>354</v>
      </c>
    </row>
    <row r="13" spans="1:3" x14ac:dyDescent="0.2">
      <c r="C13" s="23" t="s">
        <v>355</v>
      </c>
    </row>
    <row r="14" spans="1:3" x14ac:dyDescent="0.2">
      <c r="C14" s="23"/>
    </row>
    <row r="15" spans="1:3" x14ac:dyDescent="0.2">
      <c r="C15" s="17" t="s">
        <v>227</v>
      </c>
    </row>
    <row r="16" spans="1:3" x14ac:dyDescent="0.2">
      <c r="C16" s="1" t="s">
        <v>228</v>
      </c>
    </row>
    <row r="18" spans="3:3" x14ac:dyDescent="0.2">
      <c r="C18" s="17" t="s">
        <v>349</v>
      </c>
    </row>
    <row r="19" spans="3:3" x14ac:dyDescent="0.2">
      <c r="C19" s="31" t="s">
        <v>350</v>
      </c>
    </row>
    <row r="20" spans="3:3" x14ac:dyDescent="0.2">
      <c r="C20" s="23" t="s">
        <v>351</v>
      </c>
    </row>
    <row r="21" spans="3:3" x14ac:dyDescent="0.2">
      <c r="C21" s="23" t="s">
        <v>352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190</v>
      </c>
    </row>
    <row r="3" spans="1:3" x14ac:dyDescent="0.2">
      <c r="B3" s="1" t="s">
        <v>65</v>
      </c>
      <c r="C3" s="1" t="s">
        <v>187</v>
      </c>
    </row>
    <row r="4" spans="1:3" x14ac:dyDescent="0.2">
      <c r="B4" s="1" t="s">
        <v>1</v>
      </c>
      <c r="C4" s="1" t="s">
        <v>188</v>
      </c>
    </row>
    <row r="5" spans="1:3" x14ac:dyDescent="0.2">
      <c r="B5" s="1" t="s">
        <v>141</v>
      </c>
      <c r="C5" s="1" t="s">
        <v>189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140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191</v>
      </c>
    </row>
    <row r="15" spans="1:3" x14ac:dyDescent="0.2">
      <c r="C15" s="1" t="s">
        <v>192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256</v>
      </c>
    </row>
    <row r="3" spans="1:3" x14ac:dyDescent="0.2">
      <c r="B3" s="1" t="s">
        <v>1</v>
      </c>
      <c r="C3" s="1" t="s">
        <v>257</v>
      </c>
    </row>
    <row r="4" spans="1:3" x14ac:dyDescent="0.2">
      <c r="B4" s="1" t="s">
        <v>141</v>
      </c>
      <c r="C4" s="1" t="s">
        <v>258</v>
      </c>
    </row>
    <row r="5" spans="1:3" x14ac:dyDescent="0.2">
      <c r="B5" s="1" t="s">
        <v>140</v>
      </c>
    </row>
    <row r="6" spans="1:3" x14ac:dyDescent="0.2">
      <c r="C6" s="17" t="s">
        <v>379</v>
      </c>
    </row>
    <row r="7" spans="1:3" x14ac:dyDescent="0.2">
      <c r="C7" s="23" t="s">
        <v>377</v>
      </c>
    </row>
    <row r="8" spans="1:3" x14ac:dyDescent="0.2">
      <c r="C8" s="23" t="s">
        <v>378</v>
      </c>
    </row>
    <row r="10" spans="1:3" x14ac:dyDescent="0.2">
      <c r="C10" s="17" t="s">
        <v>259</v>
      </c>
    </row>
    <row r="11" spans="1:3" x14ac:dyDescent="0.2">
      <c r="C11" s="1" t="s">
        <v>260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8"/>
  <sheetViews>
    <sheetView zoomScale="145" zoomScaleNormal="145" workbookViewId="0"/>
  </sheetViews>
  <sheetFormatPr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5703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701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83</v>
      </c>
      <c r="F2" s="3" t="s">
        <v>110</v>
      </c>
      <c r="G2" s="60" t="s">
        <v>141</v>
      </c>
      <c r="H2" s="4" t="s">
        <v>4</v>
      </c>
      <c r="J2" s="1" t="s">
        <v>78</v>
      </c>
      <c r="K2" s="24">
        <v>49</v>
      </c>
    </row>
    <row r="3" spans="1:12" x14ac:dyDescent="0.2">
      <c r="B3" s="13" t="s">
        <v>43</v>
      </c>
      <c r="C3" s="26" t="s">
        <v>406</v>
      </c>
      <c r="D3" s="6">
        <v>1</v>
      </c>
      <c r="E3" s="6" t="s">
        <v>82</v>
      </c>
      <c r="F3" s="16">
        <v>38709</v>
      </c>
      <c r="G3" s="26" t="s">
        <v>646</v>
      </c>
      <c r="H3" s="8" t="s">
        <v>295</v>
      </c>
      <c r="J3" s="1" t="s">
        <v>109</v>
      </c>
      <c r="K3" s="25">
        <v>2027.395178</v>
      </c>
      <c r="L3" s="33" t="s">
        <v>689</v>
      </c>
    </row>
    <row r="4" spans="1:12" x14ac:dyDescent="0.2">
      <c r="B4" s="73" t="s">
        <v>620</v>
      </c>
      <c r="C4" s="26" t="s">
        <v>493</v>
      </c>
      <c r="D4" s="6"/>
      <c r="E4" s="27" t="s">
        <v>85</v>
      </c>
      <c r="F4" s="16">
        <v>38713</v>
      </c>
      <c r="G4" s="26" t="s">
        <v>661</v>
      </c>
      <c r="H4" s="8"/>
      <c r="J4" s="1" t="s">
        <v>193</v>
      </c>
      <c r="K4" s="25">
        <f>K2*K3</f>
        <v>99342.363721999995</v>
      </c>
    </row>
    <row r="5" spans="1:12" x14ac:dyDescent="0.2">
      <c r="B5" s="13" t="s">
        <v>636</v>
      </c>
      <c r="C5" s="26" t="s">
        <v>176</v>
      </c>
      <c r="D5" s="27" t="s">
        <v>409</v>
      </c>
      <c r="E5" s="26" t="s">
        <v>82</v>
      </c>
      <c r="F5" s="45">
        <v>41995</v>
      </c>
      <c r="G5" s="26" t="s">
        <v>645</v>
      </c>
      <c r="H5" s="42" t="s">
        <v>295</v>
      </c>
      <c r="J5" s="1" t="s">
        <v>194</v>
      </c>
      <c r="K5" s="25">
        <v>7010</v>
      </c>
      <c r="L5" s="33" t="s">
        <v>689</v>
      </c>
    </row>
    <row r="6" spans="1:12" x14ac:dyDescent="0.2">
      <c r="B6" s="13" t="s">
        <v>638</v>
      </c>
      <c r="C6" s="26" t="s">
        <v>418</v>
      </c>
      <c r="D6" s="27" t="s">
        <v>640</v>
      </c>
      <c r="E6" s="26" t="s">
        <v>82</v>
      </c>
      <c r="F6" s="45">
        <v>42338</v>
      </c>
      <c r="G6" s="26" t="s">
        <v>644</v>
      </c>
      <c r="H6" s="42" t="s">
        <v>295</v>
      </c>
      <c r="J6" s="1" t="s">
        <v>195</v>
      </c>
      <c r="K6" s="25">
        <v>52389</v>
      </c>
      <c r="L6" s="33" t="s">
        <v>689</v>
      </c>
    </row>
    <row r="7" spans="1:12" x14ac:dyDescent="0.2">
      <c r="B7" s="73" t="s">
        <v>633</v>
      </c>
      <c r="C7" s="26" t="s">
        <v>667</v>
      </c>
      <c r="D7" s="27" t="s">
        <v>634</v>
      </c>
      <c r="E7" s="27" t="s">
        <v>82</v>
      </c>
      <c r="F7" s="16">
        <v>43777</v>
      </c>
      <c r="G7" s="26" t="s">
        <v>662</v>
      </c>
      <c r="H7" s="8"/>
      <c r="J7" s="1" t="s">
        <v>196</v>
      </c>
      <c r="K7" s="25">
        <f>K4-K5+K6</f>
        <v>144721.36372199998</v>
      </c>
      <c r="L7" s="28"/>
    </row>
    <row r="8" spans="1:12" x14ac:dyDescent="0.2">
      <c r="B8" s="73" t="s">
        <v>647</v>
      </c>
      <c r="C8" s="26" t="s">
        <v>493</v>
      </c>
      <c r="D8" s="6"/>
      <c r="E8" s="27" t="s">
        <v>85</v>
      </c>
      <c r="F8" s="16">
        <v>41313</v>
      </c>
      <c r="G8" s="26" t="s">
        <v>661</v>
      </c>
      <c r="H8" s="8"/>
      <c r="K8" s="25"/>
      <c r="L8" s="30"/>
    </row>
    <row r="9" spans="1:12" x14ac:dyDescent="0.2">
      <c r="B9" s="73" t="s">
        <v>674</v>
      </c>
      <c r="C9" s="26" t="s">
        <v>675</v>
      </c>
      <c r="D9" s="6"/>
      <c r="E9" s="27" t="s">
        <v>85</v>
      </c>
      <c r="F9" s="16"/>
      <c r="G9" s="26" t="s">
        <v>676</v>
      </c>
      <c r="H9" s="8"/>
      <c r="K9" s="25"/>
      <c r="L9" s="30"/>
    </row>
    <row r="10" spans="1:12" x14ac:dyDescent="0.2">
      <c r="B10" s="46" t="s">
        <v>656</v>
      </c>
      <c r="C10" s="26" t="s">
        <v>28</v>
      </c>
      <c r="E10" s="26" t="s">
        <v>668</v>
      </c>
      <c r="G10" s="26" t="s">
        <v>663</v>
      </c>
      <c r="H10" s="86"/>
    </row>
    <row r="11" spans="1:12" x14ac:dyDescent="0.2">
      <c r="B11" s="46" t="s">
        <v>623</v>
      </c>
      <c r="C11" s="26" t="s">
        <v>493</v>
      </c>
      <c r="E11" s="26" t="s">
        <v>82</v>
      </c>
      <c r="G11" s="26" t="s">
        <v>684</v>
      </c>
      <c r="H11" s="86"/>
    </row>
    <row r="12" spans="1:12" x14ac:dyDescent="0.2">
      <c r="B12" s="46" t="s">
        <v>658</v>
      </c>
      <c r="C12" s="26" t="s">
        <v>659</v>
      </c>
      <c r="E12" s="26" t="s">
        <v>85</v>
      </c>
      <c r="G12" s="26" t="s">
        <v>679</v>
      </c>
      <c r="H12" s="86"/>
      <c r="J12" s="23" t="s">
        <v>706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85</v>
      </c>
      <c r="F13" s="16">
        <v>38896</v>
      </c>
      <c r="G13" s="7" t="s">
        <v>114</v>
      </c>
      <c r="H13" s="8" t="s">
        <v>282</v>
      </c>
      <c r="J13" s="23" t="s">
        <v>669</v>
      </c>
    </row>
    <row r="14" spans="1:12" x14ac:dyDescent="0.2">
      <c r="B14" s="46" t="s">
        <v>657</v>
      </c>
      <c r="E14" s="26" t="s">
        <v>82</v>
      </c>
      <c r="G14" s="26" t="s">
        <v>660</v>
      </c>
      <c r="H14" s="86"/>
      <c r="J14" s="23" t="s">
        <v>670</v>
      </c>
    </row>
    <row r="15" spans="1:12" x14ac:dyDescent="0.2">
      <c r="B15" s="13" t="s">
        <v>223</v>
      </c>
      <c r="C15" s="7" t="s">
        <v>31</v>
      </c>
      <c r="D15" s="27" t="s">
        <v>383</v>
      </c>
      <c r="E15" s="6" t="s">
        <v>82</v>
      </c>
      <c r="F15" s="16">
        <v>38029</v>
      </c>
      <c r="G15" s="7" t="s">
        <v>112</v>
      </c>
      <c r="H15" s="8" t="s">
        <v>294</v>
      </c>
      <c r="J15" s="23" t="s">
        <v>671</v>
      </c>
    </row>
    <row r="16" spans="1:12" x14ac:dyDescent="0.2">
      <c r="B16" s="43" t="s">
        <v>84</v>
      </c>
      <c r="C16" s="7" t="s">
        <v>12</v>
      </c>
      <c r="D16" s="6">
        <v>1</v>
      </c>
      <c r="E16" s="6" t="s">
        <v>85</v>
      </c>
      <c r="F16" s="16">
        <v>38501</v>
      </c>
      <c r="G16" s="7" t="s">
        <v>115</v>
      </c>
      <c r="H16" s="8">
        <v>2015</v>
      </c>
    </row>
    <row r="17" spans="2:8" x14ac:dyDescent="0.2">
      <c r="B17" s="13" t="s">
        <v>405</v>
      </c>
      <c r="C17" s="26" t="s">
        <v>174</v>
      </c>
      <c r="D17" s="27" t="s">
        <v>218</v>
      </c>
      <c r="E17" s="27" t="s">
        <v>85</v>
      </c>
      <c r="F17" s="45">
        <v>41464</v>
      </c>
      <c r="G17" s="26" t="s">
        <v>111</v>
      </c>
      <c r="H17" s="42"/>
    </row>
    <row r="18" spans="2:8" x14ac:dyDescent="0.2">
      <c r="B18" s="73" t="s">
        <v>698</v>
      </c>
      <c r="C18" s="26" t="s">
        <v>699</v>
      </c>
      <c r="D18" s="27"/>
      <c r="E18" s="27" t="s">
        <v>85</v>
      </c>
      <c r="F18" s="45"/>
      <c r="G18" s="26"/>
      <c r="H18" s="42"/>
    </row>
    <row r="19" spans="2:8" x14ac:dyDescent="0.2">
      <c r="B19" s="73" t="s">
        <v>703</v>
      </c>
      <c r="C19" s="26"/>
      <c r="D19" s="27"/>
      <c r="E19" s="27"/>
      <c r="F19" s="45"/>
      <c r="G19" s="26"/>
      <c r="H19" s="42"/>
    </row>
    <row r="20" spans="2:8" x14ac:dyDescent="0.2">
      <c r="B20" s="73" t="s">
        <v>685</v>
      </c>
      <c r="C20" s="26" t="s">
        <v>666</v>
      </c>
      <c r="D20" s="27"/>
      <c r="E20" s="27" t="s">
        <v>85</v>
      </c>
      <c r="F20" s="45">
        <v>44813</v>
      </c>
      <c r="G20" s="26" t="s">
        <v>680</v>
      </c>
      <c r="H20" s="18"/>
    </row>
    <row r="21" spans="2:8" x14ac:dyDescent="0.2">
      <c r="B21" s="87" t="s">
        <v>416</v>
      </c>
      <c r="C21" s="10" t="s">
        <v>28</v>
      </c>
      <c r="D21" s="11" t="s">
        <v>27</v>
      </c>
      <c r="E21" s="11" t="s">
        <v>82</v>
      </c>
      <c r="F21" s="88">
        <v>40627</v>
      </c>
      <c r="G21" s="10" t="s">
        <v>254</v>
      </c>
      <c r="H21" s="12" t="s">
        <v>294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664</v>
      </c>
      <c r="C23" s="26" t="s">
        <v>493</v>
      </c>
      <c r="G23" s="26" t="s">
        <v>661</v>
      </c>
      <c r="H23" s="86"/>
    </row>
    <row r="24" spans="2:8" x14ac:dyDescent="0.2">
      <c r="B24" s="46" t="s">
        <v>704</v>
      </c>
      <c r="C24" s="26" t="s">
        <v>33</v>
      </c>
      <c r="G24" s="26"/>
      <c r="H24" s="86"/>
    </row>
    <row r="25" spans="2:8" x14ac:dyDescent="0.2">
      <c r="B25" s="46" t="s">
        <v>665</v>
      </c>
      <c r="C25" s="26" t="s">
        <v>493</v>
      </c>
      <c r="G25" s="26" t="s">
        <v>661</v>
      </c>
      <c r="H25" s="86"/>
    </row>
    <row r="26" spans="2:8" x14ac:dyDescent="0.2">
      <c r="B26" s="46" t="s">
        <v>672</v>
      </c>
      <c r="C26" s="26" t="s">
        <v>546</v>
      </c>
      <c r="E26" s="23" t="s">
        <v>85</v>
      </c>
      <c r="F26" s="23" t="s">
        <v>499</v>
      </c>
      <c r="G26" s="26" t="s">
        <v>673</v>
      </c>
      <c r="H26" s="86"/>
    </row>
    <row r="27" spans="2:8" x14ac:dyDescent="0.2">
      <c r="B27" s="46" t="s">
        <v>677</v>
      </c>
      <c r="C27" s="26" t="s">
        <v>174</v>
      </c>
      <c r="E27" s="23"/>
      <c r="F27" s="23"/>
      <c r="G27" s="26" t="s">
        <v>678</v>
      </c>
      <c r="H27" s="86"/>
    </row>
    <row r="28" spans="2:8" x14ac:dyDescent="0.2">
      <c r="B28" s="46" t="s">
        <v>681</v>
      </c>
      <c r="C28" s="26" t="s">
        <v>683</v>
      </c>
      <c r="E28" s="23"/>
      <c r="F28" s="23"/>
      <c r="G28" s="26" t="s">
        <v>682</v>
      </c>
      <c r="H28" s="86"/>
    </row>
    <row r="29" spans="2:8" x14ac:dyDescent="0.2">
      <c r="B29" s="5" t="s">
        <v>182</v>
      </c>
      <c r="C29" s="7" t="s">
        <v>184</v>
      </c>
      <c r="D29" s="6">
        <v>1</v>
      </c>
      <c r="E29" s="7" t="s">
        <v>183</v>
      </c>
      <c r="F29" s="7" t="s">
        <v>185</v>
      </c>
      <c r="G29" s="7"/>
      <c r="H29" s="8"/>
    </row>
    <row r="30" spans="2:8" x14ac:dyDescent="0.2">
      <c r="B30" s="46" t="s">
        <v>431</v>
      </c>
      <c r="C30" s="26" t="s">
        <v>430</v>
      </c>
      <c r="D30" s="6">
        <v>1</v>
      </c>
      <c r="E30" s="7"/>
      <c r="F30" s="7"/>
      <c r="G30" s="7"/>
      <c r="H30" s="8"/>
    </row>
    <row r="31" spans="2:8" x14ac:dyDescent="0.2">
      <c r="B31" s="5" t="s">
        <v>283</v>
      </c>
      <c r="C31" s="7" t="s">
        <v>158</v>
      </c>
      <c r="D31" s="6">
        <v>1</v>
      </c>
      <c r="E31" s="7" t="s">
        <v>85</v>
      </c>
      <c r="F31" s="7" t="s">
        <v>177</v>
      </c>
      <c r="G31" s="7" t="s">
        <v>284</v>
      </c>
      <c r="H31" s="8"/>
    </row>
    <row r="32" spans="2:8" x14ac:dyDescent="0.2">
      <c r="B32" s="46" t="s">
        <v>433</v>
      </c>
      <c r="C32" s="26" t="s">
        <v>176</v>
      </c>
      <c r="D32" s="27" t="s">
        <v>435</v>
      </c>
      <c r="E32" s="26" t="s">
        <v>85</v>
      </c>
      <c r="F32" s="26" t="s">
        <v>161</v>
      </c>
      <c r="G32" s="26" t="s">
        <v>434</v>
      </c>
      <c r="H32" s="8"/>
    </row>
    <row r="33" spans="2:8" x14ac:dyDescent="0.2">
      <c r="B33" s="5" t="s">
        <v>367</v>
      </c>
      <c r="C33" s="7" t="s">
        <v>368</v>
      </c>
      <c r="D33" s="6">
        <v>1</v>
      </c>
      <c r="E33" s="7" t="s">
        <v>85</v>
      </c>
      <c r="F33" s="26" t="s">
        <v>161</v>
      </c>
      <c r="G33" s="7" t="s">
        <v>369</v>
      </c>
      <c r="H33" s="8"/>
    </row>
    <row r="34" spans="2:8" x14ac:dyDescent="0.2">
      <c r="B34" s="46" t="s">
        <v>436</v>
      </c>
      <c r="C34" s="26" t="s">
        <v>437</v>
      </c>
      <c r="D34" s="27" t="s">
        <v>438</v>
      </c>
      <c r="E34" s="26" t="s">
        <v>85</v>
      </c>
      <c r="F34" s="26" t="s">
        <v>161</v>
      </c>
      <c r="G34" s="26" t="s">
        <v>439</v>
      </c>
      <c r="H34" s="8"/>
    </row>
    <row r="35" spans="2:8" x14ac:dyDescent="0.2">
      <c r="B35" s="5" t="s">
        <v>249</v>
      </c>
      <c r="C35" s="7" t="s">
        <v>250</v>
      </c>
      <c r="D35" s="6">
        <v>1</v>
      </c>
      <c r="E35" s="7" t="s">
        <v>85</v>
      </c>
      <c r="F35" s="7" t="s">
        <v>161</v>
      </c>
      <c r="G35" s="7" t="s">
        <v>251</v>
      </c>
      <c r="H35" s="8"/>
    </row>
    <row r="36" spans="2:8" x14ac:dyDescent="0.2">
      <c r="B36" s="9" t="s">
        <v>211</v>
      </c>
      <c r="C36" s="10" t="s">
        <v>212</v>
      </c>
      <c r="D36" s="11">
        <v>1</v>
      </c>
      <c r="E36" s="10" t="s">
        <v>85</v>
      </c>
      <c r="F36" s="10" t="s">
        <v>177</v>
      </c>
      <c r="G36" s="10" t="s">
        <v>214</v>
      </c>
      <c r="H36" s="12"/>
    </row>
    <row r="38" spans="2:8" x14ac:dyDescent="0.2">
      <c r="G38" s="1" t="s">
        <v>637</v>
      </c>
    </row>
    <row r="41" spans="2:8" x14ac:dyDescent="0.2">
      <c r="G41" s="20" t="s">
        <v>163</v>
      </c>
    </row>
    <row r="42" spans="2:8" x14ac:dyDescent="0.2">
      <c r="G42" s="20" t="s">
        <v>217</v>
      </c>
    </row>
    <row r="43" spans="2:8" x14ac:dyDescent="0.2">
      <c r="G43" s="20" t="s">
        <v>226</v>
      </c>
    </row>
    <row r="44" spans="2:8" x14ac:dyDescent="0.2">
      <c r="G44" s="1" t="s">
        <v>253</v>
      </c>
    </row>
    <row r="45" spans="2:8" x14ac:dyDescent="0.2">
      <c r="G45" s="34" t="s">
        <v>358</v>
      </c>
    </row>
    <row r="46" spans="2:8" x14ac:dyDescent="0.2">
      <c r="G46" s="20" t="s">
        <v>363</v>
      </c>
    </row>
    <row r="47" spans="2:8" x14ac:dyDescent="0.2">
      <c r="G47" s="20" t="s">
        <v>384</v>
      </c>
    </row>
    <row r="48" spans="2:8" x14ac:dyDescent="0.2">
      <c r="G48" s="23" t="s">
        <v>429</v>
      </c>
    </row>
    <row r="49" spans="7:7" x14ac:dyDescent="0.2">
      <c r="G49" s="23" t="s">
        <v>404</v>
      </c>
    </row>
    <row r="50" spans="7:7" x14ac:dyDescent="0.2">
      <c r="G50" s="23" t="s">
        <v>472</v>
      </c>
    </row>
    <row r="51" spans="7:7" x14ac:dyDescent="0.2">
      <c r="G51" s="1" t="s">
        <v>503</v>
      </c>
    </row>
    <row r="52" spans="7:7" x14ac:dyDescent="0.2">
      <c r="G52" s="1" t="s">
        <v>504</v>
      </c>
    </row>
    <row r="53" spans="7:7" x14ac:dyDescent="0.2">
      <c r="G53" s="23" t="s">
        <v>702</v>
      </c>
    </row>
    <row r="54" spans="7:7" x14ac:dyDescent="0.2">
      <c r="G54" s="23" t="s">
        <v>700</v>
      </c>
    </row>
    <row r="55" spans="7:7" x14ac:dyDescent="0.2">
      <c r="G55" s="23" t="s">
        <v>709</v>
      </c>
    </row>
    <row r="56" spans="7:7" x14ac:dyDescent="0.2">
      <c r="G56" s="23" t="s">
        <v>708</v>
      </c>
    </row>
    <row r="57" spans="7:7" x14ac:dyDescent="0.2">
      <c r="G57" s="23" t="s">
        <v>707</v>
      </c>
    </row>
    <row r="58" spans="7:7" x14ac:dyDescent="0.2">
      <c r="G58" s="23" t="s">
        <v>705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apixaban!A1" display="Apixaban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286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213</v>
      </c>
    </row>
    <row r="4" spans="1:3" x14ac:dyDescent="0.2">
      <c r="B4" s="32" t="s">
        <v>141</v>
      </c>
      <c r="C4" s="32" t="s">
        <v>648</v>
      </c>
    </row>
    <row r="5" spans="1:3" x14ac:dyDescent="0.2">
      <c r="B5" s="32" t="s">
        <v>140</v>
      </c>
    </row>
    <row r="6" spans="1:3" x14ac:dyDescent="0.2">
      <c r="C6" s="47" t="s">
        <v>468</v>
      </c>
    </row>
    <row r="7" spans="1:3" x14ac:dyDescent="0.2">
      <c r="C7" s="32" t="s">
        <v>432</v>
      </c>
    </row>
    <row r="9" spans="1:3" x14ac:dyDescent="0.2">
      <c r="C9" s="47" t="s">
        <v>466</v>
      </c>
    </row>
    <row r="11" spans="1:3" x14ac:dyDescent="0.2">
      <c r="C11" s="47" t="s">
        <v>467</v>
      </c>
    </row>
    <row r="13" spans="1:3" x14ac:dyDescent="0.2">
      <c r="C13" s="47" t="s">
        <v>469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L124"/>
  <sheetViews>
    <sheetView tabSelected="1" zoomScale="190" zoomScaleNormal="190" workbookViewId="0">
      <pane xSplit="2" ySplit="2" topLeftCell="BU56" activePane="bottomRight" state="frozen"/>
      <selection pane="topRight" activeCell="C1" sqref="C1"/>
      <selection pane="bottomLeft" activeCell="A3" sqref="A3"/>
      <selection pane="bottomRight" activeCell="CB70" sqref="CB70"/>
    </sheetView>
  </sheetViews>
  <sheetFormatPr defaultRowHeight="12.75" x14ac:dyDescent="0.2"/>
  <cols>
    <col min="1" max="1" width="5" style="1" bestFit="1" customWidth="1"/>
    <col min="2" max="2" width="25.28515625" style="1" bestFit="1" customWidth="1"/>
    <col min="3" max="21" width="6.5703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5703125" style="28" customWidth="1"/>
    <col min="46" max="46" width="5.42578125" style="28" bestFit="1" customWidth="1"/>
    <col min="47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86" width="7.5703125" style="28" customWidth="1"/>
    <col min="87" max="89" width="5.42578125" style="28" customWidth="1"/>
    <col min="90" max="101" width="6.5703125" style="28" customWidth="1"/>
    <col min="102" max="102" width="7" style="28" bestFit="1" customWidth="1"/>
    <col min="103" max="104" width="6.5703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30" width="7.5703125" style="1" customWidth="1"/>
    <col min="131" max="131" width="8" style="1" customWidth="1"/>
    <col min="132" max="16384" width="9.140625" style="1"/>
  </cols>
  <sheetData>
    <row r="1" spans="1:133" x14ac:dyDescent="0.2">
      <c r="A1" s="14" t="s">
        <v>63</v>
      </c>
    </row>
    <row r="2" spans="1:133" x14ac:dyDescent="0.2">
      <c r="C2" s="28" t="s">
        <v>244</v>
      </c>
      <c r="D2" s="28" t="s">
        <v>243</v>
      </c>
      <c r="E2" s="28" t="s">
        <v>242</v>
      </c>
      <c r="F2" s="28" t="s">
        <v>170</v>
      </c>
      <c r="G2" s="28" t="s">
        <v>169</v>
      </c>
      <c r="H2" s="28" t="s">
        <v>138</v>
      </c>
      <c r="I2" s="28" t="s">
        <v>137</v>
      </c>
      <c r="J2" s="28" t="s">
        <v>136</v>
      </c>
      <c r="K2" s="28" t="s">
        <v>164</v>
      </c>
      <c r="L2" s="28" t="s">
        <v>165</v>
      </c>
      <c r="M2" s="28" t="s">
        <v>207</v>
      </c>
      <c r="N2" s="28" t="s">
        <v>208</v>
      </c>
      <c r="O2" s="28" t="s">
        <v>216</v>
      </c>
      <c r="P2" s="28" t="s">
        <v>229</v>
      </c>
      <c r="Q2" s="28" t="s">
        <v>230</v>
      </c>
      <c r="R2" s="28" t="s">
        <v>231</v>
      </c>
      <c r="S2" s="33" t="s">
        <v>348</v>
      </c>
      <c r="T2" s="33" t="s">
        <v>359</v>
      </c>
      <c r="U2" s="33" t="s">
        <v>360</v>
      </c>
      <c r="V2" s="33" t="s">
        <v>361</v>
      </c>
      <c r="W2" s="33" t="s">
        <v>370</v>
      </c>
      <c r="X2" s="33" t="s">
        <v>371</v>
      </c>
      <c r="Y2" s="49" t="s">
        <v>372</v>
      </c>
      <c r="Z2" s="49" t="s">
        <v>373</v>
      </c>
      <c r="AA2" s="49" t="s">
        <v>399</v>
      </c>
      <c r="AB2" s="49" t="s">
        <v>400</v>
      </c>
      <c r="AC2" s="49" t="s">
        <v>401</v>
      </c>
      <c r="AD2" s="49" t="s">
        <v>402</v>
      </c>
      <c r="AE2" s="33" t="s">
        <v>403</v>
      </c>
      <c r="AF2" s="33" t="s">
        <v>419</v>
      </c>
      <c r="AG2" s="33" t="s">
        <v>420</v>
      </c>
      <c r="AH2" s="33" t="s">
        <v>421</v>
      </c>
      <c r="AI2" s="33" t="s">
        <v>572</v>
      </c>
      <c r="AJ2" s="33" t="s">
        <v>573</v>
      </c>
      <c r="AK2" s="33" t="s">
        <v>574</v>
      </c>
      <c r="AL2" s="33" t="s">
        <v>575</v>
      </c>
      <c r="AM2" s="33" t="s">
        <v>571</v>
      </c>
      <c r="AN2" s="33" t="s">
        <v>576</v>
      </c>
      <c r="AO2" s="33" t="s">
        <v>579</v>
      </c>
      <c r="AP2" s="33" t="s">
        <v>580</v>
      </c>
      <c r="AQ2" s="33" t="s">
        <v>581</v>
      </c>
      <c r="AR2" s="33" t="s">
        <v>582</v>
      </c>
      <c r="AS2" s="33" t="s">
        <v>583</v>
      </c>
      <c r="AT2" s="28" t="s">
        <v>584</v>
      </c>
      <c r="AU2" s="33" t="s">
        <v>587</v>
      </c>
      <c r="AV2" s="33" t="s">
        <v>588</v>
      </c>
      <c r="AW2" s="33" t="s">
        <v>589</v>
      </c>
      <c r="AX2" s="33" t="s">
        <v>590</v>
      </c>
      <c r="AY2" s="33" t="s">
        <v>591</v>
      </c>
      <c r="AZ2" s="33" t="s">
        <v>592</v>
      </c>
      <c r="BA2" s="33" t="s">
        <v>593</v>
      </c>
      <c r="BB2" s="33" t="s">
        <v>594</v>
      </c>
      <c r="BC2" s="33" t="s">
        <v>595</v>
      </c>
      <c r="BD2" s="33" t="s">
        <v>596</v>
      </c>
      <c r="BE2" s="33" t="s">
        <v>597</v>
      </c>
      <c r="BF2" s="33" t="s">
        <v>598</v>
      </c>
      <c r="BG2" s="33" t="s">
        <v>599</v>
      </c>
      <c r="BH2" s="33" t="s">
        <v>600</v>
      </c>
      <c r="BI2" s="33" t="s">
        <v>601</v>
      </c>
      <c r="BJ2" s="33" t="s">
        <v>602</v>
      </c>
      <c r="BK2" s="33" t="s">
        <v>603</v>
      </c>
      <c r="BL2" s="33" t="s">
        <v>604</v>
      </c>
      <c r="BM2" s="33" t="s">
        <v>605</v>
      </c>
      <c r="BN2" s="33" t="s">
        <v>606</v>
      </c>
      <c r="BO2" s="33" t="s">
        <v>607</v>
      </c>
      <c r="BP2" s="33" t="s">
        <v>608</v>
      </c>
      <c r="BQ2" s="33" t="s">
        <v>609</v>
      </c>
      <c r="BR2" s="33" t="s">
        <v>610</v>
      </c>
      <c r="BS2" s="33" t="s">
        <v>586</v>
      </c>
      <c r="BT2" s="33" t="s">
        <v>611</v>
      </c>
      <c r="BU2" s="33" t="s">
        <v>612</v>
      </c>
      <c r="BV2" s="33" t="s">
        <v>613</v>
      </c>
      <c r="BW2" s="33" t="s">
        <v>615</v>
      </c>
      <c r="BX2" s="33" t="s">
        <v>616</v>
      </c>
      <c r="BY2" s="33" t="s">
        <v>617</v>
      </c>
      <c r="BZ2" s="33" t="s">
        <v>618</v>
      </c>
      <c r="CA2" s="33" t="s">
        <v>688</v>
      </c>
      <c r="CB2" s="33" t="s">
        <v>689</v>
      </c>
      <c r="CC2" s="33" t="s">
        <v>690</v>
      </c>
      <c r="CD2" s="33" t="s">
        <v>691</v>
      </c>
      <c r="CE2" s="33" t="s">
        <v>692</v>
      </c>
      <c r="CF2" s="33" t="s">
        <v>693</v>
      </c>
      <c r="CG2" s="33" t="s">
        <v>694</v>
      </c>
      <c r="CH2" s="33" t="s">
        <v>695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A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/>
      <c r="EC2" s="28"/>
    </row>
    <row r="3" spans="1:133" s="44" customFormat="1" x14ac:dyDescent="0.2">
      <c r="B3" s="44" t="s">
        <v>444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/>
      <c r="CD3" s="30"/>
      <c r="CE3" s="30"/>
      <c r="CF3" s="30"/>
      <c r="CG3" s="30"/>
      <c r="CH3" s="30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5" si="2">SUM(G3:J3)</f>
        <v>89</v>
      </c>
      <c r="DD3" s="35">
        <f t="shared" ref="DD3:DD5" si="3">SUM(K3:N3)</f>
        <v>231</v>
      </c>
      <c r="DE3" s="35">
        <f t="shared" ref="DE3:DE5" si="4">SUM(O3:R3)</f>
        <v>441</v>
      </c>
      <c r="DF3" s="50">
        <f t="shared" ref="DF3:DF5" si="5">SUM(S3:V3)</f>
        <v>602</v>
      </c>
      <c r="DG3" s="50">
        <f t="shared" ref="DG3:DG5" si="6">SUM(W3:Z3)</f>
        <v>733</v>
      </c>
      <c r="DH3" s="50">
        <f t="shared" ref="DH3:DH6" si="7">SUM(AA3:AD3)</f>
        <v>917</v>
      </c>
      <c r="DI3" s="30">
        <f t="shared" ref="DI3:DI6" si="8">SUM(AE3:AH3)</f>
        <v>1176</v>
      </c>
      <c r="DJ3"/>
      <c r="DK3"/>
      <c r="DL3"/>
      <c r="DM3"/>
      <c r="DN3"/>
      <c r="DO3" s="35">
        <v>2710</v>
      </c>
      <c r="DP3" s="35">
        <v>2977</v>
      </c>
      <c r="DQ3" s="30">
        <f t="shared" ref="DQ3:DQ10" si="9">SUM(BK3:BN3)</f>
        <v>3157</v>
      </c>
      <c r="DR3" s="35">
        <f t="shared" ref="DR3:DR21" si="10">SUM(BO3:BR3)</f>
        <v>3306</v>
      </c>
      <c r="DS3" s="30">
        <f t="shared" ref="DS3" si="11">SUM(BS3:BV3)</f>
        <v>3464</v>
      </c>
      <c r="DT3" s="30">
        <f t="shared" ref="DT3" si="12">SUM(BW3:BZ3)</f>
        <v>3601</v>
      </c>
      <c r="DU3" s="35">
        <f t="shared" ref="DU3:DV3" si="13">+DT3</f>
        <v>3601</v>
      </c>
      <c r="DV3" s="35">
        <f t="shared" si="13"/>
        <v>3601</v>
      </c>
      <c r="DW3" s="35">
        <f t="shared" ref="DW3" si="14">+DV3</f>
        <v>3601</v>
      </c>
      <c r="DX3" s="35">
        <f t="shared" ref="DX3" si="15">+DW3</f>
        <v>3601</v>
      </c>
      <c r="DY3" s="35">
        <f t="shared" ref="DY3" si="16">+DX3</f>
        <v>3601</v>
      </c>
      <c r="DZ3" s="35">
        <f t="shared" ref="DZ3" si="17">+DY3</f>
        <v>3601</v>
      </c>
      <c r="EA3" s="35">
        <f t="shared" ref="EA3" si="18">+DZ3</f>
        <v>3601</v>
      </c>
    </row>
    <row r="4" spans="1:133" s="25" customFormat="1" x14ac:dyDescent="0.2">
      <c r="B4" s="44" t="s">
        <v>614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/>
      <c r="W4" s="35"/>
      <c r="X4" s="35"/>
      <c r="Y4" s="54"/>
      <c r="Z4" s="54"/>
      <c r="AA4" s="54"/>
      <c r="AB4" s="54"/>
      <c r="AC4" s="54"/>
      <c r="AD4" s="54"/>
      <c r="AE4" s="54"/>
      <c r="AF4" s="35"/>
      <c r="AG4" s="54"/>
      <c r="AH4" s="54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0"/>
      <c r="AU4" s="30"/>
      <c r="AV4" s="30"/>
      <c r="AW4" s="30">
        <v>920</v>
      </c>
      <c r="AX4" s="30">
        <v>1310</v>
      </c>
      <c r="AY4" s="30">
        <v>1127</v>
      </c>
      <c r="AZ4" s="30">
        <v>1195</v>
      </c>
      <c r="BA4" s="30">
        <v>1265</v>
      </c>
      <c r="BB4" s="30">
        <v>1361</v>
      </c>
      <c r="BC4" s="30">
        <v>1511</v>
      </c>
      <c r="BD4" s="30">
        <v>1627</v>
      </c>
      <c r="BE4" s="30">
        <v>1793</v>
      </c>
      <c r="BF4" s="30">
        <v>1804</v>
      </c>
      <c r="BG4" s="30">
        <v>1801</v>
      </c>
      <c r="BH4" s="30">
        <v>1823</v>
      </c>
      <c r="BI4" s="30">
        <v>1817</v>
      </c>
      <c r="BJ4" s="30">
        <v>1763</v>
      </c>
      <c r="BK4" s="30">
        <v>1766</v>
      </c>
      <c r="BL4" s="30">
        <v>1653</v>
      </c>
      <c r="BM4" s="30">
        <v>1780</v>
      </c>
      <c r="BN4" s="30">
        <v>1793</v>
      </c>
      <c r="BO4" s="30">
        <v>1720</v>
      </c>
      <c r="BP4" s="30">
        <v>1910</v>
      </c>
      <c r="BQ4" s="30">
        <v>1905</v>
      </c>
      <c r="BR4" s="30">
        <v>1988</v>
      </c>
      <c r="BS4" s="30">
        <v>1923</v>
      </c>
      <c r="BT4" s="30">
        <v>2063</v>
      </c>
      <c r="BU4" s="30">
        <v>2047</v>
      </c>
      <c r="BV4" s="30">
        <v>2216</v>
      </c>
      <c r="BW4" s="30">
        <v>2202</v>
      </c>
      <c r="BX4" s="30">
        <v>2145</v>
      </c>
      <c r="BY4" s="30">
        <v>2275</v>
      </c>
      <c r="BZ4" s="30">
        <v>2387</v>
      </c>
      <c r="CA4" s="30">
        <v>2078</v>
      </c>
      <c r="CB4" s="30">
        <v>2387</v>
      </c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/>
      <c r="DB4"/>
      <c r="DC4"/>
      <c r="DD4"/>
      <c r="DE4"/>
      <c r="DF4"/>
      <c r="DG4"/>
      <c r="DH4"/>
      <c r="DI4" s="30">
        <f t="shared" si="8"/>
        <v>0</v>
      </c>
      <c r="DJ4"/>
      <c r="DK4"/>
      <c r="DL4"/>
      <c r="DM4"/>
      <c r="DN4"/>
      <c r="DO4" s="30">
        <v>6735</v>
      </c>
      <c r="DP4" s="30">
        <v>7204</v>
      </c>
      <c r="DQ4" s="30">
        <f t="shared" si="9"/>
        <v>6992</v>
      </c>
      <c r="DR4" s="35">
        <f t="shared" si="10"/>
        <v>7523</v>
      </c>
      <c r="DS4" s="30">
        <f t="shared" ref="DS4" si="19">SUM(BS4:BV4)</f>
        <v>8249</v>
      </c>
      <c r="DT4" s="30">
        <f t="shared" ref="DT4" si="20">SUM(BW4:BZ4)</f>
        <v>9009</v>
      </c>
      <c r="DU4" s="35">
        <f>+DT4*1.02</f>
        <v>9189.18</v>
      </c>
      <c r="DV4" s="35">
        <f>+DU4*1.02</f>
        <v>9372.963600000001</v>
      </c>
      <c r="DW4" s="35">
        <f t="shared" ref="DW4:EA4" si="21">+DV4*1.02</f>
        <v>9560.422872000001</v>
      </c>
      <c r="DX4" s="35">
        <f t="shared" si="21"/>
        <v>9751.6313294400006</v>
      </c>
      <c r="DY4" s="35">
        <f t="shared" si="21"/>
        <v>9946.6639560288004</v>
      </c>
      <c r="DZ4" s="35">
        <f t="shared" si="21"/>
        <v>10145.597235149377</v>
      </c>
      <c r="EA4" s="35">
        <f t="shared" si="21"/>
        <v>10348.509179852364</v>
      </c>
    </row>
    <row r="5" spans="1:133" s="25" customFormat="1" x14ac:dyDescent="0.2">
      <c r="B5" s="44" t="s">
        <v>461</v>
      </c>
      <c r="C5" s="30"/>
      <c r="D5" s="30"/>
      <c r="E5" s="30"/>
      <c r="F5" s="30"/>
      <c r="G5" s="30"/>
      <c r="H5" s="30"/>
      <c r="I5" s="30">
        <v>11</v>
      </c>
      <c r="J5" s="30">
        <v>14</v>
      </c>
      <c r="K5" s="30">
        <v>21</v>
      </c>
      <c r="L5" s="30">
        <v>35</v>
      </c>
      <c r="M5" s="30">
        <v>46</v>
      </c>
      <c r="N5" s="30">
        <v>56</v>
      </c>
      <c r="O5" s="30">
        <v>66</v>
      </c>
      <c r="P5" s="30">
        <v>76</v>
      </c>
      <c r="Q5" s="30">
        <v>82</v>
      </c>
      <c r="R5" s="30">
        <v>86</v>
      </c>
      <c r="S5" s="30">
        <v>88</v>
      </c>
      <c r="T5" s="30">
        <v>107</v>
      </c>
      <c r="U5" s="30">
        <v>107</v>
      </c>
      <c r="V5" s="30">
        <v>119</v>
      </c>
      <c r="W5" s="30">
        <v>131</v>
      </c>
      <c r="X5" s="35">
        <v>132</v>
      </c>
      <c r="Y5" s="54">
        <v>144</v>
      </c>
      <c r="Z5" s="54">
        <v>169</v>
      </c>
      <c r="AA5" s="54">
        <v>172</v>
      </c>
      <c r="AB5" s="54">
        <v>193</v>
      </c>
      <c r="AC5" s="54">
        <v>211</v>
      </c>
      <c r="AD5" s="54">
        <v>227</v>
      </c>
      <c r="AE5" s="35">
        <v>231</v>
      </c>
      <c r="AF5" s="35">
        <v>244</v>
      </c>
      <c r="AG5" s="54">
        <v>263</v>
      </c>
      <c r="AH5" s="54">
        <f>1019-AG5-AF5-AE5</f>
        <v>281</v>
      </c>
      <c r="AI5" s="35">
        <v>287</v>
      </c>
      <c r="AJ5" s="35">
        <v>312</v>
      </c>
      <c r="AK5" s="35">
        <v>316</v>
      </c>
      <c r="AL5" s="35"/>
      <c r="AM5" s="35"/>
      <c r="AN5" s="35">
        <v>368</v>
      </c>
      <c r="AO5" s="35"/>
      <c r="AP5" s="35"/>
      <c r="AQ5" s="35"/>
      <c r="AR5" s="35"/>
      <c r="AS5" s="35"/>
      <c r="AT5" s="30"/>
      <c r="AU5" s="30"/>
      <c r="AV5" s="30"/>
      <c r="AW5" s="30">
        <v>472</v>
      </c>
      <c r="AX5" s="30">
        <v>494</v>
      </c>
      <c r="AY5" s="30">
        <v>463</v>
      </c>
      <c r="AZ5" s="30">
        <v>506</v>
      </c>
      <c r="BA5" s="30">
        <v>509</v>
      </c>
      <c r="BB5" s="30">
        <v>527</v>
      </c>
      <c r="BC5" s="30">
        <v>438</v>
      </c>
      <c r="BD5" s="30">
        <v>535</v>
      </c>
      <c r="BE5" s="30">
        <v>491</v>
      </c>
      <c r="BF5" s="30">
        <v>536</v>
      </c>
      <c r="BG5" s="30">
        <v>459</v>
      </c>
      <c r="BH5" s="30">
        <v>544</v>
      </c>
      <c r="BI5" s="30">
        <v>558</v>
      </c>
      <c r="BJ5" s="30">
        <v>549</v>
      </c>
      <c r="BK5" s="30">
        <v>521</v>
      </c>
      <c r="BL5" s="30">
        <v>511</v>
      </c>
      <c r="BM5" s="30">
        <v>544</v>
      </c>
      <c r="BN5" s="30">
        <v>564</v>
      </c>
      <c r="BO5" s="30">
        <v>470</v>
      </c>
      <c r="BP5" s="30">
        <v>541</v>
      </c>
      <c r="BQ5" s="30">
        <v>551</v>
      </c>
      <c r="BR5" s="30">
        <v>555</v>
      </c>
      <c r="BS5" s="30">
        <v>483</v>
      </c>
      <c r="BT5" s="30">
        <v>544</v>
      </c>
      <c r="BU5" s="30">
        <v>560</v>
      </c>
      <c r="BV5" s="30">
        <v>578</v>
      </c>
      <c r="BW5" s="30">
        <v>429</v>
      </c>
      <c r="BX5" s="30">
        <v>458</v>
      </c>
      <c r="BY5" s="30">
        <v>517</v>
      </c>
      <c r="BZ5" s="30">
        <v>526</v>
      </c>
      <c r="CA5" s="30">
        <v>374</v>
      </c>
      <c r="CB5" s="30">
        <v>424</v>
      </c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>
        <f t="shared" si="2"/>
        <v>25</v>
      </c>
      <c r="DD5" s="30">
        <f t="shared" si="3"/>
        <v>158</v>
      </c>
      <c r="DE5" s="30">
        <f t="shared" si="4"/>
        <v>310</v>
      </c>
      <c r="DF5" s="50">
        <f t="shared" si="5"/>
        <v>421</v>
      </c>
      <c r="DG5" s="50">
        <f t="shared" si="6"/>
        <v>576</v>
      </c>
      <c r="DH5" s="50">
        <f t="shared" si="7"/>
        <v>803</v>
      </c>
      <c r="DI5" s="30">
        <f t="shared" si="8"/>
        <v>1019</v>
      </c>
      <c r="DJ5"/>
      <c r="DK5"/>
      <c r="DL5"/>
      <c r="DM5"/>
      <c r="DN5"/>
      <c r="DO5" s="30">
        <v>2000</v>
      </c>
      <c r="DP5" s="30">
        <v>2110</v>
      </c>
      <c r="DQ5" s="30">
        <f t="shared" si="9"/>
        <v>2140</v>
      </c>
      <c r="DR5" s="35">
        <f t="shared" si="10"/>
        <v>2117</v>
      </c>
      <c r="DS5" s="30">
        <f t="shared" ref="DS5" si="22">SUM(BS5:BV5)</f>
        <v>2165</v>
      </c>
      <c r="DT5" s="30">
        <f t="shared" ref="DT5" si="23">SUM(BW5:BZ5)</f>
        <v>1930</v>
      </c>
      <c r="DU5" s="30">
        <f>+DT5*0.5</f>
        <v>965</v>
      </c>
      <c r="DV5" s="30">
        <f>+DU5*0.5</f>
        <v>482.5</v>
      </c>
      <c r="DW5" s="30">
        <f t="shared" ref="DW5:EA5" si="24">+DV5*0.5</f>
        <v>241.25</v>
      </c>
      <c r="DX5" s="30">
        <f t="shared" si="24"/>
        <v>120.625</v>
      </c>
      <c r="DY5" s="30">
        <f t="shared" si="24"/>
        <v>60.3125</v>
      </c>
      <c r="DZ5" s="30">
        <f t="shared" si="24"/>
        <v>30.15625</v>
      </c>
      <c r="EA5" s="30">
        <f t="shared" si="24"/>
        <v>15.078125</v>
      </c>
    </row>
    <row r="6" spans="1:133" s="25" customFormat="1" x14ac:dyDescent="0.2">
      <c r="B6" s="44" t="s">
        <v>450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5"/>
      <c r="T6" s="35"/>
      <c r="U6" s="35"/>
      <c r="V6" s="35" t="s">
        <v>362</v>
      </c>
      <c r="W6" s="35" t="s">
        <v>362</v>
      </c>
      <c r="X6" s="35" t="s">
        <v>362</v>
      </c>
      <c r="Y6" s="54" t="s">
        <v>362</v>
      </c>
      <c r="Z6" s="54" t="s">
        <v>362</v>
      </c>
      <c r="AA6" s="54"/>
      <c r="AB6" s="54">
        <v>95</v>
      </c>
      <c r="AC6" s="54">
        <v>121</v>
      </c>
      <c r="AD6" s="54">
        <v>144</v>
      </c>
      <c r="AE6" s="35">
        <v>154</v>
      </c>
      <c r="AF6" s="35">
        <v>162</v>
      </c>
      <c r="AG6" s="54">
        <v>179</v>
      </c>
      <c r="AH6" s="54">
        <f>706-AG6-AF6-AE6</f>
        <v>211</v>
      </c>
      <c r="AI6" s="35">
        <v>229</v>
      </c>
      <c r="AJ6" s="35">
        <v>233</v>
      </c>
      <c r="AK6" s="35">
        <v>238</v>
      </c>
      <c r="AL6" s="35"/>
      <c r="AM6" s="35"/>
      <c r="AN6" s="35">
        <v>321</v>
      </c>
      <c r="AO6" s="35"/>
      <c r="AP6" s="35"/>
      <c r="AQ6" s="35"/>
      <c r="AR6" s="35"/>
      <c r="AS6" s="35"/>
      <c r="AT6" s="30"/>
      <c r="AU6" s="30"/>
      <c r="AV6" s="30"/>
      <c r="AW6" s="30">
        <v>285</v>
      </c>
      <c r="AX6" s="30">
        <v>264</v>
      </c>
      <c r="AY6" s="30">
        <v>330</v>
      </c>
      <c r="AZ6" s="30">
        <v>322</v>
      </c>
      <c r="BA6" s="30">
        <v>323</v>
      </c>
      <c r="BB6" s="30">
        <v>269</v>
      </c>
      <c r="BC6" s="30">
        <v>249</v>
      </c>
      <c r="BD6" s="30">
        <v>315</v>
      </c>
      <c r="BE6" s="30">
        <v>382</v>
      </c>
      <c r="BF6" s="30">
        <v>384</v>
      </c>
      <c r="BG6" s="30">
        <v>384</v>
      </c>
      <c r="BH6" s="30">
        <v>367</v>
      </c>
      <c r="BI6" s="30">
        <v>353</v>
      </c>
      <c r="BJ6" s="30">
        <v>385</v>
      </c>
      <c r="BK6" s="30">
        <v>396</v>
      </c>
      <c r="BL6" s="30">
        <v>369</v>
      </c>
      <c r="BM6" s="30">
        <v>446</v>
      </c>
      <c r="BN6" s="30">
        <v>471</v>
      </c>
      <c r="BO6" s="30">
        <v>456</v>
      </c>
      <c r="BP6" s="30">
        <v>510</v>
      </c>
      <c r="BQ6" s="30">
        <v>515</v>
      </c>
      <c r="BR6" s="30">
        <v>545</v>
      </c>
      <c r="BS6" s="30">
        <v>515</v>
      </c>
      <c r="BT6" s="30">
        <v>525</v>
      </c>
      <c r="BU6" s="30">
        <v>523</v>
      </c>
      <c r="BV6" s="30">
        <v>568</v>
      </c>
      <c r="BW6" s="30">
        <v>508</v>
      </c>
      <c r="BX6" s="30">
        <v>585</v>
      </c>
      <c r="BY6" s="30">
        <v>579</v>
      </c>
      <c r="BZ6" s="30">
        <v>566</v>
      </c>
      <c r="CA6" s="30">
        <v>583</v>
      </c>
      <c r="CB6" s="30">
        <v>630</v>
      </c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54" t="s">
        <v>362</v>
      </c>
      <c r="DG6" s="54" t="s">
        <v>362</v>
      </c>
      <c r="DH6" s="50">
        <f t="shared" si="7"/>
        <v>360</v>
      </c>
      <c r="DI6" s="30">
        <f t="shared" si="8"/>
        <v>706</v>
      </c>
      <c r="DJ6"/>
      <c r="DK6"/>
      <c r="DL6"/>
      <c r="DM6"/>
      <c r="DN6"/>
      <c r="DO6" s="30">
        <v>1330</v>
      </c>
      <c r="DP6" s="30">
        <v>1489</v>
      </c>
      <c r="DQ6" s="30">
        <f t="shared" si="9"/>
        <v>1682</v>
      </c>
      <c r="DR6" s="35">
        <f t="shared" si="10"/>
        <v>2026</v>
      </c>
      <c r="DS6" s="30">
        <f t="shared" ref="DS6" si="25">SUM(BS6:BV6)</f>
        <v>2131</v>
      </c>
      <c r="DT6" s="30">
        <f t="shared" ref="DT6" si="26">SUM(BW6:BZ6)</f>
        <v>2238</v>
      </c>
      <c r="DU6" s="30">
        <f t="shared" ref="DU6:DV6" si="27">+DT6</f>
        <v>2238</v>
      </c>
      <c r="DV6" s="30">
        <f t="shared" si="27"/>
        <v>2238</v>
      </c>
      <c r="DW6" s="30">
        <f t="shared" ref="DW6" si="28">+DV6</f>
        <v>2238</v>
      </c>
      <c r="DX6" s="30">
        <f t="shared" ref="DX6" si="29">+DW6</f>
        <v>2238</v>
      </c>
      <c r="DY6" s="30">
        <f t="shared" ref="DY6" si="30">+DX6</f>
        <v>2238</v>
      </c>
      <c r="DZ6" s="30">
        <f t="shared" ref="DZ6" si="31">+DY6</f>
        <v>2238</v>
      </c>
      <c r="EA6" s="30">
        <f t="shared" ref="EA6" si="32">+DZ6</f>
        <v>2238</v>
      </c>
    </row>
    <row r="7" spans="1:133" s="25" customFormat="1" x14ac:dyDescent="0.2">
      <c r="B7" s="44" t="s">
        <v>619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 s="30">
        <v>0</v>
      </c>
      <c r="DP7" s="30">
        <v>322</v>
      </c>
      <c r="DQ7" s="30">
        <f t="shared" si="9"/>
        <v>3070</v>
      </c>
      <c r="DR7" s="35">
        <f t="shared" si="10"/>
        <v>3332</v>
      </c>
      <c r="DS7" s="30">
        <f t="shared" ref="DS7" si="33">SUM(BS7:BV7)</f>
        <v>3497</v>
      </c>
      <c r="DT7" s="30">
        <f t="shared" ref="DT7" si="34">SUM(BW7:BZ7)</f>
        <v>3441</v>
      </c>
      <c r="DU7" s="30">
        <f>+DT7*0.7</f>
        <v>2408.6999999999998</v>
      </c>
      <c r="DV7" s="30">
        <f>+DU7*0.7</f>
        <v>1686.0899999999997</v>
      </c>
      <c r="DW7" s="25">
        <f>+DV7*0.5</f>
        <v>843.04499999999985</v>
      </c>
      <c r="DX7" s="25">
        <f>+DW7*0.2</f>
        <v>168.60899999999998</v>
      </c>
      <c r="DY7" s="25">
        <f t="shared" ref="DY7:EA7" si="35">+DX7*0.2</f>
        <v>33.721799999999995</v>
      </c>
      <c r="DZ7" s="25">
        <f t="shared" si="35"/>
        <v>6.7443599999999995</v>
      </c>
      <c r="EA7" s="25">
        <f t="shared" si="35"/>
        <v>1.3488720000000001</v>
      </c>
    </row>
    <row r="8" spans="1:133" s="25" customFormat="1" x14ac:dyDescent="0.2">
      <c r="B8" s="44" t="s">
        <v>451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5" t="s">
        <v>362</v>
      </c>
      <c r="W8" s="35" t="s">
        <v>362</v>
      </c>
      <c r="X8" s="35" t="s">
        <v>362</v>
      </c>
      <c r="Y8" s="54" t="s">
        <v>362</v>
      </c>
      <c r="Z8" s="54" t="s">
        <v>362</v>
      </c>
      <c r="AA8" s="54" t="s">
        <v>362</v>
      </c>
      <c r="AB8" s="54" t="s">
        <v>362</v>
      </c>
      <c r="AC8" s="54" t="s">
        <v>362</v>
      </c>
      <c r="AD8" s="54" t="s">
        <v>362</v>
      </c>
      <c r="AE8" s="54" t="s">
        <v>362</v>
      </c>
      <c r="AF8" s="35">
        <v>1</v>
      </c>
      <c r="AG8" s="54">
        <v>0</v>
      </c>
      <c r="AH8" s="54">
        <v>1</v>
      </c>
      <c r="AI8" s="35">
        <v>22</v>
      </c>
      <c r="AJ8" s="35">
        <v>12</v>
      </c>
      <c r="AK8" s="35">
        <v>41</v>
      </c>
      <c r="AL8" s="35"/>
      <c r="AM8" s="35"/>
      <c r="AN8" s="35">
        <v>171</v>
      </c>
      <c r="AO8" s="35"/>
      <c r="AP8" s="35"/>
      <c r="AQ8" s="35"/>
      <c r="AR8" s="35"/>
      <c r="AS8" s="35"/>
      <c r="AT8" s="30"/>
      <c r="AU8" s="30"/>
      <c r="AV8" s="30"/>
      <c r="AW8" s="30">
        <v>884</v>
      </c>
      <c r="AX8" s="30">
        <v>948</v>
      </c>
      <c r="AY8" s="30">
        <v>1101</v>
      </c>
      <c r="AZ8" s="30">
        <v>1176</v>
      </c>
      <c r="BA8" s="30">
        <v>1232</v>
      </c>
      <c r="BB8" s="30">
        <v>1363</v>
      </c>
      <c r="BC8" s="30">
        <v>1506</v>
      </c>
      <c r="BD8" s="30">
        <v>1650</v>
      </c>
      <c r="BE8" s="30">
        <v>1577</v>
      </c>
      <c r="BF8" s="30">
        <v>1705</v>
      </c>
      <c r="BG8" s="30">
        <v>1925</v>
      </c>
      <c r="BH8" s="30">
        <v>2042</v>
      </c>
      <c r="BI8" s="30">
        <v>1928</v>
      </c>
      <c r="BJ8" s="30">
        <v>2034</v>
      </c>
      <c r="BK8" s="30">
        <v>2641</v>
      </c>
      <c r="BL8" s="30">
        <v>2163</v>
      </c>
      <c r="BM8" s="30">
        <v>2095</v>
      </c>
      <c r="BN8" s="30">
        <v>2269</v>
      </c>
      <c r="BO8" s="30">
        <v>2886</v>
      </c>
      <c r="BP8" s="30">
        <v>2792</v>
      </c>
      <c r="BQ8" s="30">
        <v>2413</v>
      </c>
      <c r="BR8" s="30">
        <v>2671</v>
      </c>
      <c r="BS8" s="30">
        <v>3211</v>
      </c>
      <c r="BT8" s="30">
        <v>3235</v>
      </c>
      <c r="BU8" s="30">
        <v>2655</v>
      </c>
      <c r="BV8" s="30">
        <v>2688</v>
      </c>
      <c r="BW8" s="30">
        <v>3423</v>
      </c>
      <c r="BX8" s="30">
        <v>3204</v>
      </c>
      <c r="BY8" s="30">
        <v>2705</v>
      </c>
      <c r="BZ8" s="30">
        <v>2874</v>
      </c>
      <c r="CA8" s="30">
        <v>3720</v>
      </c>
      <c r="CB8" s="30">
        <v>3416</v>
      </c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/>
      <c r="DC8"/>
      <c r="DD8"/>
      <c r="DE8"/>
      <c r="DF8"/>
      <c r="DG8"/>
      <c r="DH8"/>
      <c r="DI8"/>
      <c r="DJ8"/>
      <c r="DK8"/>
      <c r="DL8"/>
      <c r="DM8"/>
      <c r="DN8"/>
      <c r="DO8" s="30">
        <v>6438</v>
      </c>
      <c r="DP8" s="30">
        <v>7929</v>
      </c>
      <c r="DQ8" s="30">
        <f t="shared" si="9"/>
        <v>9168</v>
      </c>
      <c r="DR8" s="35">
        <f t="shared" si="10"/>
        <v>10762</v>
      </c>
      <c r="DS8" s="30">
        <f t="shared" ref="DS8" si="36">SUM(BS8:BV8)</f>
        <v>11789</v>
      </c>
      <c r="DT8" s="30">
        <f t="shared" ref="DT8" si="37">SUM(BW8:BZ8)</f>
        <v>12206</v>
      </c>
      <c r="DU8" s="35">
        <f>+DT8*1.03</f>
        <v>12572.18</v>
      </c>
      <c r="DV8" s="35">
        <f t="shared" ref="DV8:DY8" si="38">+DU8*1.03</f>
        <v>12949.3454</v>
      </c>
      <c r="DW8" s="35">
        <f t="shared" si="38"/>
        <v>13337.825762</v>
      </c>
      <c r="DX8" s="35">
        <f t="shared" si="38"/>
        <v>13737.960534860002</v>
      </c>
      <c r="DY8" s="35">
        <f t="shared" si="38"/>
        <v>14150.099350905803</v>
      </c>
      <c r="DZ8" s="25">
        <f>+DY8*0.5</f>
        <v>7075.0496754529013</v>
      </c>
      <c r="EA8" s="25">
        <f>+DZ8*0.1</f>
        <v>707.50496754529013</v>
      </c>
    </row>
    <row r="9" spans="1:133" s="25" customFormat="1" x14ac:dyDescent="0.2">
      <c r="B9" s="44" t="s">
        <v>638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41</v>
      </c>
      <c r="AX9" s="30">
        <v>47</v>
      </c>
      <c r="AY9" s="30">
        <v>53</v>
      </c>
      <c r="AZ9" s="30">
        <v>55</v>
      </c>
      <c r="BA9" s="30">
        <v>60</v>
      </c>
      <c r="BB9" s="30">
        <v>63</v>
      </c>
      <c r="BC9" s="30">
        <v>55</v>
      </c>
      <c r="BD9" s="30">
        <v>64</v>
      </c>
      <c r="BE9" s="30">
        <v>59</v>
      </c>
      <c r="BF9" s="30">
        <v>69</v>
      </c>
      <c r="BG9" s="30">
        <v>83</v>
      </c>
      <c r="BH9" s="30">
        <v>91</v>
      </c>
      <c r="BI9" s="30">
        <v>89</v>
      </c>
      <c r="BJ9" s="30">
        <v>94</v>
      </c>
      <c r="BK9" s="30">
        <v>97</v>
      </c>
      <c r="BL9" s="30">
        <v>97</v>
      </c>
      <c r="BM9" s="30">
        <v>96</v>
      </c>
      <c r="BN9" s="30">
        <v>91</v>
      </c>
      <c r="BO9" s="30">
        <v>85</v>
      </c>
      <c r="BP9" s="30">
        <v>86</v>
      </c>
      <c r="BQ9" s="30">
        <v>82</v>
      </c>
      <c r="BR9" s="30">
        <v>81</v>
      </c>
      <c r="BS9" s="30">
        <v>75</v>
      </c>
      <c r="BT9" s="30">
        <v>77</v>
      </c>
      <c r="BU9" s="30">
        <v>73</v>
      </c>
      <c r="BV9" s="30">
        <v>71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 s="30">
        <v>247</v>
      </c>
      <c r="DP9" s="30">
        <v>357</v>
      </c>
      <c r="DQ9" s="30">
        <f t="shared" si="9"/>
        <v>381</v>
      </c>
      <c r="DR9" s="35">
        <f t="shared" si="10"/>
        <v>334</v>
      </c>
      <c r="DS9" s="30">
        <f t="shared" ref="DS9" si="39">SUM(BS9:BV9)</f>
        <v>296</v>
      </c>
      <c r="DT9" s="30">
        <f t="shared" ref="DT9" si="40">SUM(BW9:BZ9)</f>
        <v>0</v>
      </c>
      <c r="DU9" s="30">
        <f>+DT9</f>
        <v>0</v>
      </c>
      <c r="DV9" s="30">
        <f t="shared" ref="DV9:EA9" si="41">+DU9</f>
        <v>0</v>
      </c>
      <c r="DW9" s="30">
        <f t="shared" si="41"/>
        <v>0</v>
      </c>
      <c r="DX9" s="30">
        <f t="shared" si="41"/>
        <v>0</v>
      </c>
      <c r="DY9" s="30">
        <f t="shared" si="41"/>
        <v>0</v>
      </c>
      <c r="DZ9" s="30">
        <f t="shared" si="41"/>
        <v>0</v>
      </c>
      <c r="EA9" s="30">
        <f t="shared" si="41"/>
        <v>0</v>
      </c>
    </row>
    <row r="10" spans="1:133" s="25" customFormat="1" x14ac:dyDescent="0.2">
      <c r="B10" s="44" t="s">
        <v>620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5"/>
      <c r="W10" s="35"/>
      <c r="X10" s="35"/>
      <c r="Y10" s="54"/>
      <c r="Z10" s="54"/>
      <c r="AA10" s="54"/>
      <c r="AB10" s="54"/>
      <c r="AC10" s="54"/>
      <c r="AD10" s="54"/>
      <c r="AE10" s="54"/>
      <c r="AF10" s="35"/>
      <c r="AG10" s="54"/>
      <c r="AH10" s="54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0"/>
      <c r="AU10" s="30"/>
      <c r="AV10" s="30"/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1299</v>
      </c>
      <c r="BK10" s="30">
        <v>2915</v>
      </c>
      <c r="BL10" s="30">
        <v>2884</v>
      </c>
      <c r="BM10" s="30">
        <v>3027</v>
      </c>
      <c r="BN10" s="30">
        <v>3280</v>
      </c>
      <c r="BO10" s="30">
        <v>2944</v>
      </c>
      <c r="BP10" s="30">
        <v>3202</v>
      </c>
      <c r="BQ10" s="30">
        <v>3347</v>
      </c>
      <c r="BR10" s="30">
        <v>3328</v>
      </c>
      <c r="BS10" s="30">
        <v>2797</v>
      </c>
      <c r="BT10" s="30">
        <v>2501</v>
      </c>
      <c r="BU10" s="30">
        <v>2420</v>
      </c>
      <c r="BV10" s="30">
        <v>2260</v>
      </c>
      <c r="BW10" s="30">
        <v>1750</v>
      </c>
      <c r="BX10" s="30">
        <v>1468</v>
      </c>
      <c r="BY10" s="30">
        <v>1429</v>
      </c>
      <c r="BZ10" s="30">
        <v>1450</v>
      </c>
      <c r="CA10" s="30">
        <v>1669</v>
      </c>
      <c r="CB10" s="30">
        <v>1353</v>
      </c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1299</v>
      </c>
      <c r="DQ10" s="30">
        <f t="shared" si="9"/>
        <v>12106</v>
      </c>
      <c r="DR10" s="35">
        <f t="shared" si="10"/>
        <v>12821</v>
      </c>
      <c r="DS10" s="30">
        <f t="shared" ref="DS10" si="42">SUM(BS10:BV10)</f>
        <v>9978</v>
      </c>
      <c r="DT10" s="30">
        <f t="shared" ref="DT10" si="43">SUM(BW10:BZ10)</f>
        <v>6097</v>
      </c>
      <c r="DU10" s="30">
        <f>+DT10*0.5</f>
        <v>3048.5</v>
      </c>
      <c r="DV10" s="35">
        <f>+DU10*0.2</f>
        <v>609.70000000000005</v>
      </c>
      <c r="DW10" s="35">
        <f t="shared" ref="DW10:EA10" si="44">+DV10*0.2</f>
        <v>121.94000000000001</v>
      </c>
      <c r="DX10" s="35">
        <f t="shared" si="44"/>
        <v>24.388000000000005</v>
      </c>
      <c r="DY10" s="35">
        <f t="shared" si="44"/>
        <v>4.877600000000001</v>
      </c>
      <c r="DZ10" s="35">
        <f t="shared" si="44"/>
        <v>0.97552000000000028</v>
      </c>
      <c r="EA10" s="35">
        <f t="shared" si="44"/>
        <v>0.19510400000000006</v>
      </c>
    </row>
    <row r="11" spans="1:133" s="25" customFormat="1" x14ac:dyDescent="0.2">
      <c r="B11" s="44" t="s">
        <v>621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5"/>
      <c r="W11" s="35"/>
      <c r="X11" s="35"/>
      <c r="Y11" s="54"/>
      <c r="Z11" s="54"/>
      <c r="AA11" s="54"/>
      <c r="AB11" s="54"/>
      <c r="AC11" s="54"/>
      <c r="AD11" s="54"/>
      <c r="AE11" s="54"/>
      <c r="AF11" s="35"/>
      <c r="AG11" s="54"/>
      <c r="AH11" s="5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0"/>
      <c r="AU11" s="30"/>
      <c r="AV11" s="30"/>
      <c r="AW11" s="30">
        <v>550</v>
      </c>
      <c r="AX11" s="30">
        <v>581</v>
      </c>
      <c r="AY11" s="30">
        <v>499</v>
      </c>
      <c r="AZ11" s="30">
        <v>479</v>
      </c>
      <c r="BA11" s="30">
        <v>539</v>
      </c>
      <c r="BB11" s="30">
        <v>595</v>
      </c>
      <c r="BC11" s="30">
        <v>405</v>
      </c>
      <c r="BD11" s="30">
        <v>421</v>
      </c>
      <c r="BE11" s="30">
        <v>539</v>
      </c>
      <c r="BF11" s="30">
        <v>579</v>
      </c>
      <c r="BG11" s="30">
        <v>487</v>
      </c>
      <c r="BH11" s="30">
        <v>481</v>
      </c>
      <c r="BI11" s="30">
        <v>350</v>
      </c>
      <c r="BJ11" s="30">
        <v>356</v>
      </c>
      <c r="BK11" s="30">
        <v>418</v>
      </c>
      <c r="BL11" s="30">
        <v>331</v>
      </c>
      <c r="BM11" s="30">
        <v>287</v>
      </c>
      <c r="BN11" s="30">
        <v>448</v>
      </c>
      <c r="BO11" s="30">
        <v>506</v>
      </c>
      <c r="BP11" s="30">
        <v>473</v>
      </c>
      <c r="BQ11" s="30">
        <v>339</v>
      </c>
      <c r="BR11" s="30">
        <v>441</v>
      </c>
      <c r="BS11" s="30">
        <v>462</v>
      </c>
      <c r="BT11" s="30">
        <v>435</v>
      </c>
      <c r="BU11" s="30">
        <v>441</v>
      </c>
      <c r="BV11" s="30">
        <v>411</v>
      </c>
      <c r="BW11" s="30">
        <v>467</v>
      </c>
      <c r="BX11" s="30">
        <v>472</v>
      </c>
      <c r="BY11" s="30">
        <v>476</v>
      </c>
      <c r="BZ11" s="30">
        <v>480</v>
      </c>
      <c r="CA11" s="30">
        <v>228</v>
      </c>
      <c r="CB11" s="30">
        <v>222</v>
      </c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54"/>
      <c r="DG11" s="50"/>
      <c r="DH11" s="54"/>
      <c r="DI11" s="35"/>
      <c r="DJ11" s="66"/>
      <c r="DK11" s="66"/>
      <c r="DL11" s="35"/>
      <c r="DM11" s="35"/>
      <c r="DN11" s="30"/>
      <c r="DO11" s="30">
        <v>2357</v>
      </c>
      <c r="DP11" s="30">
        <v>1674</v>
      </c>
      <c r="DQ11" s="30">
        <f t="shared" ref="DQ11:DQ24" si="45">SUM(BK11:BN11)</f>
        <v>1484</v>
      </c>
      <c r="DR11" s="35">
        <f t="shared" si="10"/>
        <v>1759</v>
      </c>
      <c r="DS11" s="30">
        <f t="shared" ref="DS11:DS23" si="46">SUM(BS11:BV11)</f>
        <v>1749</v>
      </c>
      <c r="DT11" s="30">
        <f t="shared" ref="DT11:DT17" si="47">SUM(BW11:BZ11)</f>
        <v>1895</v>
      </c>
      <c r="DU11" s="30">
        <f t="shared" ref="DU11:EA11" si="48">+DT11*0.95</f>
        <v>1800.25</v>
      </c>
      <c r="DV11" s="30">
        <f t="shared" si="48"/>
        <v>1710.2375</v>
      </c>
      <c r="DW11" s="30">
        <f t="shared" si="48"/>
        <v>1624.7256249999998</v>
      </c>
      <c r="DX11" s="30">
        <f t="shared" si="48"/>
        <v>1543.4893437499998</v>
      </c>
      <c r="DY11" s="30">
        <f t="shared" si="48"/>
        <v>1466.3148765624996</v>
      </c>
      <c r="DZ11" s="30">
        <f t="shared" si="48"/>
        <v>1392.9991327343746</v>
      </c>
      <c r="EA11" s="30">
        <f t="shared" si="48"/>
        <v>1323.3491760976558</v>
      </c>
    </row>
    <row r="12" spans="1:133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8</v>
      </c>
      <c r="BL12" s="30">
        <v>55</v>
      </c>
      <c r="BM12" s="30">
        <v>96</v>
      </c>
      <c r="BN12" s="30">
        <v>115</v>
      </c>
      <c r="BO12" s="30">
        <v>112</v>
      </c>
      <c r="BP12" s="30">
        <v>128</v>
      </c>
      <c r="BQ12" s="30">
        <v>160</v>
      </c>
      <c r="BR12" s="30">
        <v>151</v>
      </c>
      <c r="BS12" s="30">
        <v>156</v>
      </c>
      <c r="BT12" s="30">
        <v>172</v>
      </c>
      <c r="BU12" s="30">
        <v>190</v>
      </c>
      <c r="BV12" s="30">
        <v>199</v>
      </c>
      <c r="BW12" s="30">
        <v>206</v>
      </c>
      <c r="BX12" s="30">
        <v>234</v>
      </c>
      <c r="BY12" s="30">
        <v>248</v>
      </c>
      <c r="BZ12" s="30">
        <v>320</v>
      </c>
      <c r="CA12" s="30">
        <v>354</v>
      </c>
      <c r="CB12" s="30">
        <v>425</v>
      </c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/>
      <c r="DM12" s="35"/>
      <c r="DN12" s="30"/>
      <c r="DO12" s="30">
        <v>0</v>
      </c>
      <c r="DP12" s="30">
        <v>0</v>
      </c>
      <c r="DQ12" s="30">
        <f t="shared" si="45"/>
        <v>274</v>
      </c>
      <c r="DR12" s="35">
        <f t="shared" si="10"/>
        <v>551</v>
      </c>
      <c r="DS12" s="30">
        <f t="shared" si="46"/>
        <v>717</v>
      </c>
      <c r="DT12" s="30">
        <f t="shared" si="47"/>
        <v>1008</v>
      </c>
      <c r="DU12" s="30">
        <f>+DT12*1.1</f>
        <v>1108.8000000000002</v>
      </c>
      <c r="DV12" s="30">
        <f t="shared" ref="DV12:DW12" si="49">+DU12*1.1</f>
        <v>1219.6800000000003</v>
      </c>
      <c r="DW12" s="30">
        <f t="shared" si="49"/>
        <v>1341.6480000000004</v>
      </c>
      <c r="DX12" s="35">
        <f>+DW12*1.07</f>
        <v>1435.5633600000006</v>
      </c>
      <c r="DY12" s="35">
        <f t="shared" ref="DY12:DZ12" si="50">+DX12*1.07</f>
        <v>1536.0527952000007</v>
      </c>
      <c r="DZ12" s="35">
        <f t="shared" si="50"/>
        <v>1643.5764908640008</v>
      </c>
      <c r="EA12" s="25">
        <f>+DZ12*1.01</f>
        <v>1660.0122557726409</v>
      </c>
    </row>
    <row r="13" spans="1:133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24</v>
      </c>
      <c r="BQ13" s="30">
        <v>71</v>
      </c>
      <c r="BR13" s="30">
        <v>69</v>
      </c>
      <c r="BS13" s="30">
        <v>67</v>
      </c>
      <c r="BT13" s="30">
        <v>89</v>
      </c>
      <c r="BU13" s="30">
        <v>107</v>
      </c>
      <c r="BV13" s="30">
        <v>125</v>
      </c>
      <c r="BW13" s="30">
        <v>147</v>
      </c>
      <c r="BX13" s="30">
        <v>132</v>
      </c>
      <c r="BY13" s="30">
        <v>93</v>
      </c>
      <c r="BZ13" s="30">
        <v>100</v>
      </c>
      <c r="CA13" s="30">
        <v>82</v>
      </c>
      <c r="CB13" s="30">
        <v>95</v>
      </c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/>
      <c r="DM13" s="35"/>
      <c r="DN13" s="30"/>
      <c r="DO13" s="30">
        <v>0</v>
      </c>
      <c r="DP13" s="30">
        <v>0</v>
      </c>
      <c r="DQ13" s="30">
        <f t="shared" si="45"/>
        <v>0</v>
      </c>
      <c r="DR13" s="35">
        <f t="shared" si="10"/>
        <v>164</v>
      </c>
      <c r="DS13" s="30">
        <f t="shared" si="46"/>
        <v>388</v>
      </c>
      <c r="DT13" s="30">
        <f t="shared" si="47"/>
        <v>472</v>
      </c>
      <c r="DU13" s="30">
        <f>+DT13*1.2</f>
        <v>566.4</v>
      </c>
      <c r="DV13" s="30">
        <f t="shared" ref="DV13:DX13" si="51">+DU13*1.2</f>
        <v>679.68</v>
      </c>
      <c r="DW13" s="30">
        <f t="shared" si="51"/>
        <v>815.61599999999987</v>
      </c>
      <c r="DX13" s="30">
        <f t="shared" si="51"/>
        <v>978.73919999999976</v>
      </c>
      <c r="DY13" s="35">
        <f>+DX13*1.05</f>
        <v>1027.6761599999998</v>
      </c>
      <c r="DZ13" s="35">
        <f t="shared" ref="DZ13:DZ17" si="52">+DY13*1.05</f>
        <v>1079.0599679999998</v>
      </c>
      <c r="EA13" s="25">
        <f>+DZ13*1.01</f>
        <v>1089.8505676799998</v>
      </c>
    </row>
    <row r="14" spans="1:133" s="25" customFormat="1" x14ac:dyDescent="0.2">
      <c r="B14" s="44" t="s">
        <v>624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</v>
      </c>
      <c r="BM14" s="30">
        <v>2</v>
      </c>
      <c r="BN14" s="30">
        <v>9</v>
      </c>
      <c r="BO14" s="30">
        <v>18</v>
      </c>
      <c r="BP14" s="30">
        <v>28</v>
      </c>
      <c r="BQ14" s="30">
        <v>40</v>
      </c>
      <c r="BR14" s="30">
        <v>48</v>
      </c>
      <c r="BS14" s="30">
        <v>36</v>
      </c>
      <c r="BT14" s="30">
        <v>66</v>
      </c>
      <c r="BU14" s="30">
        <v>69</v>
      </c>
      <c r="BV14" s="30">
        <v>79</v>
      </c>
      <c r="BW14" s="30">
        <v>78</v>
      </c>
      <c r="BX14" s="30">
        <v>100</v>
      </c>
      <c r="BY14" s="30">
        <v>123</v>
      </c>
      <c r="BZ14" s="30">
        <v>133</v>
      </c>
      <c r="CA14" s="30">
        <v>110</v>
      </c>
      <c r="CB14" s="30">
        <v>151</v>
      </c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0</v>
      </c>
      <c r="DP14" s="30">
        <v>0</v>
      </c>
      <c r="DQ14" s="30">
        <f t="shared" si="45"/>
        <v>12</v>
      </c>
      <c r="DR14" s="35">
        <f t="shared" si="10"/>
        <v>134</v>
      </c>
      <c r="DS14" s="30">
        <f t="shared" si="46"/>
        <v>250</v>
      </c>
      <c r="DT14" s="30">
        <f t="shared" si="47"/>
        <v>434</v>
      </c>
      <c r="DU14" s="30">
        <f t="shared" ref="DU14:DX14" si="53">+DT14*1.2</f>
        <v>520.79999999999995</v>
      </c>
      <c r="DV14" s="30">
        <f t="shared" si="53"/>
        <v>624.95999999999992</v>
      </c>
      <c r="DW14" s="30">
        <f t="shared" si="53"/>
        <v>749.95199999999988</v>
      </c>
      <c r="DX14" s="30">
        <f t="shared" si="53"/>
        <v>899.94239999999979</v>
      </c>
      <c r="DY14" s="35">
        <f t="shared" ref="DY14:DY17" si="54">+DX14*1.05</f>
        <v>944.93951999999979</v>
      </c>
      <c r="DZ14" s="35">
        <f t="shared" si="52"/>
        <v>992.18649599999981</v>
      </c>
      <c r="EA14" s="25">
        <f t="shared" ref="EA14:EA17" si="55">+DZ14*1.01</f>
        <v>1002.1083609599998</v>
      </c>
    </row>
    <row r="15" spans="1:133" s="25" customFormat="1" x14ac:dyDescent="0.2">
      <c r="B15" s="44" t="s">
        <v>625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/>
      <c r="DM15" s="35"/>
      <c r="DN15" s="30"/>
      <c r="DO15" s="30">
        <v>0</v>
      </c>
      <c r="DP15" s="30">
        <v>0</v>
      </c>
      <c r="DQ15" s="30">
        <f t="shared" si="45"/>
        <v>0</v>
      </c>
      <c r="DR15" s="35">
        <f t="shared" si="10"/>
        <v>87</v>
      </c>
      <c r="DS15" s="30">
        <f t="shared" si="46"/>
        <v>182</v>
      </c>
      <c r="DT15" s="30">
        <f t="shared" si="47"/>
        <v>364</v>
      </c>
      <c r="DU15" s="30">
        <f t="shared" ref="DU15:DX17" si="56">+DT15*1.2</f>
        <v>436.8</v>
      </c>
      <c r="DV15" s="30">
        <f t="shared" si="56"/>
        <v>524.16</v>
      </c>
      <c r="DW15" s="30">
        <f t="shared" si="56"/>
        <v>628.99199999999996</v>
      </c>
      <c r="DX15" s="30">
        <f t="shared" si="56"/>
        <v>754.79039999999998</v>
      </c>
      <c r="DY15" s="35">
        <f t="shared" si="54"/>
        <v>792.52992000000006</v>
      </c>
      <c r="DZ15" s="35">
        <f t="shared" si="52"/>
        <v>832.15641600000015</v>
      </c>
      <c r="EA15" s="25">
        <f t="shared" si="55"/>
        <v>840.47798016000013</v>
      </c>
    </row>
    <row r="16" spans="1:133" s="25" customFormat="1" x14ac:dyDescent="0.2">
      <c r="B16" s="44" t="s">
        <v>626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5</v>
      </c>
      <c r="BK16" s="30">
        <v>12</v>
      </c>
      <c r="BL16" s="30">
        <v>15</v>
      </c>
      <c r="BM16" s="30">
        <v>13</v>
      </c>
      <c r="BN16" s="30">
        <v>15</v>
      </c>
      <c r="BO16" s="30">
        <v>16</v>
      </c>
      <c r="BP16" s="30">
        <v>16</v>
      </c>
      <c r="BQ16" s="30">
        <v>22</v>
      </c>
      <c r="BR16" s="30">
        <v>20</v>
      </c>
      <c r="BS16" s="30">
        <v>18</v>
      </c>
      <c r="BT16" s="30">
        <v>23</v>
      </c>
      <c r="BU16" s="30">
        <v>21</v>
      </c>
      <c r="BV16" s="30">
        <v>23</v>
      </c>
      <c r="BW16" s="30">
        <v>25</v>
      </c>
      <c r="BX16" s="30">
        <v>27</v>
      </c>
      <c r="BY16" s="30">
        <v>29</v>
      </c>
      <c r="BZ16" s="30">
        <v>29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/>
      <c r="DM16" s="35"/>
      <c r="DN16" s="30"/>
      <c r="DO16" s="30">
        <v>0</v>
      </c>
      <c r="DP16" s="30">
        <v>5</v>
      </c>
      <c r="DQ16" s="30">
        <f t="shared" si="45"/>
        <v>55</v>
      </c>
      <c r="DR16" s="35">
        <f t="shared" si="10"/>
        <v>74</v>
      </c>
      <c r="DS16" s="30">
        <f t="shared" si="46"/>
        <v>85</v>
      </c>
      <c r="DT16" s="30">
        <f t="shared" si="47"/>
        <v>110</v>
      </c>
      <c r="DU16" s="30">
        <f>+DT16*1.03</f>
        <v>113.3</v>
      </c>
      <c r="DV16" s="30">
        <f t="shared" ref="DV16:EA16" si="57">+DU16*1.03</f>
        <v>116.699</v>
      </c>
      <c r="DW16" s="30">
        <f t="shared" si="57"/>
        <v>120.19997000000001</v>
      </c>
      <c r="DX16" s="30">
        <f t="shared" si="57"/>
        <v>123.80596910000001</v>
      </c>
      <c r="DY16" s="30">
        <f t="shared" si="57"/>
        <v>127.52014817300001</v>
      </c>
      <c r="DZ16" s="30">
        <f t="shared" si="57"/>
        <v>131.34575261819001</v>
      </c>
      <c r="EA16" s="30">
        <f t="shared" si="57"/>
        <v>135.2861251967357</v>
      </c>
    </row>
    <row r="17" spans="2:131" s="25" customFormat="1" x14ac:dyDescent="0.2">
      <c r="B17" s="44" t="s">
        <v>627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3</v>
      </c>
      <c r="BN17" s="30">
        <v>14</v>
      </c>
      <c r="BO17" s="30">
        <v>15</v>
      </c>
      <c r="BP17" s="30">
        <v>12</v>
      </c>
      <c r="BQ17" s="30">
        <v>21</v>
      </c>
      <c r="BR17" s="30">
        <v>25</v>
      </c>
      <c r="BS17" s="30">
        <v>23</v>
      </c>
      <c r="BT17" s="30">
        <v>32</v>
      </c>
      <c r="BU17" s="30">
        <v>32</v>
      </c>
      <c r="BV17" s="30">
        <v>37</v>
      </c>
      <c r="BW17" s="30">
        <v>34</v>
      </c>
      <c r="BX17" s="30">
        <v>44</v>
      </c>
      <c r="BY17" s="30">
        <v>43</v>
      </c>
      <c r="BZ17" s="30">
        <v>47</v>
      </c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/>
      <c r="DM17" s="35"/>
      <c r="DN17" s="30"/>
      <c r="DO17" s="30">
        <v>0</v>
      </c>
      <c r="DP17" s="30">
        <v>0</v>
      </c>
      <c r="DQ17" s="30">
        <f t="shared" si="45"/>
        <v>17</v>
      </c>
      <c r="DR17" s="35">
        <f t="shared" si="10"/>
        <v>73</v>
      </c>
      <c r="DS17" s="30">
        <f t="shared" si="46"/>
        <v>124</v>
      </c>
      <c r="DT17" s="30">
        <f t="shared" si="47"/>
        <v>168</v>
      </c>
      <c r="DU17" s="30">
        <f t="shared" si="56"/>
        <v>201.6</v>
      </c>
      <c r="DV17" s="30">
        <f t="shared" si="56"/>
        <v>241.92</v>
      </c>
      <c r="DW17" s="30">
        <f t="shared" si="56"/>
        <v>290.30399999999997</v>
      </c>
      <c r="DX17" s="30">
        <f t="shared" si="56"/>
        <v>348.36479999999995</v>
      </c>
      <c r="DY17" s="35">
        <f t="shared" si="54"/>
        <v>365.78303999999997</v>
      </c>
      <c r="DZ17" s="35">
        <f t="shared" si="52"/>
        <v>384.07219199999997</v>
      </c>
      <c r="EA17" s="25">
        <f t="shared" si="55"/>
        <v>387.91291391999999</v>
      </c>
    </row>
    <row r="18" spans="2:131" s="25" customFormat="1" x14ac:dyDescent="0.2">
      <c r="B18" s="44" t="s">
        <v>628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6</v>
      </c>
      <c r="BT18" s="30">
        <v>58</v>
      </c>
      <c r="BU18" s="30">
        <v>84</v>
      </c>
      <c r="BV18" s="30">
        <v>104</v>
      </c>
      <c r="BW18" s="30">
        <v>117</v>
      </c>
      <c r="BX18" s="30">
        <v>154</v>
      </c>
      <c r="BY18" s="30">
        <v>166</v>
      </c>
      <c r="BZ18" s="30">
        <v>190</v>
      </c>
      <c r="CA18" s="30">
        <v>206</v>
      </c>
      <c r="CB18" s="30">
        <v>235</v>
      </c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/>
      <c r="DM18" s="35"/>
      <c r="DN18" s="30"/>
      <c r="DO18" s="30">
        <v>0</v>
      </c>
      <c r="DP18" s="30">
        <v>0</v>
      </c>
      <c r="DQ18" s="30">
        <f t="shared" si="45"/>
        <v>0</v>
      </c>
      <c r="DR18" s="35">
        <f t="shared" si="10"/>
        <v>0</v>
      </c>
      <c r="DS18" s="30">
        <f t="shared" si="46"/>
        <v>252</v>
      </c>
      <c r="DT18" s="30">
        <f t="shared" ref="DT18" si="58">SUM(BW18:BZ18)</f>
        <v>627</v>
      </c>
      <c r="DU18" s="30">
        <f>+DT18*1.2</f>
        <v>752.4</v>
      </c>
      <c r="DV18" s="30">
        <f t="shared" ref="DV18:DX18" si="59">+DU18*1.2</f>
        <v>902.88</v>
      </c>
      <c r="DW18" s="30">
        <f t="shared" si="59"/>
        <v>1083.4559999999999</v>
      </c>
      <c r="DX18" s="30">
        <f t="shared" si="59"/>
        <v>1300.1471999999999</v>
      </c>
      <c r="DY18" s="30">
        <f>+DX18*1.1</f>
        <v>1430.16192</v>
      </c>
      <c r="DZ18" s="30">
        <f>+DY18*1.05</f>
        <v>1501.670016</v>
      </c>
      <c r="EA18" s="30">
        <f>+DZ18*1.01</f>
        <v>1516.6867161600001</v>
      </c>
    </row>
    <row r="19" spans="2:131" s="25" customFormat="1" x14ac:dyDescent="0.2">
      <c r="B19" s="44" t="s">
        <v>629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166</v>
      </c>
      <c r="BK19" s="30">
        <v>300</v>
      </c>
      <c r="BL19" s="30">
        <v>308</v>
      </c>
      <c r="BM19" s="30">
        <v>342</v>
      </c>
      <c r="BN19" s="30">
        <v>297</v>
      </c>
      <c r="BO19" s="30">
        <v>314</v>
      </c>
      <c r="BP19" s="30">
        <v>296</v>
      </c>
      <c r="BQ19" s="30">
        <v>266</v>
      </c>
      <c r="BR19" s="30">
        <v>305</v>
      </c>
      <c r="BS19" s="30">
        <v>214</v>
      </c>
      <c r="BT19" s="30">
        <v>241</v>
      </c>
      <c r="BU19" s="30">
        <v>177</v>
      </c>
      <c r="BV19" s="30">
        <v>179</v>
      </c>
      <c r="BW19" s="30">
        <v>239</v>
      </c>
      <c r="BX19" s="30">
        <v>258</v>
      </c>
      <c r="BY19" s="30">
        <v>260</v>
      </c>
      <c r="BZ19" s="30">
        <v>247</v>
      </c>
      <c r="CA19" s="30">
        <v>217</v>
      </c>
      <c r="CB19" s="30">
        <v>231</v>
      </c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/>
      <c r="DM19" s="35"/>
      <c r="DN19" s="30"/>
      <c r="DO19" s="30">
        <v>0</v>
      </c>
      <c r="DP19" s="30">
        <v>166</v>
      </c>
      <c r="DQ19" s="30">
        <f t="shared" si="45"/>
        <v>1247</v>
      </c>
      <c r="DR19" s="35">
        <f t="shared" si="10"/>
        <v>1181</v>
      </c>
      <c r="DS19" s="30">
        <f t="shared" si="46"/>
        <v>811</v>
      </c>
      <c r="DT19" s="30">
        <f>SUM(BW19:BZ19)</f>
        <v>1004</v>
      </c>
      <c r="DU19" s="30">
        <f t="shared" ref="DU19:DZ19" si="60">+DT19*0.9</f>
        <v>903.6</v>
      </c>
      <c r="DV19" s="30">
        <f t="shared" si="60"/>
        <v>813.24</v>
      </c>
      <c r="DW19" s="30">
        <f t="shared" si="60"/>
        <v>731.91600000000005</v>
      </c>
      <c r="DX19" s="30">
        <f t="shared" si="60"/>
        <v>658.72440000000006</v>
      </c>
      <c r="DY19" s="30">
        <f t="shared" si="60"/>
        <v>592.85196000000008</v>
      </c>
      <c r="DZ19" s="30">
        <f t="shared" si="60"/>
        <v>533.56676400000003</v>
      </c>
      <c r="EA19" s="30">
        <f t="shared" ref="EA19" si="61">+DZ19*0.9</f>
        <v>480.21008760000007</v>
      </c>
    </row>
    <row r="20" spans="2:131" s="25" customFormat="1" x14ac:dyDescent="0.2">
      <c r="B20" s="44" t="s">
        <v>697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1</v>
      </c>
      <c r="CA20" s="30">
        <v>6</v>
      </c>
      <c r="CB20" s="30">
        <v>7</v>
      </c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/>
      <c r="DM20" s="35"/>
      <c r="DN20" s="30"/>
      <c r="DO20" s="30"/>
      <c r="DP20" s="30"/>
      <c r="DQ20" s="30"/>
      <c r="DR20" s="35"/>
      <c r="DS20" s="30"/>
      <c r="DT20" s="30">
        <f>SUM(BW20:BZ20)</f>
        <v>1</v>
      </c>
      <c r="DU20" s="30"/>
      <c r="DV20" s="30"/>
      <c r="DW20" s="30"/>
      <c r="DX20" s="30"/>
      <c r="DY20" s="30"/>
      <c r="DZ20" s="30"/>
      <c r="EA20" s="30"/>
    </row>
    <row r="21" spans="2:131" s="25" customFormat="1" x14ac:dyDescent="0.2">
      <c r="B21" s="44" t="s">
        <v>649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3</v>
      </c>
      <c r="BU21" s="30">
        <v>5</v>
      </c>
      <c r="BV21" s="30">
        <v>16</v>
      </c>
      <c r="BW21" s="30">
        <v>29</v>
      </c>
      <c r="BX21" s="30">
        <v>46</v>
      </c>
      <c r="BY21" s="30">
        <v>68</v>
      </c>
      <c r="BZ21" s="30">
        <v>88</v>
      </c>
      <c r="CA21" s="30">
        <v>84</v>
      </c>
      <c r="CB21" s="30">
        <v>139</v>
      </c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/>
      <c r="DM21" s="35"/>
      <c r="DN21" s="30"/>
      <c r="DO21" s="30">
        <v>0</v>
      </c>
      <c r="DP21" s="30">
        <v>0</v>
      </c>
      <c r="DQ21" s="30">
        <f t="shared" si="45"/>
        <v>0</v>
      </c>
      <c r="DR21" s="35">
        <f t="shared" si="10"/>
        <v>0</v>
      </c>
      <c r="DS21" s="30">
        <f t="shared" si="46"/>
        <v>24</v>
      </c>
      <c r="DT21" s="30">
        <f t="shared" ref="DT21:DT22" si="62">SUM(BW21:BZ21)</f>
        <v>231</v>
      </c>
      <c r="DU21" s="30">
        <f>+DT21*1.5</f>
        <v>346.5</v>
      </c>
      <c r="DV21" s="35">
        <f>+DU21*1.3</f>
        <v>450.45</v>
      </c>
      <c r="DW21" s="35">
        <f>+DV21*1.3</f>
        <v>585.58500000000004</v>
      </c>
      <c r="DX21" s="35">
        <f>+DW21*1.3</f>
        <v>761.26050000000009</v>
      </c>
      <c r="DY21" s="35">
        <f>+DX21*1.2</f>
        <v>913.51260000000013</v>
      </c>
      <c r="DZ21" s="35">
        <f>+DY21*1.15</f>
        <v>1050.5394900000001</v>
      </c>
      <c r="EA21" s="25">
        <f>+DZ21*1.1</f>
        <v>1155.5934390000002</v>
      </c>
    </row>
    <row r="22" spans="2:131" s="25" customFormat="1" x14ac:dyDescent="0.2">
      <c r="B22" s="44" t="s">
        <v>696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21</v>
      </c>
      <c r="CB22" s="30">
        <v>32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54"/>
      <c r="DG22" s="50"/>
      <c r="DH22" s="54"/>
      <c r="DI22" s="35"/>
      <c r="DJ22" s="66"/>
      <c r="DK22" s="66"/>
      <c r="DL22" s="35"/>
      <c r="DM22" s="35"/>
      <c r="DN22" s="30"/>
      <c r="DO22" s="30"/>
      <c r="DP22" s="30"/>
      <c r="DQ22" s="30"/>
      <c r="DR22" s="35"/>
      <c r="DS22" s="30"/>
      <c r="DT22" s="30">
        <f t="shared" si="62"/>
        <v>0</v>
      </c>
      <c r="DU22" s="30"/>
      <c r="DV22" s="35"/>
      <c r="DW22" s="35"/>
      <c r="DX22" s="35"/>
      <c r="DY22" s="35"/>
      <c r="DZ22" s="35"/>
    </row>
    <row r="23" spans="2:131" s="25" customFormat="1" x14ac:dyDescent="0.2">
      <c r="B23" s="44" t="s">
        <v>687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0"/>
      <c r="AU23" s="30"/>
      <c r="AV23" s="30"/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>
        <v>1</v>
      </c>
      <c r="BV23" s="30">
        <v>7</v>
      </c>
      <c r="BW23" s="30">
        <v>16</v>
      </c>
      <c r="BX23" s="30">
        <v>25</v>
      </c>
      <c r="BY23" s="30">
        <v>66</v>
      </c>
      <c r="BZ23" s="30">
        <v>63</v>
      </c>
      <c r="CA23" s="30">
        <v>44</v>
      </c>
      <c r="CB23" s="30">
        <v>53</v>
      </c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/>
      <c r="DM23" s="35"/>
      <c r="DN23" s="30"/>
      <c r="DO23" s="30">
        <v>0</v>
      </c>
      <c r="DP23" s="30">
        <v>0</v>
      </c>
      <c r="DQ23" s="30">
        <f t="shared" ref="DQ23" si="63">SUM(BK23:BN23)</f>
        <v>0</v>
      </c>
      <c r="DR23" s="35">
        <f t="shared" ref="DR23" si="64">SUM(BO23:BR23)</f>
        <v>0</v>
      </c>
      <c r="DS23" s="30">
        <f t="shared" si="46"/>
        <v>8</v>
      </c>
      <c r="DT23" s="30">
        <f t="shared" ref="DT23" si="65">SUM(BW23:BZ23)</f>
        <v>170</v>
      </c>
      <c r="DU23" s="30">
        <f>+DT23*1.5</f>
        <v>255</v>
      </c>
      <c r="DV23" s="30">
        <f t="shared" ref="DV23:DX23" si="66">+DU23*1.5</f>
        <v>382.5</v>
      </c>
      <c r="DW23" s="30">
        <f t="shared" si="66"/>
        <v>573.75</v>
      </c>
      <c r="DX23" s="30">
        <f t="shared" si="66"/>
        <v>860.625</v>
      </c>
      <c r="DY23" s="35">
        <f>+DX23*1.3</f>
        <v>1118.8125</v>
      </c>
      <c r="DZ23" s="35">
        <f>+DY23*1.25</f>
        <v>1398.515625</v>
      </c>
      <c r="EA23" s="25">
        <f>+DZ23*1.05</f>
        <v>1468.44140625</v>
      </c>
    </row>
    <row r="24" spans="2:131" s="25" customFormat="1" x14ac:dyDescent="0.2">
      <c r="B24" s="44" t="s">
        <v>650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54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0"/>
      <c r="AU24" s="30"/>
      <c r="AV24" s="30"/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58</v>
      </c>
      <c r="BK24" s="30">
        <v>158</v>
      </c>
      <c r="BL24" s="30">
        <v>126</v>
      </c>
      <c r="BM24" s="30">
        <v>106</v>
      </c>
      <c r="BN24" s="30"/>
      <c r="BO24" s="30"/>
      <c r="BP24" s="30"/>
      <c r="BQ24" s="30">
        <v>36</v>
      </c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/>
      <c r="DM24" s="35"/>
      <c r="DN24" s="30"/>
      <c r="DO24" s="30">
        <v>0</v>
      </c>
      <c r="DP24" s="30">
        <v>58</v>
      </c>
      <c r="DQ24" s="30">
        <f t="shared" si="45"/>
        <v>390</v>
      </c>
      <c r="DR24" s="35">
        <f>SUM(BO24:BR24)</f>
        <v>36</v>
      </c>
      <c r="DS24" s="30"/>
      <c r="DT24" s="30"/>
      <c r="DU24" s="30"/>
      <c r="DV24" s="30"/>
      <c r="DW24" s="30"/>
      <c r="DX24" s="30"/>
      <c r="DY24" s="30"/>
      <c r="DZ24" s="30"/>
      <c r="EA24" s="30"/>
    </row>
    <row r="25" spans="2:131" x14ac:dyDescent="0.2">
      <c r="B25" s="23" t="s">
        <v>686</v>
      </c>
      <c r="V25" s="35"/>
      <c r="W25" s="33"/>
      <c r="X25" s="33"/>
      <c r="Y25" s="49"/>
      <c r="Z25" s="49"/>
      <c r="AA25" s="49"/>
      <c r="AB25" s="49"/>
      <c r="AC25" s="49"/>
      <c r="AD25" s="49"/>
      <c r="AE25" s="49"/>
      <c r="AF25" s="35"/>
      <c r="AG25" s="54"/>
      <c r="AH25" s="5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W25" s="28">
        <v>379</v>
      </c>
      <c r="AX25" s="28">
        <v>226</v>
      </c>
      <c r="AY25" s="28">
        <v>162</v>
      </c>
      <c r="AZ25" s="28">
        <v>112</v>
      </c>
      <c r="BA25" s="28">
        <v>73</v>
      </c>
      <c r="BB25" s="28">
        <v>59</v>
      </c>
      <c r="BC25" s="28">
        <v>3</v>
      </c>
      <c r="BD25" s="28">
        <v>12</v>
      </c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 t="s">
        <v>362</v>
      </c>
      <c r="DG25" s="54" t="s">
        <v>362</v>
      </c>
      <c r="DH25" s="54" t="s">
        <v>362</v>
      </c>
      <c r="DI25" s="35" t="s">
        <v>480</v>
      </c>
      <c r="DJ25" s="66" t="s">
        <v>480</v>
      </c>
      <c r="DK25" s="66" t="s">
        <v>480</v>
      </c>
      <c r="DL25" s="35" t="s">
        <v>481</v>
      </c>
      <c r="DM25" s="35">
        <v>50</v>
      </c>
      <c r="DN25" s="30">
        <v>100</v>
      </c>
      <c r="DO25" s="85" t="s">
        <v>653</v>
      </c>
      <c r="DP25" s="85" t="s">
        <v>651</v>
      </c>
      <c r="DQ25" s="85" t="s">
        <v>651</v>
      </c>
      <c r="DR25" s="30"/>
      <c r="DS25" s="30"/>
      <c r="DT25" s="30"/>
      <c r="DU25" s="30"/>
      <c r="DV25" s="35"/>
    </row>
    <row r="26" spans="2:131" x14ac:dyDescent="0.2">
      <c r="B26" s="23" t="s">
        <v>422</v>
      </c>
      <c r="V26" s="35" t="s">
        <v>362</v>
      </c>
      <c r="W26" s="33" t="s">
        <v>362</v>
      </c>
      <c r="X26" s="33" t="s">
        <v>362</v>
      </c>
      <c r="Y26" s="49" t="s">
        <v>362</v>
      </c>
      <c r="Z26" s="49" t="s">
        <v>362</v>
      </c>
      <c r="AA26" s="49" t="s">
        <v>362</v>
      </c>
      <c r="AB26" s="49">
        <v>2</v>
      </c>
      <c r="AC26" s="49" t="s">
        <v>362</v>
      </c>
      <c r="AD26" s="48">
        <v>1</v>
      </c>
      <c r="AE26" s="28">
        <v>1</v>
      </c>
      <c r="AF26" s="30">
        <v>3</v>
      </c>
      <c r="AG26" s="50">
        <v>3</v>
      </c>
      <c r="AH26" s="50">
        <f>11-SUM(AE26:AG26)</f>
        <v>4</v>
      </c>
      <c r="AI26" s="30">
        <v>5</v>
      </c>
      <c r="AJ26" s="30">
        <v>6</v>
      </c>
      <c r="AK26" s="30">
        <v>7</v>
      </c>
      <c r="AL26" s="30"/>
      <c r="AM26" s="30"/>
      <c r="AN26" s="30"/>
      <c r="AO26" s="30"/>
      <c r="AP26" s="30"/>
      <c r="AQ26" s="30"/>
      <c r="AR26" s="30"/>
      <c r="AS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0"/>
      <c r="DG26" s="50"/>
      <c r="DH26" s="50">
        <f>SUM(AA26:AD26)</f>
        <v>3</v>
      </c>
      <c r="DI26" s="30">
        <f>SUM(AE26:AH26)</f>
        <v>11</v>
      </c>
      <c r="DJ26" s="65">
        <v>15</v>
      </c>
      <c r="DK26" s="65">
        <v>20</v>
      </c>
      <c r="DL26" s="30">
        <v>20</v>
      </c>
      <c r="DM26" s="30">
        <v>20</v>
      </c>
      <c r="DN26" s="30">
        <v>20</v>
      </c>
      <c r="DO26" s="85" t="s">
        <v>652</v>
      </c>
      <c r="DP26" s="85" t="s">
        <v>652</v>
      </c>
      <c r="DQ26" s="85" t="s">
        <v>652</v>
      </c>
      <c r="DR26" s="30"/>
      <c r="DS26" s="30"/>
      <c r="DT26" s="30"/>
      <c r="DU26" s="30"/>
      <c r="DV26" s="30"/>
    </row>
    <row r="27" spans="2:131" x14ac:dyDescent="0.2">
      <c r="B27" s="1" t="s">
        <v>89</v>
      </c>
      <c r="V27" s="35" t="s">
        <v>362</v>
      </c>
      <c r="W27" s="33" t="s">
        <v>362</v>
      </c>
      <c r="X27" s="33" t="s">
        <v>362</v>
      </c>
      <c r="Y27" s="49" t="s">
        <v>362</v>
      </c>
      <c r="Z27" s="49" t="s">
        <v>362</v>
      </c>
      <c r="AA27" s="49" t="s">
        <v>362</v>
      </c>
      <c r="AB27" s="49" t="s">
        <v>362</v>
      </c>
      <c r="AC27" s="49" t="s">
        <v>362</v>
      </c>
      <c r="AD27" s="49" t="s">
        <v>362</v>
      </c>
      <c r="AE27" s="33" t="s">
        <v>362</v>
      </c>
      <c r="AF27" s="35" t="s">
        <v>362</v>
      </c>
      <c r="AG27" s="54" t="s">
        <v>362</v>
      </c>
      <c r="AH27" s="54" t="s">
        <v>362</v>
      </c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>
        <v>363</v>
      </c>
      <c r="CZ27" s="30">
        <v>336</v>
      </c>
      <c r="DA27" s="30">
        <v>318</v>
      </c>
      <c r="DB27" s="30"/>
      <c r="DC27" s="30"/>
      <c r="DD27" s="30"/>
      <c r="DE27" s="30"/>
      <c r="DF27" s="54" t="s">
        <v>362</v>
      </c>
      <c r="DG27" s="54" t="s">
        <v>362</v>
      </c>
      <c r="DH27" s="54" t="s">
        <v>362</v>
      </c>
      <c r="DI27" s="35" t="s">
        <v>362</v>
      </c>
      <c r="DJ27" s="66" t="s">
        <v>362</v>
      </c>
      <c r="DK27" s="66" t="s">
        <v>362</v>
      </c>
      <c r="DL27" s="35" t="s">
        <v>362</v>
      </c>
      <c r="DM27" s="35" t="s">
        <v>362</v>
      </c>
      <c r="DN27" s="35" t="s">
        <v>362</v>
      </c>
      <c r="DO27" s="35"/>
      <c r="DP27" s="35"/>
      <c r="DQ27" s="35"/>
      <c r="DR27" s="35"/>
      <c r="DS27" s="35"/>
      <c r="DT27" s="35"/>
      <c r="DU27" s="35"/>
      <c r="DV27" s="35"/>
    </row>
    <row r="28" spans="2:131" x14ac:dyDescent="0.2">
      <c r="B28" s="1" t="s">
        <v>96</v>
      </c>
      <c r="V28" s="35" t="s">
        <v>362</v>
      </c>
      <c r="W28" s="33" t="s">
        <v>362</v>
      </c>
      <c r="X28" s="33" t="s">
        <v>362</v>
      </c>
      <c r="Y28" s="49" t="s">
        <v>362</v>
      </c>
      <c r="Z28" s="49" t="s">
        <v>362</v>
      </c>
      <c r="AA28" s="49" t="s">
        <v>362</v>
      </c>
      <c r="AB28" s="49" t="s">
        <v>362</v>
      </c>
      <c r="AC28" s="49" t="s">
        <v>362</v>
      </c>
      <c r="AD28" s="49" t="s">
        <v>362</v>
      </c>
      <c r="AE28" s="33" t="s">
        <v>362</v>
      </c>
      <c r="AF28" s="35" t="s">
        <v>362</v>
      </c>
      <c r="AG28" s="54" t="s">
        <v>362</v>
      </c>
      <c r="AH28" s="54" t="s">
        <v>362</v>
      </c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>
        <v>1026</v>
      </c>
      <c r="CZ28" s="30">
        <v>1166</v>
      </c>
      <c r="DA28" s="30">
        <v>903</v>
      </c>
      <c r="DB28" s="30"/>
      <c r="DC28" s="30"/>
      <c r="DD28" s="30"/>
      <c r="DE28" s="30"/>
      <c r="DF28" s="54" t="s">
        <v>362</v>
      </c>
      <c r="DG28" s="54" t="s">
        <v>362</v>
      </c>
      <c r="DH28" s="54" t="s">
        <v>362</v>
      </c>
      <c r="DI28" s="35" t="s">
        <v>362</v>
      </c>
      <c r="DJ28" s="66" t="s">
        <v>362</v>
      </c>
      <c r="DK28" s="66" t="s">
        <v>362</v>
      </c>
      <c r="DL28" s="35" t="s">
        <v>362</v>
      </c>
      <c r="DM28" s="35" t="s">
        <v>362</v>
      </c>
      <c r="DN28" s="35" t="s">
        <v>362</v>
      </c>
      <c r="DO28" s="35"/>
      <c r="DP28" s="35"/>
      <c r="DQ28" s="35"/>
      <c r="DR28" s="35"/>
      <c r="DS28" s="35"/>
      <c r="DT28" s="35"/>
      <c r="DU28" s="35"/>
      <c r="DV28" s="35"/>
    </row>
    <row r="29" spans="2:131" x14ac:dyDescent="0.2">
      <c r="B29" s="1" t="s">
        <v>98</v>
      </c>
      <c r="C29" s="30">
        <f>3578-SUM(C3:C28)-C46-C47</f>
        <v>2853</v>
      </c>
      <c r="D29" s="30">
        <f>3886-SUM(D3:D28)-C46-C47</f>
        <v>3161</v>
      </c>
      <c r="E29" s="30">
        <f>3778-SUM(E3:E28)-C46-C47</f>
        <v>3053</v>
      </c>
      <c r="F29" s="30">
        <f>4012-SUM(F3:F28)-C46-C47</f>
        <v>3287</v>
      </c>
      <c r="G29" s="30">
        <f>3700-SUM(G3:G28)-C46-C47</f>
        <v>2970</v>
      </c>
      <c r="H29" s="30">
        <f>3859-SUM(H3:H28)-C46-C47</f>
        <v>3116</v>
      </c>
      <c r="I29" s="30">
        <f>3154-SUM(I3:I28)-C46-C47</f>
        <v>2384</v>
      </c>
      <c r="J29" s="30">
        <f>3145-SUM(J3:J28)-C46-C47</f>
        <v>2374</v>
      </c>
      <c r="K29" s="30">
        <f>3457-SUM(K2:K28)-C46-C47</f>
        <v>2670</v>
      </c>
      <c r="L29" s="30">
        <f>3851-SUM(L3:L28)-C46-C47</f>
        <v>3036</v>
      </c>
      <c r="M29" s="30">
        <f>3926-SUM(M3:M28)-M46-M47</f>
        <v>3632</v>
      </c>
      <c r="N29" s="30">
        <f>4388-SUM(N3:N28)-N46-N47</f>
        <v>4053</v>
      </c>
      <c r="O29" s="30">
        <f>4188-SUM(O3:O28)-O46-O47</f>
        <v>3868</v>
      </c>
      <c r="P29" s="30">
        <f>4475-SUM(P3:P28)-P46-P47</f>
        <v>4123</v>
      </c>
      <c r="Q29" s="30">
        <f>4510-SUM(Q3:Q28)-Q46-Q47</f>
        <v>4184</v>
      </c>
      <c r="R29" s="30">
        <f>4542-SUM(R3:R28)-R46-R47</f>
        <v>4201</v>
      </c>
      <c r="S29" s="30">
        <f>4322-SUM(S3:S28)</f>
        <v>4110</v>
      </c>
      <c r="T29" s="30">
        <f>4665-SUM(T3:T28)</f>
        <v>4410</v>
      </c>
      <c r="U29" s="30">
        <f>4788-SUM(U3:U28)</f>
        <v>4519</v>
      </c>
      <c r="V29" s="30">
        <f>5033-SUM(V3:V28)</f>
        <v>4746</v>
      </c>
      <c r="W29" s="30">
        <v>781</v>
      </c>
      <c r="X29" s="30">
        <f>4768-SUM(X3:X28)</f>
        <v>4458</v>
      </c>
      <c r="Y29" s="50">
        <v>721</v>
      </c>
      <c r="Z29" s="50">
        <v>830</v>
      </c>
      <c r="AA29" s="50">
        <v>734</v>
      </c>
      <c r="AB29" s="50">
        <v>750</v>
      </c>
      <c r="AC29" s="50">
        <v>725</v>
      </c>
      <c r="AD29" s="50">
        <v>741</v>
      </c>
      <c r="AE29" s="35">
        <v>681</v>
      </c>
      <c r="AF29" s="30">
        <v>672</v>
      </c>
      <c r="AG29" s="50">
        <v>644</v>
      </c>
      <c r="AH29" s="50">
        <f>2695-SUM(AE29:AG29)</f>
        <v>698</v>
      </c>
      <c r="AI29" s="30">
        <v>691</v>
      </c>
      <c r="AJ29" s="30">
        <v>671</v>
      </c>
      <c r="AK29" s="30">
        <v>670</v>
      </c>
      <c r="AL29" s="30"/>
      <c r="AM29" s="30"/>
      <c r="AN29" s="30">
        <v>767</v>
      </c>
      <c r="AO29" s="30"/>
      <c r="AP29" s="30"/>
      <c r="AQ29" s="30"/>
      <c r="AR29" s="30"/>
      <c r="AS29" s="30"/>
      <c r="CA29" s="28">
        <v>319</v>
      </c>
      <c r="CB29" s="28">
        <v>341</v>
      </c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1878</v>
      </c>
      <c r="CZ29" s="30">
        <v>3087</v>
      </c>
      <c r="DA29" s="30">
        <v>2667</v>
      </c>
      <c r="DB29" s="30">
        <f>SUM(C29:F29)</f>
        <v>12354</v>
      </c>
      <c r="DC29" s="30">
        <f>SUM(G29:J29)</f>
        <v>10844</v>
      </c>
      <c r="DD29" s="30">
        <f>SUM(K29:N29)</f>
        <v>13391</v>
      </c>
      <c r="DE29" s="30">
        <f>SUM(O29:R29)</f>
        <v>16376</v>
      </c>
      <c r="DF29" s="50">
        <f>SUM(S29:V29)</f>
        <v>17785</v>
      </c>
      <c r="DG29" s="50">
        <f>SUM(W29:Z29)</f>
        <v>6790</v>
      </c>
      <c r="DH29" s="50">
        <f>SUM(AA29:AD29)</f>
        <v>2950</v>
      </c>
      <c r="DI29" s="30">
        <f>SUM(AE29:AH29)</f>
        <v>2695</v>
      </c>
      <c r="DJ29" s="65">
        <f>DI29*0.95</f>
        <v>2560.25</v>
      </c>
      <c r="DK29" s="65">
        <f>DJ29*0.95</f>
        <v>2432.2374999999997</v>
      </c>
      <c r="DL29" s="30">
        <f>DK29*0.95</f>
        <v>2310.6256249999997</v>
      </c>
      <c r="DM29" s="30">
        <f>DL29*0.95</f>
        <v>2195.0943437499996</v>
      </c>
      <c r="DN29" s="30">
        <f>DM29*0.95</f>
        <v>2085.3396265624997</v>
      </c>
    </row>
    <row r="30" spans="2:131" x14ac:dyDescent="0.2">
      <c r="B30" s="1" t="s">
        <v>94</v>
      </c>
      <c r="V30" s="30"/>
      <c r="AF30" s="30"/>
      <c r="AG30" s="50"/>
      <c r="AH30" s="5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1211</v>
      </c>
      <c r="CZ30" s="30">
        <v>1267</v>
      </c>
      <c r="DA30" s="30">
        <v>1343</v>
      </c>
      <c r="DB30" s="30"/>
      <c r="DC30" s="30"/>
      <c r="DD30" s="30">
        <v>897</v>
      </c>
      <c r="DE30" s="30"/>
      <c r="DF30" s="54" t="s">
        <v>362</v>
      </c>
      <c r="DG30" s="54" t="s">
        <v>362</v>
      </c>
      <c r="DH30" s="54" t="s">
        <v>362</v>
      </c>
      <c r="DI30" s="35" t="s">
        <v>362</v>
      </c>
      <c r="DJ30" s="66" t="s">
        <v>362</v>
      </c>
      <c r="DK30" s="66" t="s">
        <v>362</v>
      </c>
      <c r="DL30" s="35" t="s">
        <v>362</v>
      </c>
      <c r="DM30" s="35" t="s">
        <v>362</v>
      </c>
      <c r="DN30" s="35" t="s">
        <v>362</v>
      </c>
      <c r="DO30" s="35"/>
      <c r="DP30" s="35"/>
      <c r="DQ30" s="35"/>
      <c r="DR30" s="35"/>
      <c r="DS30" s="35"/>
      <c r="DT30" s="35"/>
      <c r="DU30" s="35"/>
      <c r="DV30" s="35"/>
    </row>
    <row r="31" spans="2:131" x14ac:dyDescent="0.2">
      <c r="B31" s="1" t="s">
        <v>88</v>
      </c>
      <c r="C31" s="28">
        <v>49</v>
      </c>
      <c r="D31" s="28">
        <v>50</v>
      </c>
      <c r="E31" s="28">
        <v>53</v>
      </c>
      <c r="F31" s="28">
        <v>56</v>
      </c>
      <c r="G31" s="28">
        <v>55</v>
      </c>
      <c r="H31" s="28">
        <v>55</v>
      </c>
      <c r="I31" s="28">
        <v>53</v>
      </c>
      <c r="J31" s="28">
        <v>57</v>
      </c>
      <c r="K31" s="28">
        <v>46</v>
      </c>
      <c r="L31" s="28">
        <v>52</v>
      </c>
      <c r="M31" s="28">
        <v>50</v>
      </c>
      <c r="N31" s="28">
        <v>53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300</v>
      </c>
      <c r="CZ31" s="30">
        <v>303</v>
      </c>
      <c r="DA31" s="30">
        <v>255</v>
      </c>
      <c r="DB31" s="30">
        <v>212</v>
      </c>
      <c r="DC31" s="30">
        <f t="shared" ref="DC31:DC49" si="67">SUM(G31:J31)</f>
        <v>220</v>
      </c>
      <c r="DD31" s="30">
        <v>213</v>
      </c>
      <c r="DE31" s="30"/>
      <c r="DF31" s="54" t="s">
        <v>362</v>
      </c>
      <c r="DG31" s="54" t="s">
        <v>362</v>
      </c>
      <c r="DH31" s="54" t="s">
        <v>362</v>
      </c>
      <c r="DI31" s="35" t="s">
        <v>362</v>
      </c>
      <c r="DJ31" s="66" t="s">
        <v>362</v>
      </c>
      <c r="DK31" s="66" t="s">
        <v>362</v>
      </c>
      <c r="DL31" s="35" t="s">
        <v>362</v>
      </c>
      <c r="DM31" s="35" t="s">
        <v>362</v>
      </c>
      <c r="DN31" s="35" t="s">
        <v>362</v>
      </c>
      <c r="DO31" s="35"/>
      <c r="DP31" s="35"/>
      <c r="DQ31" s="35"/>
      <c r="DR31" s="35"/>
      <c r="DS31" s="35"/>
      <c r="DT31" s="35"/>
      <c r="DU31" s="35"/>
      <c r="DV31" s="35"/>
    </row>
    <row r="32" spans="2:131" x14ac:dyDescent="0.2">
      <c r="B32" s="23" t="s">
        <v>585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>
        <v>27</v>
      </c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50"/>
      <c r="DG32" s="50"/>
      <c r="DH32" s="50"/>
      <c r="DI32" s="30"/>
      <c r="DJ32" s="65"/>
      <c r="DK32" s="65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</row>
    <row r="33" spans="2:127" x14ac:dyDescent="0.2">
      <c r="B33" s="23" t="s">
        <v>463</v>
      </c>
      <c r="C33" s="28">
        <v>196</v>
      </c>
      <c r="D33" s="28">
        <v>258</v>
      </c>
      <c r="E33" s="28">
        <v>251</v>
      </c>
      <c r="F33" s="28">
        <v>277</v>
      </c>
      <c r="G33" s="28">
        <v>233</v>
      </c>
      <c r="H33" s="28">
        <v>280</v>
      </c>
      <c r="I33" s="28">
        <v>277</v>
      </c>
      <c r="J33" s="28">
        <v>307</v>
      </c>
      <c r="K33" s="28">
        <v>270</v>
      </c>
      <c r="L33" s="28">
        <v>297</v>
      </c>
      <c r="M33" s="28">
        <v>309</v>
      </c>
      <c r="N33" s="28">
        <v>328</v>
      </c>
      <c r="O33" s="28">
        <v>305</v>
      </c>
      <c r="P33" s="28">
        <v>335</v>
      </c>
      <c r="Q33" s="28">
        <v>334</v>
      </c>
      <c r="R33" s="28">
        <v>316</v>
      </c>
      <c r="S33" s="28">
        <v>302</v>
      </c>
      <c r="T33" s="28">
        <v>313</v>
      </c>
      <c r="U33" s="28">
        <v>329</v>
      </c>
      <c r="V33" s="30">
        <v>339</v>
      </c>
      <c r="W33" s="28">
        <v>314</v>
      </c>
      <c r="X33" s="30">
        <v>307</v>
      </c>
      <c r="Y33" s="50">
        <v>303</v>
      </c>
      <c r="Z33" s="50">
        <v>252</v>
      </c>
      <c r="AA33" s="50">
        <v>290</v>
      </c>
      <c r="AB33" s="50">
        <v>251</v>
      </c>
      <c r="AC33" s="50">
        <v>216</v>
      </c>
      <c r="AD33" s="50">
        <v>195</v>
      </c>
      <c r="AE33" s="30">
        <v>207</v>
      </c>
      <c r="AF33" s="30">
        <v>117</v>
      </c>
      <c r="AG33" s="50">
        <v>95</v>
      </c>
      <c r="AH33" s="50">
        <f>503-SUM(AE33:AG33)</f>
        <v>84</v>
      </c>
      <c r="AI33" s="30">
        <v>46</v>
      </c>
      <c r="AJ33" s="30">
        <v>56</v>
      </c>
      <c r="AK33" s="30">
        <v>71</v>
      </c>
      <c r="AL33" s="30"/>
      <c r="AM33" s="30"/>
      <c r="AN33" s="30"/>
      <c r="AO33" s="30"/>
      <c r="AP33" s="30"/>
      <c r="AQ33" s="30"/>
      <c r="AR33" s="30"/>
      <c r="AS33" s="30"/>
      <c r="CL33" s="30"/>
      <c r="CM33" s="30"/>
      <c r="CN33" s="30"/>
      <c r="CP33" s="30" t="s">
        <v>327</v>
      </c>
      <c r="CQ33" s="30"/>
      <c r="CR33" s="30"/>
      <c r="CS33" s="30"/>
      <c r="CT33" s="30"/>
      <c r="CU33" s="30"/>
      <c r="CV33" s="30"/>
      <c r="CW33" s="30"/>
      <c r="CX33" s="30"/>
      <c r="CY33" s="30">
        <v>586</v>
      </c>
      <c r="CZ33" s="30">
        <v>757</v>
      </c>
      <c r="DA33" s="30">
        <v>930</v>
      </c>
      <c r="DB33" s="30">
        <f>SUM(C33:F33)</f>
        <v>982</v>
      </c>
      <c r="DC33" s="30">
        <f>SUM(G33:J33)</f>
        <v>1097</v>
      </c>
      <c r="DD33" s="30">
        <f>SUM(K33:N33)</f>
        <v>1204</v>
      </c>
      <c r="DE33" s="30">
        <f>SUM(O33:R33)</f>
        <v>1290</v>
      </c>
      <c r="DF33" s="50">
        <f>SUM(S33:V33)</f>
        <v>1283</v>
      </c>
      <c r="DG33" s="50">
        <f>SUM(W33:Z33)</f>
        <v>1176</v>
      </c>
      <c r="DH33" s="50">
        <f>SUM(AA33:AD33)</f>
        <v>952</v>
      </c>
      <c r="DI33" s="30">
        <f>SUM(AE33:AH33)</f>
        <v>503</v>
      </c>
      <c r="DJ33" s="65">
        <f>DI33*0.5</f>
        <v>251.5</v>
      </c>
      <c r="DK33" s="65">
        <f>DJ33*0.9</f>
        <v>226.35</v>
      </c>
      <c r="DL33" s="30">
        <f>DK33*0.9</f>
        <v>203.715</v>
      </c>
      <c r="DM33" s="30">
        <f>DL33*0.9</f>
        <v>183.34350000000001</v>
      </c>
      <c r="DN33" s="30">
        <f>DM33*0.9</f>
        <v>165.00915000000001</v>
      </c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210</v>
      </c>
      <c r="N34" s="28">
        <v>15</v>
      </c>
      <c r="O34" s="28">
        <v>25</v>
      </c>
      <c r="P34" s="28">
        <v>26</v>
      </c>
      <c r="Q34" s="28">
        <v>25</v>
      </c>
      <c r="R34" s="28">
        <v>25</v>
      </c>
      <c r="S34" s="28">
        <v>24</v>
      </c>
      <c r="T34" s="28">
        <v>29</v>
      </c>
      <c r="U34" s="28">
        <v>28</v>
      </c>
      <c r="V34" s="30">
        <v>28</v>
      </c>
      <c r="W34" s="28">
        <v>29</v>
      </c>
      <c r="X34" s="33">
        <v>29</v>
      </c>
      <c r="Y34" s="49">
        <v>29</v>
      </c>
      <c r="Z34" s="49" t="s">
        <v>362</v>
      </c>
      <c r="AA34" s="49" t="s">
        <v>362</v>
      </c>
      <c r="AB34" s="49" t="s">
        <v>362</v>
      </c>
      <c r="AC34" s="49" t="s">
        <v>362</v>
      </c>
      <c r="AD34" s="49" t="s">
        <v>362</v>
      </c>
      <c r="AE34" s="33" t="s">
        <v>362</v>
      </c>
      <c r="AF34" s="35" t="s">
        <v>362</v>
      </c>
      <c r="AG34" s="54" t="s">
        <v>362</v>
      </c>
      <c r="AH34" s="54" t="s">
        <v>362</v>
      </c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>
        <f>SUM(K34:N34)</f>
        <v>15</v>
      </c>
      <c r="DE34" s="30">
        <f>SUM(O34:R34)</f>
        <v>101</v>
      </c>
      <c r="DF34" s="50">
        <f>SUM(S34:V34)</f>
        <v>109</v>
      </c>
      <c r="DG34" s="50">
        <f>SUM(W34:Z34)</f>
        <v>87</v>
      </c>
      <c r="DH34" s="54" t="s">
        <v>362</v>
      </c>
      <c r="DI34" s="35" t="s">
        <v>362</v>
      </c>
      <c r="DJ34" s="66" t="s">
        <v>362</v>
      </c>
      <c r="DK34" s="66" t="s">
        <v>362</v>
      </c>
      <c r="DL34" s="35" t="s">
        <v>362</v>
      </c>
      <c r="DM34" s="35" t="s">
        <v>362</v>
      </c>
      <c r="DN34" s="35" t="s">
        <v>362</v>
      </c>
      <c r="DO34" s="35"/>
      <c r="DP34" s="35"/>
      <c r="DQ34" s="35"/>
      <c r="DR34" s="35"/>
      <c r="DS34" s="35"/>
      <c r="DT34" s="35"/>
      <c r="DU34" s="35"/>
      <c r="DV34" s="35"/>
    </row>
    <row r="35" spans="2:127" x14ac:dyDescent="0.2">
      <c r="B35" s="1" t="s">
        <v>238</v>
      </c>
      <c r="C35" s="28">
        <v>235</v>
      </c>
      <c r="D35" s="28">
        <v>250</v>
      </c>
      <c r="E35" s="28">
        <v>230</v>
      </c>
      <c r="F35" s="28">
        <v>277</v>
      </c>
      <c r="G35" s="28">
        <v>237</v>
      </c>
      <c r="H35" s="28">
        <v>253</v>
      </c>
      <c r="I35" s="28">
        <v>246</v>
      </c>
      <c r="J35" s="28">
        <v>271</v>
      </c>
      <c r="K35" s="28">
        <v>254</v>
      </c>
      <c r="L35" s="28">
        <v>267</v>
      </c>
      <c r="M35" s="28">
        <v>281</v>
      </c>
      <c r="N35" s="28">
        <v>280</v>
      </c>
      <c r="O35" s="28">
        <v>290</v>
      </c>
      <c r="P35" s="28">
        <v>287</v>
      </c>
      <c r="Q35" s="28">
        <v>295</v>
      </c>
      <c r="R35" s="28">
        <v>285</v>
      </c>
      <c r="S35" s="33" t="s">
        <v>362</v>
      </c>
      <c r="T35" s="33" t="s">
        <v>362</v>
      </c>
      <c r="U35" s="33" t="s">
        <v>362</v>
      </c>
      <c r="V35" s="30" t="str">
        <f>U35</f>
        <v>-</v>
      </c>
      <c r="W35" s="33" t="s">
        <v>362</v>
      </c>
      <c r="X35" s="33" t="s">
        <v>362</v>
      </c>
      <c r="Y35" s="49" t="s">
        <v>362</v>
      </c>
      <c r="Z35" s="49" t="s">
        <v>362</v>
      </c>
      <c r="AA35" s="49" t="s">
        <v>362</v>
      </c>
      <c r="AB35" s="49" t="s">
        <v>362</v>
      </c>
      <c r="AC35" s="49" t="s">
        <v>362</v>
      </c>
      <c r="AD35" s="49" t="s">
        <v>362</v>
      </c>
      <c r="AE35" s="49" t="s">
        <v>362</v>
      </c>
      <c r="AF35" s="35" t="s">
        <v>362</v>
      </c>
      <c r="AG35" s="54" t="s">
        <v>362</v>
      </c>
      <c r="AH35" s="54" t="s">
        <v>362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>
        <f>SUM(C35:F35)</f>
        <v>992</v>
      </c>
      <c r="DC35" s="30">
        <f>SUM(G35:J35)</f>
        <v>1007</v>
      </c>
      <c r="DD35" s="30">
        <f>SUM(K35:N35)</f>
        <v>1082</v>
      </c>
      <c r="DE35" s="30">
        <f>SUM(O35:R35)</f>
        <v>1157</v>
      </c>
      <c r="DF35" s="54" t="s">
        <v>362</v>
      </c>
      <c r="DG35" s="54" t="s">
        <v>362</v>
      </c>
      <c r="DH35" s="54" t="s">
        <v>362</v>
      </c>
      <c r="DI35" s="35" t="s">
        <v>362</v>
      </c>
      <c r="DJ35" s="66" t="s">
        <v>362</v>
      </c>
      <c r="DK35" s="66" t="s">
        <v>362</v>
      </c>
      <c r="DL35" s="35" t="s">
        <v>362</v>
      </c>
      <c r="DM35" s="35" t="s">
        <v>362</v>
      </c>
      <c r="DN35" s="35" t="s">
        <v>362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23" t="s">
        <v>462</v>
      </c>
      <c r="V36" s="30">
        <v>4</v>
      </c>
      <c r="W36" s="28">
        <v>10</v>
      </c>
      <c r="X36" s="28">
        <v>28</v>
      </c>
      <c r="Y36" s="48">
        <v>47</v>
      </c>
      <c r="Z36" s="48">
        <v>73</v>
      </c>
      <c r="AA36" s="48">
        <v>81</v>
      </c>
      <c r="AB36" s="48">
        <v>112</v>
      </c>
      <c r="AC36" s="48">
        <v>127</v>
      </c>
      <c r="AD36" s="48">
        <v>153</v>
      </c>
      <c r="AE36" s="28">
        <v>161</v>
      </c>
      <c r="AF36" s="30">
        <v>172</v>
      </c>
      <c r="AG36" s="50">
        <v>178</v>
      </c>
      <c r="AH36" s="50">
        <f>709-AG36-AF36-AE36</f>
        <v>198</v>
      </c>
      <c r="AI36" s="30">
        <v>202</v>
      </c>
      <c r="AJ36" s="30">
        <v>240</v>
      </c>
      <c r="AK36" s="30">
        <v>211</v>
      </c>
      <c r="AL36" s="30"/>
      <c r="AM36" s="30"/>
      <c r="AN36" s="30"/>
      <c r="AO36" s="30"/>
      <c r="AP36" s="30"/>
      <c r="AQ36" s="30"/>
      <c r="AR36" s="30"/>
      <c r="AS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50">
        <f>SUM(S36:V36)</f>
        <v>4</v>
      </c>
      <c r="DG36" s="50">
        <f>SUM(W36:Z36)</f>
        <v>158</v>
      </c>
      <c r="DH36" s="50">
        <f>SUM(AA36:AD36)</f>
        <v>473</v>
      </c>
      <c r="DI36" s="30">
        <f>SUM(AE36:AH36)</f>
        <v>709</v>
      </c>
      <c r="DJ36" s="65">
        <f>+DI36*1.3</f>
        <v>921.7</v>
      </c>
      <c r="DK36" s="65">
        <f>+DJ36*1.15</f>
        <v>1059.9549999999999</v>
      </c>
      <c r="DL36" s="30">
        <f t="shared" ref="DL36:DN36" si="68">+DK36*1.1</f>
        <v>1165.9504999999999</v>
      </c>
      <c r="DM36" s="30">
        <f t="shared" si="68"/>
        <v>1282.54555</v>
      </c>
      <c r="DN36" s="30">
        <f t="shared" si="68"/>
        <v>1410.8001050000003</v>
      </c>
      <c r="DO36" s="30"/>
      <c r="DP36" s="30"/>
      <c r="DQ36" s="30"/>
      <c r="DR36" s="30"/>
      <c r="DS36" s="30"/>
      <c r="DT36" s="30"/>
      <c r="DU36" s="30"/>
      <c r="DV36" s="30"/>
      <c r="DW36" s="30"/>
    </row>
    <row r="37" spans="2:127" x14ac:dyDescent="0.2">
      <c r="B37" s="23" t="s">
        <v>456</v>
      </c>
      <c r="C37" s="30">
        <v>814</v>
      </c>
      <c r="D37" s="30">
        <v>968</v>
      </c>
      <c r="E37" s="30">
        <v>980</v>
      </c>
      <c r="F37" s="30">
        <v>1061</v>
      </c>
      <c r="G37" s="30">
        <v>986</v>
      </c>
      <c r="H37" s="30">
        <v>1145</v>
      </c>
      <c r="I37" s="30">
        <v>630</v>
      </c>
      <c r="J37" s="30">
        <v>496</v>
      </c>
      <c r="K37" s="30">
        <v>938</v>
      </c>
      <c r="L37" s="30">
        <v>1189</v>
      </c>
      <c r="M37" s="30">
        <v>1254</v>
      </c>
      <c r="N37" s="30">
        <v>1374</v>
      </c>
      <c r="O37" s="30">
        <v>1308</v>
      </c>
      <c r="P37" s="30">
        <v>1387</v>
      </c>
      <c r="Q37" s="30">
        <v>1439</v>
      </c>
      <c r="R37" s="30">
        <v>1469</v>
      </c>
      <c r="S37" s="30">
        <v>1435</v>
      </c>
      <c r="T37" s="30">
        <v>1539</v>
      </c>
      <c r="U37" s="30">
        <v>1554</v>
      </c>
      <c r="V37" s="30">
        <v>1618</v>
      </c>
      <c r="W37" s="30">
        <v>1666</v>
      </c>
      <c r="X37" s="30">
        <v>1627</v>
      </c>
      <c r="Y37" s="50">
        <v>1658</v>
      </c>
      <c r="Z37" s="50">
        <v>1715</v>
      </c>
      <c r="AA37" s="50">
        <v>1762</v>
      </c>
      <c r="AB37" s="50">
        <v>1865</v>
      </c>
      <c r="AC37" s="50">
        <v>1788</v>
      </c>
      <c r="AD37" s="50">
        <v>1672</v>
      </c>
      <c r="AE37" s="30">
        <v>1693</v>
      </c>
      <c r="AF37" s="30">
        <v>741</v>
      </c>
      <c r="AG37" s="50">
        <v>64</v>
      </c>
      <c r="AH37" s="50">
        <f>2547-AG37-AF37-AE37</f>
        <v>49</v>
      </c>
      <c r="AI37" s="30">
        <v>91</v>
      </c>
      <c r="AJ37" s="30">
        <v>44</v>
      </c>
      <c r="AK37" s="30">
        <v>42</v>
      </c>
      <c r="AL37" s="30"/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>
        <v>1890</v>
      </c>
      <c r="CZ37" s="30">
        <v>2467</v>
      </c>
      <c r="DA37" s="30">
        <v>3327</v>
      </c>
      <c r="DB37" s="30">
        <f>SUM(C37:F37)</f>
        <v>3823</v>
      </c>
      <c r="DC37" s="30">
        <f>SUM(G37:J37)</f>
        <v>3257</v>
      </c>
      <c r="DD37" s="30">
        <f>SUM(K37:N37)</f>
        <v>4755</v>
      </c>
      <c r="DE37" s="30">
        <f>SUM(O37:R37)</f>
        <v>5603</v>
      </c>
      <c r="DF37" s="50">
        <f>SUM(S37:V37)</f>
        <v>6146</v>
      </c>
      <c r="DG37" s="50">
        <f>SUM(W37:Z37)</f>
        <v>6666</v>
      </c>
      <c r="DH37" s="50">
        <f>SUM(AA37:AD37)</f>
        <v>7087</v>
      </c>
      <c r="DI37" s="30">
        <f>SUM(AE37:AH37)</f>
        <v>2547</v>
      </c>
      <c r="DJ37" s="65">
        <f>DI37*0.2</f>
        <v>509.40000000000003</v>
      </c>
      <c r="DK37" s="65">
        <f>+DJ37*0.5</f>
        <v>254.70000000000002</v>
      </c>
      <c r="DL37" s="30">
        <f>+DK37*0.5</f>
        <v>127.35000000000001</v>
      </c>
      <c r="DM37" s="30">
        <f t="shared" ref="DM37:DN37" si="69">+DL37*0.9</f>
        <v>114.61500000000001</v>
      </c>
      <c r="DN37" s="30">
        <f t="shared" si="69"/>
        <v>103.15350000000001</v>
      </c>
      <c r="DO37" s="30"/>
      <c r="DP37" s="30"/>
      <c r="DQ37" s="30"/>
      <c r="DR37" s="30"/>
      <c r="DS37" s="30"/>
      <c r="DT37" s="30"/>
      <c r="DU37" s="30"/>
      <c r="DV37" s="30"/>
    </row>
    <row r="38" spans="2:127" x14ac:dyDescent="0.2">
      <c r="B38" s="23" t="s">
        <v>578</v>
      </c>
      <c r="V38" s="35"/>
      <c r="W38" s="33"/>
      <c r="X38" s="33"/>
      <c r="Y38" s="49"/>
      <c r="Z38" s="49"/>
      <c r="AA38" s="49"/>
      <c r="AB38" s="49"/>
      <c r="AC38" s="49"/>
      <c r="AD38" s="49"/>
      <c r="AE38" s="49"/>
      <c r="AF38" s="35"/>
      <c r="AG38" s="54">
        <f>55+20</f>
        <v>75</v>
      </c>
      <c r="AH38" s="54">
        <f>149-AG38</f>
        <v>74</v>
      </c>
      <c r="AI38" s="35">
        <f>52+85</f>
        <v>137</v>
      </c>
      <c r="AJ38" s="35">
        <f>66+104</f>
        <v>170</v>
      </c>
      <c r="AK38" s="35">
        <f>87+106</f>
        <v>193</v>
      </c>
      <c r="AL38" s="35"/>
      <c r="AM38" s="35"/>
      <c r="AN38" s="35"/>
      <c r="AO38" s="35"/>
      <c r="AP38" s="35"/>
      <c r="AQ38" s="35"/>
      <c r="AR38" s="35"/>
      <c r="AS38" s="35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54"/>
      <c r="DG38" s="54"/>
      <c r="DH38" s="54"/>
      <c r="DI38" s="35">
        <v>50</v>
      </c>
      <c r="DJ38" s="66">
        <v>800</v>
      </c>
      <c r="DK38" s="66">
        <v>1000</v>
      </c>
      <c r="DL38" s="35">
        <v>1100</v>
      </c>
      <c r="DM38" s="35">
        <f>+DL38*1.05</f>
        <v>1155</v>
      </c>
      <c r="DN38" s="35">
        <f t="shared" ref="DN38" si="70">+DM38*1.05</f>
        <v>1212.75</v>
      </c>
      <c r="DO38" s="35"/>
      <c r="DP38" s="35"/>
      <c r="DQ38" s="35"/>
      <c r="DR38" s="35"/>
      <c r="DS38" s="35"/>
      <c r="DT38" s="35"/>
      <c r="DU38" s="35"/>
      <c r="DV38" s="35"/>
    </row>
    <row r="39" spans="2:127" x14ac:dyDescent="0.2">
      <c r="B39" s="23" t="s">
        <v>577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/>
      <c r="AH39" s="54"/>
      <c r="AI39" s="35">
        <v>3</v>
      </c>
      <c r="AJ39" s="35">
        <v>5</v>
      </c>
      <c r="AK39" s="35">
        <v>7</v>
      </c>
      <c r="AL39" s="35"/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0"/>
      <c r="DH39" s="54"/>
      <c r="DI39" s="35">
        <v>50</v>
      </c>
      <c r="DJ39" s="65">
        <v>100</v>
      </c>
      <c r="DK39" s="65">
        <v>150</v>
      </c>
      <c r="DL39" s="30">
        <v>200</v>
      </c>
      <c r="DM39" s="30">
        <v>200</v>
      </c>
      <c r="DN39" s="30">
        <v>200</v>
      </c>
      <c r="DO39" s="85" t="s">
        <v>651</v>
      </c>
      <c r="DP39" s="85" t="s">
        <v>651</v>
      </c>
      <c r="DQ39" s="85" t="s">
        <v>651</v>
      </c>
      <c r="DR39" s="35"/>
      <c r="DS39" s="35"/>
      <c r="DT39" s="35"/>
      <c r="DU39" s="35"/>
      <c r="DV39" s="35"/>
    </row>
    <row r="40" spans="2:127" x14ac:dyDescent="0.2">
      <c r="B40" s="23" t="s">
        <v>449</v>
      </c>
      <c r="C40" s="28">
        <v>87</v>
      </c>
      <c r="D40" s="28">
        <v>98</v>
      </c>
      <c r="E40" s="28">
        <v>107</v>
      </c>
      <c r="F40" s="28">
        <v>121</v>
      </c>
      <c r="G40" s="28">
        <v>138</v>
      </c>
      <c r="H40" s="28">
        <v>172</v>
      </c>
      <c r="I40" s="28">
        <v>175</v>
      </c>
      <c r="J40" s="28">
        <v>167</v>
      </c>
      <c r="K40" s="28">
        <v>160</v>
      </c>
      <c r="L40" s="28">
        <v>162</v>
      </c>
      <c r="M40" s="28">
        <v>185</v>
      </c>
      <c r="N40" s="28">
        <v>185</v>
      </c>
      <c r="O40" s="28">
        <v>187</v>
      </c>
      <c r="P40" s="28">
        <v>196</v>
      </c>
      <c r="Q40" s="28">
        <v>184</v>
      </c>
      <c r="R40" s="28">
        <v>182</v>
      </c>
      <c r="S40" s="28">
        <v>164</v>
      </c>
      <c r="T40" s="28">
        <v>173</v>
      </c>
      <c r="U40" s="28">
        <v>179</v>
      </c>
      <c r="V40" s="30">
        <v>167</v>
      </c>
      <c r="W40" s="28">
        <v>166</v>
      </c>
      <c r="X40" s="28">
        <v>172</v>
      </c>
      <c r="Y40" s="48">
        <v>159</v>
      </c>
      <c r="Z40" s="48">
        <v>165</v>
      </c>
      <c r="AA40" s="48">
        <v>165</v>
      </c>
      <c r="AB40" s="48">
        <v>173</v>
      </c>
      <c r="AC40" s="48">
        <v>172</v>
      </c>
      <c r="AD40" s="48">
        <v>181</v>
      </c>
      <c r="AE40" s="28">
        <v>179</v>
      </c>
      <c r="AF40" s="30">
        <v>179</v>
      </c>
      <c r="AG40" s="50">
        <v>173</v>
      </c>
      <c r="AH40" s="50">
        <f>702-AG40-AF40-AE40</f>
        <v>171</v>
      </c>
      <c r="AI40" s="30">
        <v>162</v>
      </c>
      <c r="AJ40" s="30">
        <v>171</v>
      </c>
      <c r="AK40" s="30">
        <v>183</v>
      </c>
      <c r="AL40" s="30"/>
      <c r="AM40" s="30"/>
      <c r="AN40" s="30">
        <v>186</v>
      </c>
      <c r="AO40" s="30"/>
      <c r="AP40" s="30"/>
      <c r="AQ40" s="30"/>
      <c r="AR40" s="30"/>
      <c r="AS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>
        <v>260</v>
      </c>
      <c r="DB40" s="30">
        <f t="shared" ref="DB40:DB49" si="71">SUM(C40:F40)</f>
        <v>413</v>
      </c>
      <c r="DC40" s="30">
        <f>SUM(G40:J40)</f>
        <v>652</v>
      </c>
      <c r="DD40" s="30">
        <f>SUM(K40:N40)</f>
        <v>692</v>
      </c>
      <c r="DE40" s="30">
        <f>SUM(O40:R40)</f>
        <v>749</v>
      </c>
      <c r="DF40" s="50">
        <f>SUM(S40:V40)</f>
        <v>683</v>
      </c>
      <c r="DG40" s="50">
        <f>SUM(W40:Z40)</f>
        <v>662</v>
      </c>
      <c r="DH40" s="50">
        <f>SUM(AA40:AD40)</f>
        <v>691</v>
      </c>
      <c r="DI40" s="30">
        <f>SUM(AE40:AH40)</f>
        <v>702</v>
      </c>
      <c r="DJ40" s="65">
        <f>DI40*1.05</f>
        <v>737.1</v>
      </c>
      <c r="DK40" s="65">
        <f>DJ40*1.05</f>
        <v>773.95500000000004</v>
      </c>
      <c r="DL40" s="30">
        <f>DK40*1.05</f>
        <v>812.65275000000008</v>
      </c>
      <c r="DM40" s="30">
        <f>DL40*1.05</f>
        <v>853.28538750000007</v>
      </c>
      <c r="DN40" s="30">
        <f>DM40*1.01</f>
        <v>861.81824137500007</v>
      </c>
      <c r="DO40" s="30"/>
      <c r="DP40" s="30"/>
      <c r="DQ40" s="30"/>
      <c r="DR40" s="30"/>
      <c r="DS40" s="30"/>
      <c r="DT40" s="30"/>
      <c r="DU40" s="30"/>
      <c r="DV40" s="30"/>
    </row>
    <row r="41" spans="2:127" x14ac:dyDescent="0.2">
      <c r="B41" s="23" t="s">
        <v>457</v>
      </c>
      <c r="C41" s="28">
        <v>188</v>
      </c>
      <c r="D41" s="28">
        <v>240</v>
      </c>
      <c r="E41" s="28">
        <v>260</v>
      </c>
      <c r="F41" s="28">
        <v>224</v>
      </c>
      <c r="G41" s="28">
        <v>283</v>
      </c>
      <c r="H41" s="28">
        <v>324</v>
      </c>
      <c r="I41" s="28">
        <v>313</v>
      </c>
      <c r="J41" s="28">
        <v>362</v>
      </c>
      <c r="K41" s="28">
        <v>366</v>
      </c>
      <c r="L41" s="28">
        <v>412</v>
      </c>
      <c r="M41" s="28">
        <v>420</v>
      </c>
      <c r="N41" s="28">
        <v>462</v>
      </c>
      <c r="O41" s="28">
        <v>454</v>
      </c>
      <c r="P41" s="28">
        <v>529</v>
      </c>
      <c r="Q41" s="28">
        <v>564</v>
      </c>
      <c r="R41" s="28">
        <v>606</v>
      </c>
      <c r="S41" s="28">
        <v>589</v>
      </c>
      <c r="T41" s="28">
        <v>643</v>
      </c>
      <c r="U41" s="28">
        <v>653</v>
      </c>
      <c r="V41" s="30">
        <v>707</v>
      </c>
      <c r="W41" s="28">
        <v>617</v>
      </c>
      <c r="X41" s="28">
        <v>633</v>
      </c>
      <c r="Y41" s="48">
        <v>608</v>
      </c>
      <c r="Z41" s="48">
        <v>707</v>
      </c>
      <c r="AA41" s="48">
        <v>624</v>
      </c>
      <c r="AB41" s="48">
        <v>706</v>
      </c>
      <c r="AC41" s="48">
        <v>691</v>
      </c>
      <c r="AD41" s="48">
        <v>737</v>
      </c>
      <c r="AE41" s="28">
        <v>621</v>
      </c>
      <c r="AF41" s="30">
        <v>711</v>
      </c>
      <c r="AG41" s="50">
        <v>676</v>
      </c>
      <c r="AH41" s="50">
        <f>2827-AG41-AF41-AE41</f>
        <v>819</v>
      </c>
      <c r="AI41" s="30">
        <v>522</v>
      </c>
      <c r="AJ41" s="30">
        <v>563</v>
      </c>
      <c r="AK41" s="30">
        <v>569</v>
      </c>
      <c r="AL41" s="30"/>
      <c r="AM41" s="30"/>
      <c r="AN41" s="30">
        <v>555</v>
      </c>
      <c r="AO41" s="30"/>
      <c r="AP41" s="30"/>
      <c r="AQ41" s="30"/>
      <c r="AR41" s="30"/>
      <c r="AS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>
        <v>284</v>
      </c>
      <c r="DA41" s="30">
        <v>593</v>
      </c>
      <c r="DB41" s="30">
        <f t="shared" si="71"/>
        <v>912</v>
      </c>
      <c r="DC41" s="30">
        <f>SUM(G41:J41)</f>
        <v>1282</v>
      </c>
      <c r="DD41" s="30">
        <f>SUM(K41:N41)</f>
        <v>1660</v>
      </c>
      <c r="DE41" s="30">
        <f>SUM(O41:R41)</f>
        <v>2153</v>
      </c>
      <c r="DF41" s="50">
        <f>SUM(S41:V41)</f>
        <v>2592</v>
      </c>
      <c r="DG41" s="50">
        <f>SUM(W41:Z41)</f>
        <v>2565</v>
      </c>
      <c r="DH41" s="50">
        <f>SUM(AA41:AD41)</f>
        <v>2758</v>
      </c>
      <c r="DI41" s="30">
        <f>SUM(AE41:AH41)</f>
        <v>2827</v>
      </c>
      <c r="DJ41" s="65">
        <f>DI41*1.05</f>
        <v>2968.35</v>
      </c>
      <c r="DK41" s="65">
        <f>DJ41*1</f>
        <v>2968.35</v>
      </c>
      <c r="DL41" s="30">
        <f>DK41*0.2</f>
        <v>593.66999999999996</v>
      </c>
      <c r="DM41" s="30">
        <f t="shared" ref="DM41:DN41" si="72">DL41*0.5</f>
        <v>296.83499999999998</v>
      </c>
      <c r="DN41" s="30">
        <f t="shared" si="72"/>
        <v>148.41749999999999</v>
      </c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458</v>
      </c>
      <c r="C42" s="28">
        <v>173</v>
      </c>
      <c r="D42" s="28">
        <v>167</v>
      </c>
      <c r="E42" s="28">
        <v>170</v>
      </c>
      <c r="F42" s="28">
        <v>170</v>
      </c>
      <c r="G42" s="28">
        <v>175</v>
      </c>
      <c r="H42" s="28">
        <v>193</v>
      </c>
      <c r="I42" s="28">
        <v>201</v>
      </c>
      <c r="J42" s="28">
        <v>222</v>
      </c>
      <c r="K42" s="28">
        <v>226</v>
      </c>
      <c r="L42" s="28">
        <v>233</v>
      </c>
      <c r="M42" s="28">
        <v>237</v>
      </c>
      <c r="N42" s="28">
        <v>260</v>
      </c>
      <c r="O42" s="28">
        <v>273</v>
      </c>
      <c r="P42" s="28">
        <v>282</v>
      </c>
      <c r="Q42" s="28">
        <v>294</v>
      </c>
      <c r="R42" s="28">
        <v>300</v>
      </c>
      <c r="S42" s="28">
        <v>292</v>
      </c>
      <c r="T42" s="28">
        <v>312</v>
      </c>
      <c r="U42" s="28">
        <v>315</v>
      </c>
      <c r="V42" s="30">
        <v>358</v>
      </c>
      <c r="W42" s="28">
        <v>335</v>
      </c>
      <c r="X42" s="28">
        <v>331</v>
      </c>
      <c r="Y42" s="48">
        <v>342</v>
      </c>
      <c r="Z42" s="48">
        <v>360</v>
      </c>
      <c r="AA42" s="48">
        <v>343</v>
      </c>
      <c r="AB42" s="48">
        <v>371</v>
      </c>
      <c r="AC42" s="48">
        <v>359</v>
      </c>
      <c r="AD42" s="50">
        <v>412</v>
      </c>
      <c r="AE42" s="30">
        <v>386</v>
      </c>
      <c r="AF42" s="30">
        <v>388</v>
      </c>
      <c r="AG42" s="50">
        <v>370</v>
      </c>
      <c r="AH42" s="50">
        <f>1527-AG42-AF42-AE42</f>
        <v>383</v>
      </c>
      <c r="AI42" s="30">
        <v>387</v>
      </c>
      <c r="AJ42" s="30">
        <v>411</v>
      </c>
      <c r="AK42" s="30">
        <v>389</v>
      </c>
      <c r="AL42" s="30"/>
      <c r="AM42" s="30"/>
      <c r="AN42" s="30">
        <v>361</v>
      </c>
      <c r="AO42" s="30"/>
      <c r="AP42" s="30"/>
      <c r="AQ42" s="30"/>
      <c r="AR42" s="30"/>
      <c r="AS42" s="30"/>
      <c r="AW42" s="28">
        <v>275</v>
      </c>
      <c r="AX42" s="28">
        <v>246</v>
      </c>
      <c r="AY42" s="28">
        <v>184</v>
      </c>
      <c r="AZ42" s="28">
        <v>188</v>
      </c>
      <c r="BA42" s="28">
        <v>183</v>
      </c>
      <c r="BB42" s="28">
        <v>174</v>
      </c>
      <c r="BC42" s="28">
        <v>84</v>
      </c>
      <c r="BD42" s="28">
        <v>73</v>
      </c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>
        <v>455</v>
      </c>
      <c r="CZ42" s="30">
        <v>544</v>
      </c>
      <c r="DA42" s="30">
        <v>621</v>
      </c>
      <c r="DB42" s="30">
        <f t="shared" si="71"/>
        <v>680</v>
      </c>
      <c r="DC42" s="30">
        <f>SUM(G42:J42)</f>
        <v>791</v>
      </c>
      <c r="DD42" s="30">
        <f>SUM(K42:N42)</f>
        <v>956</v>
      </c>
      <c r="DE42" s="30">
        <f>SUM(O42:R42)</f>
        <v>1149</v>
      </c>
      <c r="DF42" s="50">
        <f>SUM(S42:V42)</f>
        <v>1277</v>
      </c>
      <c r="DG42" s="50">
        <f>SUM(W42:Z42)</f>
        <v>1368</v>
      </c>
      <c r="DH42" s="50">
        <f>SUM(AA42:AD42)</f>
        <v>1485</v>
      </c>
      <c r="DI42" s="30">
        <f>SUM(AE42:AH42)</f>
        <v>1527</v>
      </c>
      <c r="DJ42" s="65">
        <f>DI42*0.8</f>
        <v>1221.6000000000001</v>
      </c>
      <c r="DK42" s="65">
        <f t="shared" ref="DK42:DN42" si="73">DJ42*0.3</f>
        <v>366.48</v>
      </c>
      <c r="DL42" s="30">
        <f t="shared" si="73"/>
        <v>109.944</v>
      </c>
      <c r="DM42" s="30">
        <f t="shared" si="73"/>
        <v>32.983199999999997</v>
      </c>
      <c r="DN42" s="30">
        <f t="shared" si="73"/>
        <v>9.8949599999999993</v>
      </c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459</v>
      </c>
      <c r="C43" s="28">
        <v>149</v>
      </c>
      <c r="D43" s="28">
        <v>183</v>
      </c>
      <c r="E43" s="28">
        <v>176</v>
      </c>
      <c r="F43" s="28">
        <v>188</v>
      </c>
      <c r="G43" s="28">
        <v>207</v>
      </c>
      <c r="H43" s="28">
        <v>236</v>
      </c>
      <c r="I43" s="28">
        <v>233</v>
      </c>
      <c r="J43" s="28">
        <v>255</v>
      </c>
      <c r="K43" s="28">
        <v>263</v>
      </c>
      <c r="L43" s="28">
        <v>254</v>
      </c>
      <c r="M43" s="28">
        <v>273</v>
      </c>
      <c r="N43" s="28">
        <v>334</v>
      </c>
      <c r="O43" s="28">
        <v>297</v>
      </c>
      <c r="P43" s="28">
        <v>324</v>
      </c>
      <c r="Q43" s="28">
        <v>342</v>
      </c>
      <c r="R43" s="28">
        <v>329</v>
      </c>
      <c r="S43" s="28">
        <v>322</v>
      </c>
      <c r="T43" s="28">
        <v>331</v>
      </c>
      <c r="U43" s="33">
        <v>360</v>
      </c>
      <c r="V43" s="30">
        <v>388</v>
      </c>
      <c r="W43" s="28">
        <v>373</v>
      </c>
      <c r="X43" s="28">
        <v>357</v>
      </c>
      <c r="Y43" s="48">
        <v>375</v>
      </c>
      <c r="Z43" s="48">
        <v>374</v>
      </c>
      <c r="AA43" s="48">
        <v>366</v>
      </c>
      <c r="AB43" s="48">
        <v>396</v>
      </c>
      <c r="AC43" s="48">
        <v>391</v>
      </c>
      <c r="AD43" s="48">
        <v>416</v>
      </c>
      <c r="AE43" s="28">
        <v>358</v>
      </c>
      <c r="AF43" s="30">
        <v>406</v>
      </c>
      <c r="AG43" s="50">
        <v>363</v>
      </c>
      <c r="AH43" s="50">
        <f>1521-AG43-AF43-AE43</f>
        <v>394</v>
      </c>
      <c r="AI43" s="30">
        <v>361</v>
      </c>
      <c r="AJ43" s="30">
        <v>431</v>
      </c>
      <c r="AK43" s="30">
        <v>375</v>
      </c>
      <c r="AL43" s="30"/>
      <c r="AM43" s="30"/>
      <c r="AN43" s="30">
        <v>362</v>
      </c>
      <c r="AO43" s="30"/>
      <c r="AP43" s="30"/>
      <c r="AQ43" s="30"/>
      <c r="AR43" s="30"/>
      <c r="AS43" s="30"/>
      <c r="AW43" s="28">
        <v>238</v>
      </c>
      <c r="AX43" s="28">
        <v>206</v>
      </c>
      <c r="AY43" s="28">
        <v>193</v>
      </c>
      <c r="AZ43" s="28">
        <v>188</v>
      </c>
      <c r="BA43" s="28">
        <v>174</v>
      </c>
      <c r="BB43" s="28">
        <v>143</v>
      </c>
      <c r="BC43" s="28">
        <v>124</v>
      </c>
      <c r="BD43" s="28">
        <v>117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>
        <v>88</v>
      </c>
      <c r="DA43" s="30">
        <v>414</v>
      </c>
      <c r="DB43" s="30">
        <f t="shared" si="71"/>
        <v>696</v>
      </c>
      <c r="DC43" s="30">
        <f>SUM(G43:J43)</f>
        <v>931</v>
      </c>
      <c r="DD43" s="30">
        <f>SUM(K43:N43)</f>
        <v>1124</v>
      </c>
      <c r="DE43" s="30">
        <f>SUM(O43:R43)</f>
        <v>1292</v>
      </c>
      <c r="DF43" s="50">
        <f>SUM(S43:V43)</f>
        <v>1401</v>
      </c>
      <c r="DG43" s="50">
        <f>SUM(W43:Z43)</f>
        <v>1479</v>
      </c>
      <c r="DH43" s="50">
        <f>SUM(AA43:AD43)</f>
        <v>1569</v>
      </c>
      <c r="DI43" s="30">
        <f>SUM(AE43:AH43)</f>
        <v>1521</v>
      </c>
      <c r="DJ43" s="65">
        <f>+DI43*1.05</f>
        <v>1597.05</v>
      </c>
      <c r="DK43" s="65">
        <f>+DJ43*1.05</f>
        <v>1676.9024999999999</v>
      </c>
      <c r="DL43" s="30">
        <f>DK43</f>
        <v>1676.9024999999999</v>
      </c>
      <c r="DM43" s="30">
        <f>+DL43</f>
        <v>1676.9024999999999</v>
      </c>
      <c r="DN43" s="30">
        <f>+DM43</f>
        <v>1676.9024999999999</v>
      </c>
      <c r="DO43" s="25"/>
      <c r="DP43" s="25"/>
      <c r="DQ43" s="25"/>
      <c r="DR43" s="25"/>
      <c r="DS43" s="25"/>
      <c r="DT43" s="25"/>
      <c r="DU43" s="25"/>
      <c r="DV43" s="25"/>
    </row>
    <row r="44" spans="2:127" x14ac:dyDescent="0.2">
      <c r="B44" s="23" t="s">
        <v>460</v>
      </c>
      <c r="D44" s="28">
        <v>5</v>
      </c>
      <c r="E44" s="28">
        <v>2</v>
      </c>
      <c r="F44" s="28">
        <v>5</v>
      </c>
      <c r="G44" s="28">
        <v>11</v>
      </c>
      <c r="H44" s="28">
        <v>14</v>
      </c>
      <c r="I44" s="28">
        <v>22</v>
      </c>
      <c r="J44" s="28">
        <v>36</v>
      </c>
      <c r="K44" s="28">
        <v>45</v>
      </c>
      <c r="L44" s="28">
        <v>59</v>
      </c>
      <c r="M44" s="28">
        <v>72</v>
      </c>
      <c r="N44" s="28">
        <v>99</v>
      </c>
      <c r="O44" s="28">
        <v>108</v>
      </c>
      <c r="P44" s="28">
        <v>136</v>
      </c>
      <c r="Q44" s="28">
        <v>144</v>
      </c>
      <c r="R44" s="28">
        <v>153</v>
      </c>
      <c r="S44" s="28">
        <v>152</v>
      </c>
      <c r="T44" s="28">
        <v>179</v>
      </c>
      <c r="U44" s="28">
        <v>191</v>
      </c>
      <c r="V44" s="30">
        <v>212</v>
      </c>
      <c r="W44" s="28">
        <v>216</v>
      </c>
      <c r="X44" s="28">
        <v>223</v>
      </c>
      <c r="Y44" s="48">
        <v>228</v>
      </c>
      <c r="Z44" s="48">
        <v>264</v>
      </c>
      <c r="AA44" s="48">
        <v>275</v>
      </c>
      <c r="AB44" s="48">
        <v>292</v>
      </c>
      <c r="AC44" s="48">
        <v>311</v>
      </c>
      <c r="AD44" s="48">
        <v>318</v>
      </c>
      <c r="AE44" s="28">
        <v>325</v>
      </c>
      <c r="AF44" s="30">
        <v>357</v>
      </c>
      <c r="AG44" s="50">
        <v>346</v>
      </c>
      <c r="AH44" s="50">
        <f>1527-AG44-AF44-AE44</f>
        <v>499</v>
      </c>
      <c r="AI44" s="30">
        <v>366</v>
      </c>
      <c r="AJ44" s="30">
        <v>371</v>
      </c>
      <c r="AK44" s="30">
        <v>378</v>
      </c>
      <c r="AL44" s="30"/>
      <c r="AM44" s="30"/>
      <c r="AN44" s="30">
        <v>369</v>
      </c>
      <c r="AO44" s="30"/>
      <c r="AP44" s="30"/>
      <c r="AQ44" s="30"/>
      <c r="AR44" s="30"/>
      <c r="AS44" s="30"/>
      <c r="AW44" s="28">
        <v>306</v>
      </c>
      <c r="AX44" s="28">
        <v>296</v>
      </c>
      <c r="AY44" s="28">
        <v>282</v>
      </c>
      <c r="AZ44" s="28">
        <v>273</v>
      </c>
      <c r="BA44" s="28">
        <v>264</v>
      </c>
      <c r="BB44" s="28">
        <v>233</v>
      </c>
      <c r="BC44" s="28">
        <v>225</v>
      </c>
      <c r="BD44" s="28">
        <v>179</v>
      </c>
      <c r="BE44" s="28">
        <v>175</v>
      </c>
      <c r="BF44" s="28">
        <v>165</v>
      </c>
      <c r="BG44" s="28">
        <v>141</v>
      </c>
      <c r="BH44" s="28">
        <v>147</v>
      </c>
      <c r="BI44" s="28">
        <v>145</v>
      </c>
      <c r="BJ44" s="28">
        <v>122</v>
      </c>
      <c r="BK44" s="28">
        <v>122</v>
      </c>
      <c r="BL44" s="28">
        <v>121</v>
      </c>
      <c r="BM44" s="28">
        <v>100</v>
      </c>
      <c r="BQ44" s="28">
        <v>105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>
        <f t="shared" si="71"/>
        <v>12</v>
      </c>
      <c r="DC44" s="30">
        <f>SUM(G44:J44)</f>
        <v>83</v>
      </c>
      <c r="DD44" s="30">
        <f>SUM(K44:N44)</f>
        <v>275</v>
      </c>
      <c r="DE44" s="30">
        <f>SUM(O44:R44)</f>
        <v>541</v>
      </c>
      <c r="DF44" s="50">
        <f>SUM(S44:V44)</f>
        <v>734</v>
      </c>
      <c r="DG44" s="50">
        <f>SUM(W44:Z44)</f>
        <v>931</v>
      </c>
      <c r="DH44" s="50">
        <f>SUM(AA44:AD44)</f>
        <v>1196</v>
      </c>
      <c r="DI44" s="30">
        <f>SUM(AE44:AH44)</f>
        <v>1527</v>
      </c>
      <c r="DJ44" s="65">
        <f>DI44*1.1</f>
        <v>1679.7</v>
      </c>
      <c r="DK44" s="65">
        <f>DJ44*1.1</f>
        <v>1847.6700000000003</v>
      </c>
      <c r="DL44" s="30">
        <f>DK44*1.1</f>
        <v>2032.4370000000006</v>
      </c>
      <c r="DM44" s="30">
        <f>DL44*0.5</f>
        <v>1016.2185000000003</v>
      </c>
      <c r="DN44" s="30">
        <f t="shared" ref="DN44" si="74">+DM44*0.1</f>
        <v>101.62185000000004</v>
      </c>
      <c r="DO44" s="30">
        <v>744</v>
      </c>
      <c r="DP44" s="30">
        <v>555</v>
      </c>
      <c r="DQ44" s="30">
        <f t="shared" ref="DQ44" si="75">SUM(BK44:BN44)</f>
        <v>343</v>
      </c>
      <c r="DR44" s="35">
        <f>SUM(BO44:BR44)</f>
        <v>105</v>
      </c>
      <c r="DS44" s="30"/>
      <c r="DT44" s="30"/>
      <c r="DU44" s="30"/>
      <c r="DV44" s="30"/>
    </row>
    <row r="45" spans="2:127" ht="6.75" customHeight="1" x14ac:dyDescent="0.2">
      <c r="B45" s="1" t="s">
        <v>87</v>
      </c>
      <c r="C45" s="28">
        <v>59</v>
      </c>
      <c r="D45" s="28">
        <v>54</v>
      </c>
      <c r="E45" s="28">
        <v>49</v>
      </c>
      <c r="F45" s="28">
        <v>46</v>
      </c>
      <c r="G45" s="28">
        <v>48</v>
      </c>
      <c r="H45" s="28">
        <v>49</v>
      </c>
      <c r="I45" s="28">
        <v>34</v>
      </c>
      <c r="J45" s="28">
        <v>28</v>
      </c>
      <c r="V45" s="30"/>
      <c r="AF45" s="30"/>
      <c r="AG45" s="50"/>
      <c r="AH45" s="5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>
        <v>426</v>
      </c>
      <c r="CZ45" s="30">
        <v>470</v>
      </c>
      <c r="DA45" s="30">
        <v>275</v>
      </c>
      <c r="DB45" s="30">
        <f t="shared" si="71"/>
        <v>208</v>
      </c>
      <c r="DC45" s="30">
        <f t="shared" si="67"/>
        <v>159</v>
      </c>
      <c r="DD45" s="30">
        <v>156</v>
      </c>
      <c r="DE45" s="30"/>
      <c r="DF45" s="54" t="s">
        <v>362</v>
      </c>
      <c r="DG45" s="54" t="s">
        <v>362</v>
      </c>
      <c r="DH45" s="54" t="s">
        <v>362</v>
      </c>
      <c r="DI45" s="35" t="s">
        <v>362</v>
      </c>
      <c r="DJ45" s="66" t="s">
        <v>362</v>
      </c>
      <c r="DK45" s="66" t="s">
        <v>362</v>
      </c>
      <c r="DL45" s="35" t="s">
        <v>362</v>
      </c>
      <c r="DM45" s="35" t="s">
        <v>362</v>
      </c>
      <c r="DN45" s="35" t="s">
        <v>362</v>
      </c>
      <c r="DO45" s="35"/>
      <c r="DP45" s="35" t="s">
        <v>362</v>
      </c>
      <c r="DQ45" s="35"/>
      <c r="DR45" s="35"/>
      <c r="DS45" s="35"/>
      <c r="DT45" s="35"/>
      <c r="DU45" s="35"/>
      <c r="DV45" s="35"/>
    </row>
    <row r="46" spans="2:127" ht="6.75" customHeight="1" x14ac:dyDescent="0.2">
      <c r="B46" s="1" t="s">
        <v>7</v>
      </c>
      <c r="C46" s="28">
        <v>520</v>
      </c>
      <c r="D46" s="28">
        <v>625</v>
      </c>
      <c r="E46" s="28">
        <v>527</v>
      </c>
      <c r="F46" s="28">
        <v>584</v>
      </c>
      <c r="G46" s="28">
        <v>536</v>
      </c>
      <c r="H46" s="28">
        <v>323</v>
      </c>
      <c r="I46" s="28">
        <v>192</v>
      </c>
      <c r="J46" s="28">
        <v>146</v>
      </c>
      <c r="K46" s="28">
        <v>135</v>
      </c>
      <c r="L46" s="28">
        <v>135</v>
      </c>
      <c r="M46" s="28">
        <v>86</v>
      </c>
      <c r="N46" s="28">
        <v>90</v>
      </c>
      <c r="O46" s="28">
        <v>73</v>
      </c>
      <c r="P46" s="28">
        <v>69</v>
      </c>
      <c r="Q46" s="28">
        <v>34</v>
      </c>
      <c r="R46" s="28">
        <v>27</v>
      </c>
      <c r="S46" s="33" t="s">
        <v>362</v>
      </c>
      <c r="T46" s="33" t="s">
        <v>362</v>
      </c>
      <c r="U46" s="28" t="s">
        <v>362</v>
      </c>
      <c r="V46" s="30" t="str">
        <f>U46</f>
        <v>-</v>
      </c>
      <c r="W46" s="33" t="s">
        <v>362</v>
      </c>
      <c r="X46" s="28" t="s">
        <v>362</v>
      </c>
      <c r="Y46" s="28" t="s">
        <v>362</v>
      </c>
      <c r="Z46" s="28" t="s">
        <v>362</v>
      </c>
      <c r="AA46" s="48" t="s">
        <v>362</v>
      </c>
      <c r="AB46" s="28" t="s">
        <v>362</v>
      </c>
      <c r="AC46" s="28" t="s">
        <v>362</v>
      </c>
      <c r="AD46" s="28" t="s">
        <v>362</v>
      </c>
      <c r="AE46" s="28" t="s">
        <v>362</v>
      </c>
      <c r="AF46" s="35" t="s">
        <v>362</v>
      </c>
      <c r="AG46" s="54" t="s">
        <v>362</v>
      </c>
      <c r="AH46" s="54" t="s">
        <v>362</v>
      </c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CL46" s="30"/>
      <c r="CM46" s="30"/>
      <c r="CN46" s="30"/>
      <c r="CO46" s="30"/>
      <c r="CP46" s="30">
        <v>500</v>
      </c>
      <c r="CQ46" s="30"/>
      <c r="CR46" s="30"/>
      <c r="CS46" s="30"/>
      <c r="CT46" s="30"/>
      <c r="CU46" s="30"/>
      <c r="CV46" s="30"/>
      <c r="CW46" s="30"/>
      <c r="CX46" s="30"/>
      <c r="CY46" s="30">
        <v>2266</v>
      </c>
      <c r="CZ46" s="30">
        <v>2827</v>
      </c>
      <c r="DA46" s="30">
        <v>2635</v>
      </c>
      <c r="DB46" s="30">
        <f t="shared" si="71"/>
        <v>2256</v>
      </c>
      <c r="DC46" s="30">
        <f t="shared" si="67"/>
        <v>1197</v>
      </c>
      <c r="DD46" s="30">
        <f>SUM(K46:N46)</f>
        <v>446</v>
      </c>
      <c r="DE46" s="30">
        <f>SUM(O46:R46)</f>
        <v>203</v>
      </c>
      <c r="DF46" s="54" t="s">
        <v>362</v>
      </c>
      <c r="DG46" s="54" t="s">
        <v>362</v>
      </c>
      <c r="DH46" s="54" t="s">
        <v>362</v>
      </c>
      <c r="DI46" s="35" t="s">
        <v>362</v>
      </c>
      <c r="DJ46" s="66" t="s">
        <v>362</v>
      </c>
      <c r="DK46" s="66" t="s">
        <v>362</v>
      </c>
      <c r="DL46" s="35" t="s">
        <v>362</v>
      </c>
      <c r="DM46" s="35" t="s">
        <v>362</v>
      </c>
      <c r="DN46" s="35" t="s">
        <v>362</v>
      </c>
      <c r="DO46" s="35"/>
      <c r="DP46" s="35" t="s">
        <v>362</v>
      </c>
      <c r="DQ46" s="35"/>
      <c r="DR46" s="35"/>
      <c r="DS46" s="35"/>
      <c r="DT46" s="35"/>
      <c r="DU46" s="35"/>
      <c r="DV46" s="35"/>
    </row>
    <row r="47" spans="2:127" ht="5.25" customHeight="1" x14ac:dyDescent="0.2">
      <c r="B47" s="1" t="s">
        <v>95</v>
      </c>
      <c r="C47" s="28">
        <v>205</v>
      </c>
      <c r="D47" s="28">
        <v>186</v>
      </c>
      <c r="E47" s="28">
        <v>175</v>
      </c>
      <c r="F47" s="28">
        <v>181</v>
      </c>
      <c r="G47" s="28">
        <v>147</v>
      </c>
      <c r="H47" s="28">
        <v>149</v>
      </c>
      <c r="I47" s="28">
        <v>137</v>
      </c>
      <c r="J47" s="28">
        <v>130</v>
      </c>
      <c r="K47" s="28">
        <v>111</v>
      </c>
      <c r="L47" s="28">
        <v>95</v>
      </c>
      <c r="M47" s="28">
        <v>102</v>
      </c>
      <c r="N47" s="28">
        <v>114</v>
      </c>
      <c r="O47" s="28">
        <v>94</v>
      </c>
      <c r="P47" s="28">
        <v>101</v>
      </c>
      <c r="Q47" s="28">
        <v>91</v>
      </c>
      <c r="R47" s="28">
        <v>99</v>
      </c>
      <c r="S47" s="33" t="s">
        <v>362</v>
      </c>
      <c r="T47" s="33" t="s">
        <v>362</v>
      </c>
      <c r="U47" s="28" t="s">
        <v>362</v>
      </c>
      <c r="V47" s="30" t="str">
        <f>U47</f>
        <v>-</v>
      </c>
      <c r="W47" s="33" t="s">
        <v>362</v>
      </c>
      <c r="X47" s="28" t="s">
        <v>362</v>
      </c>
      <c r="Y47" s="28" t="s">
        <v>362</v>
      </c>
      <c r="Z47" s="28" t="s">
        <v>362</v>
      </c>
      <c r="AA47" s="48" t="s">
        <v>362</v>
      </c>
      <c r="AB47" s="28" t="s">
        <v>362</v>
      </c>
      <c r="AC47" s="28" t="s">
        <v>362</v>
      </c>
      <c r="AD47" s="28" t="s">
        <v>362</v>
      </c>
      <c r="AE47" s="28" t="s">
        <v>362</v>
      </c>
      <c r="AF47" s="35" t="s">
        <v>362</v>
      </c>
      <c r="AG47" s="54" t="s">
        <v>362</v>
      </c>
      <c r="AH47" s="54" t="s">
        <v>362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>
        <v>857</v>
      </c>
      <c r="CZ47" s="30">
        <v>934</v>
      </c>
      <c r="DA47" s="30">
        <v>991</v>
      </c>
      <c r="DB47" s="30">
        <f t="shared" si="71"/>
        <v>747</v>
      </c>
      <c r="DC47" s="30">
        <f t="shared" si="67"/>
        <v>563</v>
      </c>
      <c r="DD47" s="30">
        <f>SUM(K47:N47)</f>
        <v>422</v>
      </c>
      <c r="DE47" s="30">
        <f>SUM(O47:R47)</f>
        <v>385</v>
      </c>
      <c r="DF47" s="54" t="s">
        <v>362</v>
      </c>
      <c r="DG47" s="54" t="s">
        <v>362</v>
      </c>
      <c r="DH47" s="54" t="s">
        <v>362</v>
      </c>
      <c r="DI47" s="35" t="s">
        <v>362</v>
      </c>
      <c r="DJ47" s="66" t="s">
        <v>362</v>
      </c>
      <c r="DK47" s="66" t="s">
        <v>362</v>
      </c>
      <c r="DL47" s="35" t="s">
        <v>362</v>
      </c>
      <c r="DM47" s="35" t="s">
        <v>362</v>
      </c>
      <c r="DN47" s="35" t="s">
        <v>362</v>
      </c>
      <c r="DO47" s="35"/>
      <c r="DP47" s="35" t="s">
        <v>362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91</v>
      </c>
      <c r="C48" s="28">
        <v>59</v>
      </c>
      <c r="D48" s="28">
        <v>59</v>
      </c>
      <c r="E48" s="28">
        <v>51</v>
      </c>
      <c r="F48" s="28">
        <v>47</v>
      </c>
      <c r="G48" s="28">
        <v>40</v>
      </c>
      <c r="H48" s="28">
        <v>41</v>
      </c>
      <c r="I48" s="28">
        <v>38</v>
      </c>
      <c r="J48" s="28">
        <v>36</v>
      </c>
      <c r="V48" s="30"/>
      <c r="Y48" s="28"/>
      <c r="Z48" s="28"/>
      <c r="AB48" s="28"/>
      <c r="AC48" s="28"/>
      <c r="AD48" s="28"/>
      <c r="AF48" s="30"/>
      <c r="AG48" s="50"/>
      <c r="AH48" s="5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443</v>
      </c>
      <c r="CZ48" s="30">
        <v>354</v>
      </c>
      <c r="DA48" s="30">
        <v>272</v>
      </c>
      <c r="DB48" s="30">
        <f t="shared" si="71"/>
        <v>216</v>
      </c>
      <c r="DC48" s="30">
        <f t="shared" si="67"/>
        <v>155</v>
      </c>
      <c r="DD48" s="30">
        <v>129</v>
      </c>
      <c r="DE48" s="30"/>
      <c r="DF48" s="54" t="s">
        <v>362</v>
      </c>
      <c r="DG48" s="54" t="s">
        <v>362</v>
      </c>
      <c r="DH48" s="54" t="s">
        <v>362</v>
      </c>
      <c r="DI48" s="35" t="s">
        <v>362</v>
      </c>
      <c r="DJ48" s="66" t="s">
        <v>362</v>
      </c>
      <c r="DK48" s="66" t="s">
        <v>362</v>
      </c>
      <c r="DL48" s="35" t="s">
        <v>362</v>
      </c>
      <c r="DM48" s="35" t="s">
        <v>362</v>
      </c>
      <c r="DN48" s="35" t="s">
        <v>362</v>
      </c>
      <c r="DO48" s="35"/>
      <c r="DP48" s="35" t="s">
        <v>362</v>
      </c>
      <c r="DQ48" s="35"/>
      <c r="DR48" s="35"/>
      <c r="DS48" s="35"/>
      <c r="DT48" s="35"/>
      <c r="DU48" s="35"/>
      <c r="DV48" s="35"/>
    </row>
    <row r="49" spans="2:133" ht="5.25" customHeight="1" x14ac:dyDescent="0.2">
      <c r="B49" s="1" t="s">
        <v>93</v>
      </c>
      <c r="C49" s="28">
        <v>82</v>
      </c>
      <c r="D49" s="28">
        <v>54</v>
      </c>
      <c r="E49" s="28">
        <v>48</v>
      </c>
      <c r="F49" s="28">
        <v>75</v>
      </c>
      <c r="G49" s="28">
        <v>23</v>
      </c>
      <c r="H49" s="28">
        <v>23</v>
      </c>
      <c r="I49" s="28">
        <v>18</v>
      </c>
      <c r="J49" s="28">
        <v>23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287</v>
      </c>
      <c r="CZ49" s="30">
        <v>327</v>
      </c>
      <c r="DA49" s="30">
        <v>270</v>
      </c>
      <c r="DB49" s="30">
        <f t="shared" si="71"/>
        <v>259</v>
      </c>
      <c r="DC49" s="30">
        <f t="shared" si="67"/>
        <v>87</v>
      </c>
      <c r="DD49" s="30">
        <v>110</v>
      </c>
      <c r="DE49" s="30"/>
      <c r="DF49" s="54" t="s">
        <v>362</v>
      </c>
      <c r="DG49" s="54" t="s">
        <v>362</v>
      </c>
      <c r="DH49" s="54" t="s">
        <v>362</v>
      </c>
      <c r="DI49" s="35" t="s">
        <v>362</v>
      </c>
      <c r="DJ49" s="66" t="s">
        <v>362</v>
      </c>
      <c r="DK49" s="66" t="s">
        <v>362</v>
      </c>
      <c r="DL49" s="35" t="s">
        <v>362</v>
      </c>
      <c r="DM49" s="35" t="s">
        <v>362</v>
      </c>
      <c r="DN49" s="35" t="s">
        <v>362</v>
      </c>
      <c r="DO49" s="35"/>
      <c r="DP49" s="35" t="s">
        <v>362</v>
      </c>
      <c r="DQ49" s="35"/>
      <c r="DR49" s="35"/>
      <c r="DS49" s="35"/>
      <c r="DT49" s="35"/>
      <c r="DU49" s="35"/>
      <c r="DV49" s="35"/>
    </row>
    <row r="50" spans="2:133" ht="5.25" customHeight="1" x14ac:dyDescent="0.2">
      <c r="B50" s="1" t="s">
        <v>92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DF50" s="49" t="s">
        <v>362</v>
      </c>
      <c r="DG50" s="54" t="s">
        <v>362</v>
      </c>
      <c r="DH50" s="54" t="s">
        <v>362</v>
      </c>
      <c r="DI50" s="35" t="s">
        <v>362</v>
      </c>
      <c r="DJ50" s="66" t="s">
        <v>362</v>
      </c>
      <c r="DK50" s="66" t="s">
        <v>362</v>
      </c>
      <c r="DL50" s="35" t="s">
        <v>362</v>
      </c>
      <c r="DM50" s="35" t="s">
        <v>362</v>
      </c>
      <c r="DN50" s="35" t="s">
        <v>362</v>
      </c>
      <c r="DO50" s="35"/>
      <c r="DP50" s="35" t="s">
        <v>362</v>
      </c>
      <c r="DQ50" s="35"/>
      <c r="DR50" s="35"/>
      <c r="DS50" s="35"/>
      <c r="DT50" s="35"/>
      <c r="DU50" s="35"/>
      <c r="DV50" s="35"/>
    </row>
    <row r="51" spans="2:133" ht="5.25" customHeight="1" x14ac:dyDescent="0.2">
      <c r="B51" s="1" t="s">
        <v>97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362</v>
      </c>
      <c r="DG51" s="54" t="s">
        <v>362</v>
      </c>
      <c r="DH51" s="54" t="s">
        <v>362</v>
      </c>
      <c r="DI51" s="35" t="s">
        <v>362</v>
      </c>
      <c r="DJ51" s="66" t="s">
        <v>362</v>
      </c>
      <c r="DK51" s="66" t="s">
        <v>362</v>
      </c>
      <c r="DL51" s="35" t="s">
        <v>362</v>
      </c>
      <c r="DM51" s="35" t="s">
        <v>362</v>
      </c>
      <c r="DN51" s="35" t="s">
        <v>362</v>
      </c>
      <c r="DO51" s="35"/>
      <c r="DP51" s="35" t="s">
        <v>362</v>
      </c>
      <c r="DQ51" s="35"/>
      <c r="DR51" s="35"/>
      <c r="DS51" s="35"/>
      <c r="DT51" s="35"/>
      <c r="DU51" s="35"/>
      <c r="DV51" s="35"/>
    </row>
    <row r="52" spans="2:133" ht="5.25" customHeight="1" x14ac:dyDescent="0.2">
      <c r="B52" s="1" t="s">
        <v>99</v>
      </c>
      <c r="C52" s="30">
        <f>526-C35</f>
        <v>291</v>
      </c>
      <c r="D52" s="30">
        <f>548-D35</f>
        <v>298</v>
      </c>
      <c r="E52" s="30">
        <f>547-E35</f>
        <v>317</v>
      </c>
      <c r="F52" s="30">
        <f>584-F35</f>
        <v>307</v>
      </c>
      <c r="G52" s="30">
        <f>565-G35</f>
        <v>328</v>
      </c>
      <c r="H52" s="30">
        <f>582-H35</f>
        <v>329</v>
      </c>
      <c r="I52" s="30">
        <f>582-I35</f>
        <v>336</v>
      </c>
      <c r="J52" s="30">
        <f>618-J35</f>
        <v>347</v>
      </c>
      <c r="K52" s="30">
        <f>606-K35</f>
        <v>352</v>
      </c>
      <c r="L52" s="30">
        <f>620-L35</f>
        <v>353</v>
      </c>
      <c r="M52" s="30">
        <f>675-M35</f>
        <v>394</v>
      </c>
      <c r="N52" s="30">
        <f>670-N35</f>
        <v>390</v>
      </c>
      <c r="O52" s="30">
        <f>703-O35</f>
        <v>413</v>
      </c>
      <c r="P52" s="30">
        <f>728-P35</f>
        <v>441</v>
      </c>
      <c r="Q52" s="30">
        <f>744-Q35</f>
        <v>449</v>
      </c>
      <c r="R52" s="30">
        <f>707-R35</f>
        <v>422</v>
      </c>
      <c r="S52" s="30">
        <v>693</v>
      </c>
      <c r="T52" s="30">
        <v>719</v>
      </c>
      <c r="U52" s="30">
        <v>699</v>
      </c>
      <c r="V52" s="35" t="s">
        <v>362</v>
      </c>
      <c r="W52" s="35" t="s">
        <v>362</v>
      </c>
      <c r="X52" s="30" t="s">
        <v>362</v>
      </c>
      <c r="Y52" s="30" t="s">
        <v>362</v>
      </c>
      <c r="Z52" s="30" t="s">
        <v>362</v>
      </c>
      <c r="AA52" s="50" t="s">
        <v>362</v>
      </c>
      <c r="AB52" s="30" t="s">
        <v>362</v>
      </c>
      <c r="AC52" s="30" t="s">
        <v>362</v>
      </c>
      <c r="AD52" s="30" t="s">
        <v>362</v>
      </c>
      <c r="AE52" s="30" t="s">
        <v>362</v>
      </c>
      <c r="AF52" s="35" t="s">
        <v>362</v>
      </c>
      <c r="AG52" s="54" t="s">
        <v>362</v>
      </c>
      <c r="AH52" s="54" t="s">
        <v>362</v>
      </c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DB52" s="30">
        <f>SUM(C52:F52)</f>
        <v>1213</v>
      </c>
      <c r="DC52" s="30">
        <f>SUM(G52:J52)</f>
        <v>1340</v>
      </c>
      <c r="DD52" s="30">
        <f>SUM(K52:N52)</f>
        <v>1489</v>
      </c>
      <c r="DE52" s="30">
        <f>SUM(O52:R52)</f>
        <v>1725</v>
      </c>
      <c r="DF52" s="50">
        <f>SUM(S52:V52)</f>
        <v>2111</v>
      </c>
      <c r="DG52" s="54" t="s">
        <v>362</v>
      </c>
      <c r="DH52" s="54" t="s">
        <v>362</v>
      </c>
      <c r="DI52" s="35" t="s">
        <v>362</v>
      </c>
      <c r="DJ52" s="66" t="s">
        <v>362</v>
      </c>
      <c r="DK52" s="66" t="s">
        <v>362</v>
      </c>
      <c r="DL52" s="35" t="s">
        <v>362</v>
      </c>
      <c r="DM52" s="35" t="s">
        <v>362</v>
      </c>
      <c r="DN52" s="35" t="s">
        <v>362</v>
      </c>
      <c r="DO52" s="35"/>
      <c r="DP52" s="35" t="s">
        <v>362</v>
      </c>
      <c r="DQ52" s="35"/>
      <c r="DR52" s="35"/>
      <c r="DS52" s="35"/>
      <c r="DT52" s="35"/>
      <c r="DU52" s="35"/>
      <c r="DV52" s="35"/>
    </row>
    <row r="53" spans="2:133" ht="5.25" customHeight="1" x14ac:dyDescent="0.2">
      <c r="B53" s="1" t="s">
        <v>100</v>
      </c>
      <c r="C53" s="30">
        <v>428</v>
      </c>
      <c r="D53" s="30">
        <v>455</v>
      </c>
      <c r="E53" s="30">
        <v>442</v>
      </c>
      <c r="F53" s="30">
        <v>423</v>
      </c>
      <c r="G53" s="30">
        <v>411</v>
      </c>
      <c r="H53" s="30">
        <v>430</v>
      </c>
      <c r="I53" s="30">
        <v>418</v>
      </c>
      <c r="J53" s="30">
        <v>291</v>
      </c>
      <c r="K53" s="30">
        <v>254</v>
      </c>
      <c r="L53" s="30">
        <v>457</v>
      </c>
      <c r="M53" s="30">
        <v>449</v>
      </c>
      <c r="N53" s="30">
        <v>323</v>
      </c>
      <c r="O53" s="30">
        <v>290</v>
      </c>
      <c r="P53" s="30"/>
      <c r="Q53" s="30"/>
      <c r="R53" s="30">
        <f>Q53</f>
        <v>0</v>
      </c>
      <c r="S53" s="30">
        <v>0</v>
      </c>
      <c r="T53" s="30">
        <v>0</v>
      </c>
      <c r="U53" s="30">
        <v>0</v>
      </c>
      <c r="V53" s="35" t="s">
        <v>362</v>
      </c>
      <c r="W53" s="35" t="s">
        <v>362</v>
      </c>
      <c r="X53" s="30" t="s">
        <v>362</v>
      </c>
      <c r="Y53" s="30" t="s">
        <v>362</v>
      </c>
      <c r="Z53" s="30" t="s">
        <v>362</v>
      </c>
      <c r="AA53" s="50" t="s">
        <v>362</v>
      </c>
      <c r="AB53" s="30" t="s">
        <v>362</v>
      </c>
      <c r="AC53" s="30" t="s">
        <v>362</v>
      </c>
      <c r="AD53" s="30" t="s">
        <v>362</v>
      </c>
      <c r="AE53" s="30" t="s">
        <v>362</v>
      </c>
      <c r="AF53" s="35" t="s">
        <v>362</v>
      </c>
      <c r="AG53" s="54" t="s">
        <v>362</v>
      </c>
      <c r="AH53" s="54" t="s">
        <v>362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1748</v>
      </c>
      <c r="DC53" s="30">
        <f>SUM(G53:J53)</f>
        <v>1550</v>
      </c>
      <c r="DD53" s="30">
        <f>SUM(K53:N53)</f>
        <v>1483</v>
      </c>
      <c r="DE53" s="30">
        <f>SUM(O53:R53)</f>
        <v>290</v>
      </c>
      <c r="DF53" s="54" t="s">
        <v>362</v>
      </c>
      <c r="DG53" s="50" t="s">
        <v>362</v>
      </c>
      <c r="DH53" s="50" t="s">
        <v>362</v>
      </c>
      <c r="DI53" s="30" t="s">
        <v>362</v>
      </c>
      <c r="DJ53" s="65" t="s">
        <v>362</v>
      </c>
      <c r="DK53" s="65" t="s">
        <v>362</v>
      </c>
      <c r="DL53" s="30" t="s">
        <v>362</v>
      </c>
      <c r="DM53" s="30" t="s">
        <v>362</v>
      </c>
      <c r="DN53" s="30" t="s">
        <v>362</v>
      </c>
      <c r="DO53" s="30"/>
      <c r="DP53" s="30" t="s">
        <v>362</v>
      </c>
      <c r="DQ53" s="30"/>
      <c r="DR53" s="30"/>
      <c r="DS53" s="30"/>
      <c r="DT53" s="30"/>
      <c r="DU53" s="30"/>
      <c r="DV53" s="30"/>
    </row>
    <row r="54" spans="2:133" s="19" customFormat="1" x14ac:dyDescent="0.2">
      <c r="B54" s="19" t="s">
        <v>240</v>
      </c>
      <c r="C54" s="36">
        <f t="shared" ref="C54:AN54" si="76">SUM(C3:C53)</f>
        <v>6388</v>
      </c>
      <c r="D54" s="36">
        <f t="shared" si="76"/>
        <v>7111</v>
      </c>
      <c r="E54" s="36">
        <f t="shared" si="76"/>
        <v>6891</v>
      </c>
      <c r="F54" s="36">
        <f t="shared" si="76"/>
        <v>7329</v>
      </c>
      <c r="G54" s="36">
        <f t="shared" si="76"/>
        <v>6833</v>
      </c>
      <c r="H54" s="36">
        <f t="shared" si="76"/>
        <v>7150</v>
      </c>
      <c r="I54" s="36">
        <f t="shared" si="76"/>
        <v>5752</v>
      </c>
      <c r="J54" s="36">
        <f t="shared" si="76"/>
        <v>5594</v>
      </c>
      <c r="K54" s="36">
        <f t="shared" si="76"/>
        <v>6152</v>
      </c>
      <c r="L54" s="36">
        <f t="shared" si="76"/>
        <v>7091</v>
      </c>
      <c r="M54" s="36">
        <f t="shared" si="76"/>
        <v>7850</v>
      </c>
      <c r="N54" s="36">
        <f t="shared" si="76"/>
        <v>8491</v>
      </c>
      <c r="O54" s="36">
        <f t="shared" si="76"/>
        <v>8138</v>
      </c>
      <c r="P54" s="36">
        <f t="shared" si="76"/>
        <v>8418</v>
      </c>
      <c r="Q54" s="36">
        <f t="shared" si="76"/>
        <v>8580</v>
      </c>
      <c r="R54" s="36">
        <f t="shared" si="76"/>
        <v>8629</v>
      </c>
      <c r="S54" s="36">
        <f t="shared" si="76"/>
        <v>8295</v>
      </c>
      <c r="T54" s="36">
        <f t="shared" si="76"/>
        <v>8903</v>
      </c>
      <c r="U54" s="36">
        <f t="shared" si="76"/>
        <v>9096</v>
      </c>
      <c r="V54" s="36">
        <f t="shared" si="76"/>
        <v>8854</v>
      </c>
      <c r="W54" s="36">
        <f t="shared" si="76"/>
        <v>4807</v>
      </c>
      <c r="X54" s="36">
        <f t="shared" si="76"/>
        <v>8475</v>
      </c>
      <c r="Y54" s="51">
        <f t="shared" si="76"/>
        <v>4798</v>
      </c>
      <c r="Z54" s="51">
        <f t="shared" si="76"/>
        <v>5111</v>
      </c>
      <c r="AA54" s="51">
        <f t="shared" si="76"/>
        <v>5011</v>
      </c>
      <c r="AB54" s="51">
        <f t="shared" si="76"/>
        <v>5434</v>
      </c>
      <c r="AC54" s="51">
        <f t="shared" si="76"/>
        <v>5345</v>
      </c>
      <c r="AD54" s="51">
        <f t="shared" si="76"/>
        <v>5454</v>
      </c>
      <c r="AE54" s="36">
        <f t="shared" si="76"/>
        <v>5251</v>
      </c>
      <c r="AF54" s="36">
        <f t="shared" si="76"/>
        <v>4443</v>
      </c>
      <c r="AG54" s="51">
        <f t="shared" si="76"/>
        <v>3736</v>
      </c>
      <c r="AH54" s="51">
        <f t="shared" si="76"/>
        <v>4191</v>
      </c>
      <c r="AI54" s="51">
        <f t="shared" si="76"/>
        <v>3831</v>
      </c>
      <c r="AJ54" s="51">
        <f t="shared" si="76"/>
        <v>4048</v>
      </c>
      <c r="AK54" s="51">
        <f t="shared" si="76"/>
        <v>4065</v>
      </c>
      <c r="AL54" s="51">
        <f t="shared" si="76"/>
        <v>0</v>
      </c>
      <c r="AM54" s="51">
        <f t="shared" si="76"/>
        <v>0</v>
      </c>
      <c r="AN54" s="51">
        <f t="shared" si="76"/>
        <v>3889</v>
      </c>
      <c r="AO54" s="36"/>
      <c r="AP54" s="36"/>
      <c r="AQ54" s="36"/>
      <c r="AR54" s="36"/>
      <c r="AS54" s="36"/>
      <c r="AT54" s="36"/>
      <c r="AU54" s="36"/>
      <c r="AV54" s="36"/>
      <c r="AW54" s="36">
        <f t="shared" ref="AW54:BP54" si="77">SUM(AW3:AW44)</f>
        <v>4922</v>
      </c>
      <c r="AX54" s="36">
        <f t="shared" si="77"/>
        <v>5243</v>
      </c>
      <c r="AY54" s="36">
        <f t="shared" si="77"/>
        <v>4929</v>
      </c>
      <c r="AZ54" s="36">
        <f t="shared" si="77"/>
        <v>5144</v>
      </c>
      <c r="BA54" s="36">
        <f t="shared" si="77"/>
        <v>5254</v>
      </c>
      <c r="BB54" s="36">
        <f t="shared" si="77"/>
        <v>5449</v>
      </c>
      <c r="BC54" s="36">
        <f t="shared" si="77"/>
        <v>5193</v>
      </c>
      <c r="BD54" s="36">
        <f t="shared" si="77"/>
        <v>5704</v>
      </c>
      <c r="BE54" s="36">
        <f t="shared" si="77"/>
        <v>5691</v>
      </c>
      <c r="BF54" s="36">
        <f t="shared" si="77"/>
        <v>5973</v>
      </c>
      <c r="BG54" s="36">
        <f t="shared" si="77"/>
        <v>5920</v>
      </c>
      <c r="BH54" s="36">
        <f t="shared" si="77"/>
        <v>6273</v>
      </c>
      <c r="BI54" s="36">
        <f t="shared" si="77"/>
        <v>6007</v>
      </c>
      <c r="BJ54" s="36">
        <f t="shared" si="77"/>
        <v>7945</v>
      </c>
      <c r="BK54" s="36">
        <f t="shared" si="77"/>
        <v>10781</v>
      </c>
      <c r="BL54" s="36">
        <f t="shared" si="77"/>
        <v>10129</v>
      </c>
      <c r="BM54" s="36">
        <f t="shared" si="77"/>
        <v>10540</v>
      </c>
      <c r="BN54" s="36">
        <f t="shared" si="77"/>
        <v>11068</v>
      </c>
      <c r="BO54" s="36">
        <f t="shared" si="77"/>
        <v>11073</v>
      </c>
      <c r="BP54" s="36">
        <f t="shared" si="77"/>
        <v>11703</v>
      </c>
      <c r="BQ54" s="36">
        <f>SUM(BQ3:BQ44)</f>
        <v>11624</v>
      </c>
      <c r="BR54" s="36">
        <f t="shared" ref="BR54:CB54" si="78">SUM(BR3:BR44)</f>
        <v>11985</v>
      </c>
      <c r="BS54" s="36">
        <f t="shared" si="78"/>
        <v>11648</v>
      </c>
      <c r="BT54" s="36">
        <f t="shared" si="78"/>
        <v>11887</v>
      </c>
      <c r="BU54" s="36">
        <f t="shared" si="78"/>
        <v>11218</v>
      </c>
      <c r="BV54" s="36">
        <f t="shared" si="78"/>
        <v>11406</v>
      </c>
      <c r="BW54" s="36">
        <f t="shared" si="78"/>
        <v>11337</v>
      </c>
      <c r="BX54" s="36">
        <f t="shared" si="78"/>
        <v>11226</v>
      </c>
      <c r="BY54" s="36">
        <f t="shared" si="78"/>
        <v>10966</v>
      </c>
      <c r="BZ54" s="36">
        <f t="shared" si="78"/>
        <v>11477</v>
      </c>
      <c r="CA54" s="36">
        <f t="shared" si="78"/>
        <v>11865</v>
      </c>
      <c r="CB54" s="36">
        <f t="shared" si="78"/>
        <v>12201</v>
      </c>
      <c r="CC54" s="36"/>
      <c r="CD54" s="36"/>
      <c r="CE54" s="36"/>
      <c r="CF54" s="36"/>
      <c r="CG54" s="36"/>
      <c r="CH54" s="36"/>
      <c r="CI54" s="36"/>
      <c r="CJ54" s="36"/>
      <c r="CK54" s="36"/>
      <c r="CL54" s="36">
        <v>8578</v>
      </c>
      <c r="CM54" s="36">
        <v>9741</v>
      </c>
      <c r="CN54" s="36">
        <v>10571</v>
      </c>
      <c r="CO54" s="36">
        <v>11156</v>
      </c>
      <c r="CP54" s="36">
        <v>11413</v>
      </c>
      <c r="CQ54" s="36"/>
      <c r="CR54" s="36"/>
      <c r="CS54" s="36"/>
      <c r="CT54" s="36"/>
      <c r="CU54" s="36"/>
      <c r="CV54" s="36"/>
      <c r="CW54" s="36"/>
      <c r="CX54" s="36"/>
      <c r="CY54" s="36">
        <f t="shared" ref="CY54:EA54" si="79">SUM(CY3:CY53)</f>
        <v>11988</v>
      </c>
      <c r="CZ54" s="36">
        <f t="shared" si="79"/>
        <v>15211</v>
      </c>
      <c r="DA54" s="36">
        <f t="shared" si="79"/>
        <v>16074</v>
      </c>
      <c r="DB54" s="36">
        <f t="shared" si="79"/>
        <v>27723</v>
      </c>
      <c r="DC54" s="36">
        <f t="shared" si="79"/>
        <v>25329</v>
      </c>
      <c r="DD54" s="36">
        <f t="shared" si="79"/>
        <v>30888</v>
      </c>
      <c r="DE54" s="36">
        <f t="shared" si="79"/>
        <v>33765</v>
      </c>
      <c r="DF54" s="51">
        <f t="shared" si="79"/>
        <v>35148</v>
      </c>
      <c r="DG54" s="51">
        <f t="shared" si="79"/>
        <v>23191</v>
      </c>
      <c r="DH54" s="51">
        <f t="shared" si="79"/>
        <v>21244</v>
      </c>
      <c r="DI54" s="36">
        <f t="shared" si="79"/>
        <v>17570</v>
      </c>
      <c r="DJ54" s="67">
        <f t="shared" si="79"/>
        <v>13361.65</v>
      </c>
      <c r="DK54" s="67">
        <f t="shared" si="79"/>
        <v>12776.599999999999</v>
      </c>
      <c r="DL54" s="36">
        <f t="shared" si="79"/>
        <v>10353.247375000001</v>
      </c>
      <c r="DM54" s="36">
        <f t="shared" si="79"/>
        <v>9076.8229812499994</v>
      </c>
      <c r="DN54" s="36">
        <f t="shared" si="79"/>
        <v>8095.7074329375</v>
      </c>
      <c r="DO54" s="36">
        <f t="shared" si="79"/>
        <v>22561</v>
      </c>
      <c r="DP54" s="36">
        <f t="shared" si="79"/>
        <v>26145</v>
      </c>
      <c r="DQ54" s="36">
        <f t="shared" si="79"/>
        <v>42518</v>
      </c>
      <c r="DR54" s="36">
        <f t="shared" si="79"/>
        <v>46385</v>
      </c>
      <c r="DS54" s="36">
        <f t="shared" si="79"/>
        <v>46159</v>
      </c>
      <c r="DT54" s="36">
        <f t="shared" si="79"/>
        <v>45006</v>
      </c>
      <c r="DU54" s="36">
        <f t="shared" si="79"/>
        <v>41028.010000000009</v>
      </c>
      <c r="DV54" s="36">
        <f t="shared" si="79"/>
        <v>38606.005499999992</v>
      </c>
      <c r="DW54" s="36">
        <f t="shared" si="79"/>
        <v>38489.628228999987</v>
      </c>
      <c r="DX54" s="36">
        <f t="shared" si="79"/>
        <v>39307.666437149994</v>
      </c>
      <c r="DY54" s="36">
        <f t="shared" si="79"/>
        <v>40350.830646870105</v>
      </c>
      <c r="DZ54" s="36">
        <f t="shared" si="79"/>
        <v>34037.211383818838</v>
      </c>
      <c r="EA54" s="36">
        <f t="shared" si="79"/>
        <v>27971.565277194692</v>
      </c>
      <c r="EB54" s="36"/>
      <c r="EC54" s="36"/>
    </row>
    <row r="55" spans="2:133" s="25" customFormat="1" x14ac:dyDescent="0.2">
      <c r="B55" s="25" t="s">
        <v>101</v>
      </c>
      <c r="C55" s="30">
        <v>1367</v>
      </c>
      <c r="D55" s="30">
        <v>1483</v>
      </c>
      <c r="E55" s="30">
        <v>1483</v>
      </c>
      <c r="F55" s="30">
        <v>1595</v>
      </c>
      <c r="G55" s="30">
        <v>1476</v>
      </c>
      <c r="H55" s="30">
        <v>1568</v>
      </c>
      <c r="I55" s="30">
        <v>1465</v>
      </c>
      <c r="J55" s="30">
        <v>1395</v>
      </c>
      <c r="K55" s="30">
        <v>1340</v>
      </c>
      <c r="L55" s="30">
        <v>1549</v>
      </c>
      <c r="M55" s="30">
        <v>1622</v>
      </c>
      <c r="N55" s="30">
        <v>1817</v>
      </c>
      <c r="O55" s="30">
        <v>1657</v>
      </c>
      <c r="P55" s="30">
        <v>1612</v>
      </c>
      <c r="Q55" s="30">
        <v>1581</v>
      </c>
      <c r="R55" s="30">
        <f>R54-R56</f>
        <v>8629</v>
      </c>
      <c r="S55" s="30">
        <v>1413</v>
      </c>
      <c r="T55" s="30">
        <v>1461</v>
      </c>
      <c r="U55" s="30">
        <v>1562</v>
      </c>
      <c r="V55" s="30">
        <v>1433</v>
      </c>
      <c r="W55" s="30">
        <v>1306</v>
      </c>
      <c r="X55" s="30">
        <v>1277</v>
      </c>
      <c r="Y55" s="50">
        <v>1280</v>
      </c>
      <c r="Z55" s="50">
        <v>1414</v>
      </c>
      <c r="AA55" s="50">
        <v>1343</v>
      </c>
      <c r="AB55" s="50">
        <v>1481</v>
      </c>
      <c r="AC55" s="50">
        <v>1407</v>
      </c>
      <c r="AD55" s="50">
        <v>1367</v>
      </c>
      <c r="AE55" s="30">
        <v>1303</v>
      </c>
      <c r="AF55" s="30">
        <v>1245</v>
      </c>
      <c r="AG55" s="50">
        <v>987</v>
      </c>
      <c r="AH55" s="50">
        <f>4610-SUM(AE55:AG55)</f>
        <v>1075</v>
      </c>
      <c r="AI55" s="30">
        <v>1063</v>
      </c>
      <c r="AJ55" s="30">
        <v>1108</v>
      </c>
      <c r="AK55" s="30">
        <v>1175</v>
      </c>
      <c r="AL55" s="30"/>
      <c r="AM55" s="30"/>
      <c r="AN55" s="30">
        <v>991</v>
      </c>
      <c r="AO55" s="30"/>
      <c r="AP55" s="30"/>
      <c r="AQ55" s="30"/>
      <c r="AR55" s="30"/>
      <c r="AS55" s="30"/>
      <c r="AT55" s="30"/>
      <c r="AU55" s="30"/>
      <c r="AV55" s="30"/>
      <c r="AW55" s="30">
        <f>1305-7</f>
        <v>1298</v>
      </c>
      <c r="AX55" s="30">
        <f>1383-6</f>
        <v>1377</v>
      </c>
      <c r="AY55" s="30">
        <v>1265</v>
      </c>
      <c r="AZ55" s="30">
        <f>1569-130</f>
        <v>1439</v>
      </c>
      <c r="BA55" s="30">
        <f>1572-1</f>
        <v>1571</v>
      </c>
      <c r="BB55" s="30">
        <f>1673-18</f>
        <v>1655</v>
      </c>
      <c r="BC55" s="30">
        <f>1584-13</f>
        <v>1571</v>
      </c>
      <c r="BD55" s="30">
        <f>1625-14</f>
        <v>1611</v>
      </c>
      <c r="BE55" s="30"/>
      <c r="BF55" s="30"/>
      <c r="BG55" s="30">
        <v>1824</v>
      </c>
      <c r="BH55" s="30">
        <v>1972</v>
      </c>
      <c r="BI55" s="30"/>
      <c r="BJ55" s="30"/>
      <c r="BK55" s="30">
        <f>3662-1438</f>
        <v>2224</v>
      </c>
      <c r="BL55" s="30">
        <v>2699</v>
      </c>
      <c r="BM55" s="30">
        <v>2502</v>
      </c>
      <c r="BN55" s="30">
        <f>2910-675</f>
        <v>2235</v>
      </c>
      <c r="BO55" s="30">
        <f>2841-417</f>
        <v>2424</v>
      </c>
      <c r="BP55" s="30">
        <f>2452-89</f>
        <v>2363</v>
      </c>
      <c r="BQ55" s="30">
        <v>2291</v>
      </c>
      <c r="BR55" s="30">
        <v>2356</v>
      </c>
      <c r="BS55" s="30">
        <f>2471-52</f>
        <v>2419</v>
      </c>
      <c r="BT55" s="30">
        <f>2720-145</f>
        <v>2575</v>
      </c>
      <c r="BU55" s="30">
        <f>+BU54-BU56</f>
        <v>2355.7799999999988</v>
      </c>
      <c r="BV55" s="30">
        <v>2593</v>
      </c>
      <c r="BW55" s="30">
        <f t="shared" ref="BW55:BZ55" si="80">+BW54-BW56</f>
        <v>2380.7700000000004</v>
      </c>
      <c r="BX55" s="30">
        <f t="shared" si="80"/>
        <v>2357.4599999999991</v>
      </c>
      <c r="BY55" s="30">
        <f t="shared" si="80"/>
        <v>2302.8599999999988</v>
      </c>
      <c r="BZ55" s="30">
        <f t="shared" si="80"/>
        <v>2410.17</v>
      </c>
      <c r="CA55" s="30">
        <f>2932-22</f>
        <v>2910</v>
      </c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>
        <v>2418</v>
      </c>
      <c r="CM55" s="30">
        <v>2665</v>
      </c>
      <c r="CN55" s="30">
        <v>2717</v>
      </c>
      <c r="CO55" s="30">
        <v>2857</v>
      </c>
      <c r="CP55" s="30">
        <v>3029</v>
      </c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>
        <f>DD54-DD56</f>
        <v>9884.16</v>
      </c>
      <c r="DE55" s="30">
        <f>DE54-DE56</f>
        <v>13479</v>
      </c>
      <c r="DF55" s="50">
        <f>DF54-DF56</f>
        <v>5869</v>
      </c>
      <c r="DG55" s="50">
        <f>SUM(W55:Z55)</f>
        <v>5277</v>
      </c>
      <c r="DH55" s="50">
        <f>SUM(AA55:AD55)</f>
        <v>5598</v>
      </c>
      <c r="DI55" s="30">
        <f t="shared" ref="DI55:DP55" si="81">DI54-DI56</f>
        <v>4743.8999999999996</v>
      </c>
      <c r="DJ55" s="65">
        <f t="shared" si="81"/>
        <v>3607.6455000000005</v>
      </c>
      <c r="DK55" s="65">
        <f t="shared" si="81"/>
        <v>3449.6820000000007</v>
      </c>
      <c r="DL55" s="30">
        <f t="shared" si="81"/>
        <v>2795.3767912500007</v>
      </c>
      <c r="DM55" s="30">
        <f t="shared" si="81"/>
        <v>2359.9739751249999</v>
      </c>
      <c r="DN55" s="30">
        <f t="shared" si="81"/>
        <v>2023.9268582343748</v>
      </c>
      <c r="DO55" s="30">
        <f t="shared" si="81"/>
        <v>5640.25</v>
      </c>
      <c r="DP55" s="30">
        <f t="shared" si="81"/>
        <v>6536.25</v>
      </c>
      <c r="DQ55" s="30"/>
      <c r="DR55" s="30"/>
      <c r="DS55" s="30"/>
      <c r="DT55" s="30"/>
      <c r="DU55" s="30"/>
      <c r="DV55" s="30"/>
    </row>
    <row r="56" spans="2:133" s="25" customFormat="1" x14ac:dyDescent="0.2">
      <c r="B56" s="25" t="s">
        <v>239</v>
      </c>
      <c r="C56" s="30">
        <f t="shared" ref="C56:Q56" si="82">C54-C55</f>
        <v>5021</v>
      </c>
      <c r="D56" s="30">
        <f t="shared" si="82"/>
        <v>5628</v>
      </c>
      <c r="E56" s="30">
        <f t="shared" si="82"/>
        <v>5408</v>
      </c>
      <c r="F56" s="30">
        <f t="shared" si="82"/>
        <v>5734</v>
      </c>
      <c r="G56" s="30">
        <f t="shared" si="82"/>
        <v>5357</v>
      </c>
      <c r="H56" s="30">
        <f t="shared" si="82"/>
        <v>5582</v>
      </c>
      <c r="I56" s="30">
        <f t="shared" si="82"/>
        <v>4287</v>
      </c>
      <c r="J56" s="30">
        <f t="shared" si="82"/>
        <v>4199</v>
      </c>
      <c r="K56" s="30">
        <f t="shared" si="82"/>
        <v>4812</v>
      </c>
      <c r="L56" s="30">
        <f t="shared" si="82"/>
        <v>5542</v>
      </c>
      <c r="M56" s="30">
        <f t="shared" si="82"/>
        <v>6228</v>
      </c>
      <c r="N56" s="30">
        <f t="shared" si="82"/>
        <v>6674</v>
      </c>
      <c r="O56" s="30">
        <f t="shared" si="82"/>
        <v>6481</v>
      </c>
      <c r="P56" s="30">
        <f t="shared" si="82"/>
        <v>6806</v>
      </c>
      <c r="Q56" s="30">
        <f t="shared" si="82"/>
        <v>6999</v>
      </c>
      <c r="R56" s="30"/>
      <c r="S56" s="30">
        <f t="shared" ref="S56:X56" si="83">S54-S55</f>
        <v>6882</v>
      </c>
      <c r="T56" s="30">
        <f t="shared" si="83"/>
        <v>7442</v>
      </c>
      <c r="U56" s="30">
        <f t="shared" si="83"/>
        <v>7534</v>
      </c>
      <c r="V56" s="30">
        <f t="shared" si="83"/>
        <v>7421</v>
      </c>
      <c r="W56" s="30">
        <f t="shared" si="83"/>
        <v>3501</v>
      </c>
      <c r="X56" s="30">
        <f t="shared" si="83"/>
        <v>7198</v>
      </c>
      <c r="Y56" s="30">
        <f>+Y54-Y55</f>
        <v>3518</v>
      </c>
      <c r="Z56" s="30">
        <f>Z54-Z55</f>
        <v>3697</v>
      </c>
      <c r="AA56" s="50">
        <f t="shared" ref="AA56:AF56" si="84">+AA54-AA55</f>
        <v>3668</v>
      </c>
      <c r="AB56" s="30">
        <f t="shared" si="84"/>
        <v>3953</v>
      </c>
      <c r="AC56" s="30">
        <f t="shared" si="84"/>
        <v>3938</v>
      </c>
      <c r="AD56" s="30">
        <f t="shared" si="84"/>
        <v>4087</v>
      </c>
      <c r="AE56" s="30">
        <f t="shared" si="84"/>
        <v>3948</v>
      </c>
      <c r="AF56" s="30">
        <f t="shared" si="84"/>
        <v>3198</v>
      </c>
      <c r="AG56" s="50">
        <f>AG54-AG55</f>
        <v>2749</v>
      </c>
      <c r="AH56" s="50">
        <f>AH54-AH55</f>
        <v>3116</v>
      </c>
      <c r="AI56" s="50">
        <f>AI54-AI55</f>
        <v>2768</v>
      </c>
      <c r="AJ56" s="50">
        <f>AJ54-AJ55</f>
        <v>2940</v>
      </c>
      <c r="AK56" s="50">
        <f>AK54-AK55</f>
        <v>2890</v>
      </c>
      <c r="AL56" s="30"/>
      <c r="AM56" s="30"/>
      <c r="AN56" s="30">
        <f>+AN54-AN55</f>
        <v>2898</v>
      </c>
      <c r="AO56" s="30"/>
      <c r="AP56" s="30"/>
      <c r="AQ56" s="30"/>
      <c r="AR56" s="30"/>
      <c r="AS56" s="30"/>
      <c r="AT56" s="30"/>
      <c r="AU56" s="30"/>
      <c r="AV56" s="30"/>
      <c r="AW56" s="30">
        <f t="shared" ref="AW56" si="85">+AW54-AW55</f>
        <v>3624</v>
      </c>
      <c r="AX56" s="30">
        <f>+AX54-AX55</f>
        <v>3866</v>
      </c>
      <c r="AY56" s="30">
        <f>+AY54-AY55</f>
        <v>3664</v>
      </c>
      <c r="AZ56" s="30">
        <f>+AZ54-AZ55</f>
        <v>3705</v>
      </c>
      <c r="BA56" s="30">
        <f t="shared" ref="BA56" si="86">+BA54-BA55</f>
        <v>3683</v>
      </c>
      <c r="BB56" s="30">
        <f>+BB54-BB55</f>
        <v>3794</v>
      </c>
      <c r="BC56" s="30">
        <f>+BC54-BC55</f>
        <v>3622</v>
      </c>
      <c r="BD56" s="30">
        <f>+BD54-BD55</f>
        <v>4093</v>
      </c>
      <c r="BE56" s="30"/>
      <c r="BF56" s="30"/>
      <c r="BG56" s="30">
        <f t="shared" ref="BG56:BH56" si="87">BG54-BG55</f>
        <v>4096</v>
      </c>
      <c r="BH56" s="30">
        <f t="shared" si="87"/>
        <v>4301</v>
      </c>
      <c r="BI56" s="30"/>
      <c r="BJ56" s="30"/>
      <c r="BK56" s="30">
        <f t="shared" ref="BK56" si="88">BK54-BK55</f>
        <v>8557</v>
      </c>
      <c r="BL56" s="30">
        <f t="shared" ref="BL56:BN56" si="89">BL54-BL55</f>
        <v>7430</v>
      </c>
      <c r="BM56" s="30">
        <f t="shared" si="89"/>
        <v>8038</v>
      </c>
      <c r="BN56" s="30">
        <f t="shared" si="89"/>
        <v>8833</v>
      </c>
      <c r="BO56" s="30">
        <f t="shared" ref="BO56:BQ56" si="90">BO54-BO55</f>
        <v>8649</v>
      </c>
      <c r="BP56" s="30">
        <f t="shared" si="90"/>
        <v>9340</v>
      </c>
      <c r="BQ56" s="30">
        <f t="shared" si="90"/>
        <v>9333</v>
      </c>
      <c r="BR56" s="30">
        <f>BR54-BR55</f>
        <v>9629</v>
      </c>
      <c r="BS56" s="30">
        <f>BS54-BS55</f>
        <v>9229</v>
      </c>
      <c r="BT56" s="30">
        <f t="shared" ref="BT56" si="91">BT54-BT55</f>
        <v>9312</v>
      </c>
      <c r="BU56" s="30">
        <f>+BU54*0.79</f>
        <v>8862.2200000000012</v>
      </c>
      <c r="BV56" s="30">
        <f>+BV54-BV55</f>
        <v>8813</v>
      </c>
      <c r="BW56" s="30">
        <f t="shared" ref="BW56:BZ56" si="92">+BW54*0.79</f>
        <v>8956.23</v>
      </c>
      <c r="BX56" s="30">
        <f t="shared" si="92"/>
        <v>8868.5400000000009</v>
      </c>
      <c r="BY56" s="30">
        <f t="shared" si="92"/>
        <v>8663.1400000000012</v>
      </c>
      <c r="BZ56" s="30">
        <f t="shared" si="92"/>
        <v>9066.83</v>
      </c>
      <c r="CA56" s="30">
        <f>+CA54-CA55</f>
        <v>8955</v>
      </c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>
        <f>CL54-CL55</f>
        <v>6160</v>
      </c>
      <c r="CM56" s="30">
        <f>CM54-CM55</f>
        <v>7076</v>
      </c>
      <c r="CN56" s="30">
        <f>CN54-CN55</f>
        <v>7854</v>
      </c>
      <c r="CO56" s="30">
        <f>CO54-CO55</f>
        <v>8299</v>
      </c>
      <c r="CP56" s="30">
        <f>CP54-CP55</f>
        <v>8384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>DD54*0.68</f>
        <v>21003.84</v>
      </c>
      <c r="DE56" s="30">
        <f>SUM(O56:R56)</f>
        <v>20286</v>
      </c>
      <c r="DF56" s="50">
        <f>SUM(S56:V56)</f>
        <v>29279</v>
      </c>
      <c r="DG56" s="50">
        <f>DG54-DG55</f>
        <v>17914</v>
      </c>
      <c r="DH56" s="50">
        <f>DH54-DH55</f>
        <v>15646</v>
      </c>
      <c r="DI56" s="30">
        <f t="shared" ref="DI56:DP56" si="93">DI54*DI86</f>
        <v>12826.1</v>
      </c>
      <c r="DJ56" s="65">
        <f t="shared" si="93"/>
        <v>9754.0044999999991</v>
      </c>
      <c r="DK56" s="65">
        <f t="shared" si="93"/>
        <v>9326.9179999999978</v>
      </c>
      <c r="DL56" s="30">
        <f t="shared" si="93"/>
        <v>7557.8705837500002</v>
      </c>
      <c r="DM56" s="30">
        <f t="shared" si="93"/>
        <v>6716.8490061249995</v>
      </c>
      <c r="DN56" s="30">
        <f t="shared" si="93"/>
        <v>6071.7805747031252</v>
      </c>
      <c r="DO56" s="30">
        <f t="shared" si="93"/>
        <v>16920.75</v>
      </c>
      <c r="DP56" s="30">
        <f t="shared" si="93"/>
        <v>19608.75</v>
      </c>
      <c r="DQ56" s="30"/>
      <c r="DR56" s="30"/>
      <c r="DS56" s="30"/>
      <c r="DT56" s="30"/>
      <c r="DU56" s="30"/>
      <c r="DV56" s="30"/>
    </row>
    <row r="57" spans="2:133" s="25" customFormat="1" x14ac:dyDescent="0.2">
      <c r="B57" s="25" t="s">
        <v>241</v>
      </c>
      <c r="C57" s="30">
        <v>1183</v>
      </c>
      <c r="D57" s="30">
        <v>1268</v>
      </c>
      <c r="E57" s="30">
        <v>1286</v>
      </c>
      <c r="F57" s="30">
        <v>1369</v>
      </c>
      <c r="G57" s="30">
        <v>1238</v>
      </c>
      <c r="H57" s="30">
        <v>1181</v>
      </c>
      <c r="I57" s="30">
        <v>1189</v>
      </c>
      <c r="J57" s="30">
        <v>1284</v>
      </c>
      <c r="K57" s="30">
        <v>1133</v>
      </c>
      <c r="L57" s="30">
        <v>1209</v>
      </c>
      <c r="M57" s="30">
        <v>1214</v>
      </c>
      <c r="N57" s="30">
        <v>1343</v>
      </c>
      <c r="O57" s="30">
        <v>1223</v>
      </c>
      <c r="P57" s="30">
        <v>1143</v>
      </c>
      <c r="Q57" s="30">
        <v>1171</v>
      </c>
      <c r="R57" s="30">
        <f>Q57</f>
        <v>1171</v>
      </c>
      <c r="S57" s="30">
        <v>1064</v>
      </c>
      <c r="T57" s="30">
        <v>1077</v>
      </c>
      <c r="U57" s="30">
        <v>1117</v>
      </c>
      <c r="V57" s="30">
        <v>1170</v>
      </c>
      <c r="W57" s="30">
        <v>900</v>
      </c>
      <c r="X57" s="30">
        <v>894</v>
      </c>
      <c r="Y57" s="50">
        <v>892</v>
      </c>
      <c r="Z57" s="50">
        <v>1000</v>
      </c>
      <c r="AA57" s="50">
        <v>928</v>
      </c>
      <c r="AB57" s="50">
        <v>1040</v>
      </c>
      <c r="AC57" s="50">
        <v>1019</v>
      </c>
      <c r="AD57" s="50">
        <v>1216</v>
      </c>
      <c r="AE57" s="30">
        <v>1002</v>
      </c>
      <c r="AF57" s="30">
        <v>1004</v>
      </c>
      <c r="AG57" s="50">
        <f>1071+1830</f>
        <v>2901</v>
      </c>
      <c r="AH57" s="50">
        <f>4220-SUM(AE57:AG57)+1830</f>
        <v>1143</v>
      </c>
      <c r="AI57" s="30">
        <v>994</v>
      </c>
      <c r="AJ57" s="30">
        <v>1042</v>
      </c>
      <c r="AK57" s="30">
        <v>980</v>
      </c>
      <c r="AL57" s="30"/>
      <c r="AM57" s="30"/>
      <c r="AN57" s="30">
        <v>948</v>
      </c>
      <c r="AO57" s="30"/>
      <c r="AP57" s="30"/>
      <c r="AQ57" s="30"/>
      <c r="AR57" s="30"/>
      <c r="AS57" s="30"/>
      <c r="AT57" s="30"/>
      <c r="AU57" s="30"/>
      <c r="AV57" s="30"/>
      <c r="AW57" s="30">
        <v>1144</v>
      </c>
      <c r="AX57" s="30">
        <v>1461</v>
      </c>
      <c r="AY57" s="30">
        <v>1085</v>
      </c>
      <c r="AZ57" s="30">
        <v>1187</v>
      </c>
      <c r="BA57" s="30">
        <v>1147</v>
      </c>
      <c r="BB57" s="30">
        <v>1299</v>
      </c>
      <c r="BC57" s="30">
        <v>979</v>
      </c>
      <c r="BD57" s="30">
        <v>1131</v>
      </c>
      <c r="BE57" s="30"/>
      <c r="BF57" s="30"/>
      <c r="BG57" s="30">
        <v>1006</v>
      </c>
      <c r="BH57" s="30">
        <v>1076</v>
      </c>
      <c r="BI57" s="30"/>
      <c r="BJ57" s="30"/>
      <c r="BK57" s="30">
        <v>1606</v>
      </c>
      <c r="BL57" s="30">
        <v>1628</v>
      </c>
      <c r="BM57" s="30">
        <v>1706</v>
      </c>
      <c r="BN57" s="30">
        <f>2721-241</f>
        <v>2480</v>
      </c>
      <c r="BO57" s="30">
        <f>1666+1</f>
        <v>1667</v>
      </c>
      <c r="BP57" s="30">
        <f>1882-1</f>
        <v>1881</v>
      </c>
      <c r="BQ57" s="30">
        <v>1788</v>
      </c>
      <c r="BR57" s="30">
        <f>2354-2</f>
        <v>2352</v>
      </c>
      <c r="BS57" s="30">
        <v>1829</v>
      </c>
      <c r="BT57" s="30">
        <f>1787-4</f>
        <v>1783</v>
      </c>
      <c r="BU57" s="30">
        <f>+BU54*0.17</f>
        <v>1907.0600000000002</v>
      </c>
      <c r="BV57" s="30">
        <v>2266</v>
      </c>
      <c r="BW57" s="30">
        <v>1762</v>
      </c>
      <c r="BX57" s="30">
        <f t="shared" ref="BX57:BZ57" si="94">+BX54*0.17</f>
        <v>1908.42</v>
      </c>
      <c r="BY57" s="30">
        <f t="shared" si="94"/>
        <v>1864.22</v>
      </c>
      <c r="BZ57" s="30">
        <f t="shared" si="94"/>
        <v>1951.0900000000001</v>
      </c>
      <c r="CA57" s="30">
        <v>1989</v>
      </c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>
        <v>2461</v>
      </c>
      <c r="CM57" s="30">
        <v>2717</v>
      </c>
      <c r="CN57" s="30">
        <v>2946</v>
      </c>
      <c r="CO57" s="30">
        <v>3075</v>
      </c>
      <c r="CP57" s="30">
        <v>3098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v>4900</v>
      </c>
      <c r="DE57" s="30">
        <f>SUM(O57:R57)</f>
        <v>4708</v>
      </c>
      <c r="DF57" s="50">
        <f>SUM(S57:V57)</f>
        <v>4428</v>
      </c>
      <c r="DG57" s="50">
        <f>SUM(W57:Z57)</f>
        <v>3686</v>
      </c>
      <c r="DH57" s="50">
        <f>SUM(AA57:AD57)</f>
        <v>4203</v>
      </c>
      <c r="DI57" s="30">
        <f>+DH57*0.95</f>
        <v>3992.85</v>
      </c>
      <c r="DJ57" s="65">
        <f>+DI57*0.95</f>
        <v>3793.2074999999995</v>
      </c>
      <c r="DK57" s="65">
        <f>+DJ57*0.95</f>
        <v>3603.5471249999996</v>
      </c>
      <c r="DL57" s="30">
        <f>+DK57*0.75</f>
        <v>2702.6603437499998</v>
      </c>
      <c r="DM57" s="30">
        <f>+DL57*0.95</f>
        <v>2567.5273265624996</v>
      </c>
      <c r="DN57" s="30">
        <f>+DM57*0.5</f>
        <v>1283.7636632812498</v>
      </c>
      <c r="DO57" s="30">
        <f t="shared" ref="DO57:DP57" si="95">+DN57*0.5</f>
        <v>641.88183164062491</v>
      </c>
      <c r="DP57" s="30">
        <f t="shared" si="95"/>
        <v>320.94091582031245</v>
      </c>
      <c r="DQ57" s="30"/>
      <c r="DR57" s="30"/>
      <c r="DS57" s="30"/>
      <c r="DT57" s="30"/>
      <c r="DU57" s="30"/>
      <c r="DV57" s="30"/>
    </row>
    <row r="58" spans="2:133" s="25" customFormat="1" x14ac:dyDescent="0.2">
      <c r="B58" s="25" t="s">
        <v>102</v>
      </c>
      <c r="C58" s="30">
        <v>318</v>
      </c>
      <c r="D58" s="30">
        <v>365</v>
      </c>
      <c r="E58" s="30">
        <v>349</v>
      </c>
      <c r="F58" s="30">
        <v>444</v>
      </c>
      <c r="G58" s="30">
        <v>295</v>
      </c>
      <c r="H58" s="30">
        <v>352</v>
      </c>
      <c r="I58" s="30">
        <v>286</v>
      </c>
      <c r="J58" s="30">
        <v>415</v>
      </c>
      <c r="K58" s="30">
        <v>268</v>
      </c>
      <c r="L58" s="30">
        <v>368</v>
      </c>
      <c r="M58" s="30">
        <v>351</v>
      </c>
      <c r="N58" s="30">
        <v>483</v>
      </c>
      <c r="O58" s="30">
        <v>330</v>
      </c>
      <c r="P58" s="30">
        <v>420</v>
      </c>
      <c r="Q58" s="30">
        <v>362</v>
      </c>
      <c r="R58" s="30">
        <f>Q58</f>
        <v>362</v>
      </c>
      <c r="S58" s="30">
        <v>324</v>
      </c>
      <c r="T58" s="30">
        <v>400</v>
      </c>
      <c r="U58" s="30">
        <v>361</v>
      </c>
      <c r="V58" s="30">
        <v>334</v>
      </c>
      <c r="W58" s="30">
        <v>212</v>
      </c>
      <c r="X58" s="30">
        <v>263</v>
      </c>
      <c r="Y58" s="50">
        <v>231</v>
      </c>
      <c r="Z58" s="50">
        <v>271</v>
      </c>
      <c r="AA58" s="50">
        <v>214</v>
      </c>
      <c r="AB58" s="50">
        <v>253</v>
      </c>
      <c r="AC58" s="50">
        <v>205</v>
      </c>
      <c r="AD58" s="50">
        <v>285</v>
      </c>
      <c r="AE58" s="30">
        <v>194</v>
      </c>
      <c r="AF58" s="30">
        <v>224</v>
      </c>
      <c r="AG58" s="50">
        <v>167</v>
      </c>
      <c r="AH58" s="50">
        <f>797-SUM(AE58:AG58)</f>
        <v>212</v>
      </c>
      <c r="AI58" s="30">
        <v>189</v>
      </c>
      <c r="AJ58" s="30">
        <v>218</v>
      </c>
      <c r="AK58" s="30">
        <v>194</v>
      </c>
      <c r="AL58" s="30"/>
      <c r="AM58" s="30"/>
      <c r="AN58" s="30">
        <v>187</v>
      </c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>
        <v>1073</v>
      </c>
      <c r="CM58" s="30">
        <v>1189</v>
      </c>
      <c r="CN58" s="30">
        <v>1263</v>
      </c>
      <c r="CO58" s="30">
        <v>1291</v>
      </c>
      <c r="CP58" s="30">
        <v>1255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1400</v>
      </c>
      <c r="DE58" s="30">
        <f>SUM(O58:R58)</f>
        <v>1474</v>
      </c>
      <c r="DF58" s="50">
        <f>SUM(S58:V58)</f>
        <v>1419</v>
      </c>
      <c r="DG58" s="50">
        <f>SUM(W58:Z58)</f>
        <v>977</v>
      </c>
      <c r="DH58" s="50">
        <f>SUM(AA58:AD58)</f>
        <v>957</v>
      </c>
      <c r="DI58" s="30">
        <f t="shared" ref="DI58:DP58" si="96">DI54*0.06</f>
        <v>1054.2</v>
      </c>
      <c r="DJ58" s="65">
        <f t="shared" si="96"/>
        <v>801.69899999999996</v>
      </c>
      <c r="DK58" s="65">
        <f t="shared" si="96"/>
        <v>766.59599999999989</v>
      </c>
      <c r="DL58" s="30">
        <f t="shared" si="96"/>
        <v>621.19484250000005</v>
      </c>
      <c r="DM58" s="30">
        <f t="shared" si="96"/>
        <v>544.60937887499995</v>
      </c>
      <c r="DN58" s="30">
        <f t="shared" si="96"/>
        <v>485.74244597625</v>
      </c>
      <c r="DO58" s="30">
        <f t="shared" si="96"/>
        <v>1353.6599999999999</v>
      </c>
      <c r="DP58" s="30">
        <f t="shared" si="96"/>
        <v>1568.7</v>
      </c>
      <c r="DQ58" s="30"/>
      <c r="DR58" s="30"/>
      <c r="DS58" s="30"/>
      <c r="DT58" s="30"/>
      <c r="DU58" s="30"/>
      <c r="DV58" s="30"/>
    </row>
    <row r="59" spans="2:133" s="25" customFormat="1" x14ac:dyDescent="0.2">
      <c r="B59" s="25" t="s">
        <v>103</v>
      </c>
      <c r="C59" s="30">
        <v>653</v>
      </c>
      <c r="D59" s="30">
        <v>649</v>
      </c>
      <c r="E59" s="30">
        <v>669</v>
      </c>
      <c r="F59" s="30">
        <v>775</v>
      </c>
      <c r="G59" s="30">
        <v>750</v>
      </c>
      <c r="H59" s="30">
        <v>740</v>
      </c>
      <c r="I59" s="30">
        <v>756</v>
      </c>
      <c r="J59" s="30">
        <v>799</v>
      </c>
      <c r="K59" s="30">
        <v>791</v>
      </c>
      <c r="L59" s="30">
        <v>778</v>
      </c>
      <c r="M59" s="30">
        <v>827</v>
      </c>
      <c r="N59" s="30">
        <v>908</v>
      </c>
      <c r="O59" s="30">
        <v>795</v>
      </c>
      <c r="P59" s="30">
        <v>795</v>
      </c>
      <c r="Q59" s="30">
        <v>797</v>
      </c>
      <c r="R59" s="30">
        <f>Q59</f>
        <v>797</v>
      </c>
      <c r="S59" s="30">
        <v>923</v>
      </c>
      <c r="T59" s="30">
        <v>829</v>
      </c>
      <c r="U59" s="30">
        <v>838</v>
      </c>
      <c r="V59" s="30">
        <v>1108</v>
      </c>
      <c r="W59" s="30">
        <v>910</v>
      </c>
      <c r="X59" s="30">
        <v>822</v>
      </c>
      <c r="Y59" s="50">
        <v>824</v>
      </c>
      <c r="Z59" s="50">
        <v>1010</v>
      </c>
      <c r="AA59" s="50">
        <v>935</v>
      </c>
      <c r="AB59" s="50">
        <v>923</v>
      </c>
      <c r="AC59" s="50">
        <v>973</v>
      </c>
      <c r="AD59" s="50">
        <v>1008</v>
      </c>
      <c r="AE59" s="30">
        <v>909</v>
      </c>
      <c r="AF59" s="30">
        <v>962</v>
      </c>
      <c r="AG59" s="50">
        <v>951</v>
      </c>
      <c r="AH59" s="50">
        <f>3904-SUM(AE59:AG59)</f>
        <v>1082</v>
      </c>
      <c r="AI59" s="30">
        <v>930</v>
      </c>
      <c r="AJ59" s="30">
        <v>951</v>
      </c>
      <c r="AK59" s="30">
        <v>893</v>
      </c>
      <c r="AL59" s="30"/>
      <c r="AM59" s="30"/>
      <c r="AN59" s="30">
        <v>958</v>
      </c>
      <c r="AO59" s="30"/>
      <c r="AP59" s="30"/>
      <c r="AQ59" s="30"/>
      <c r="AR59" s="30"/>
      <c r="AS59" s="30"/>
      <c r="AT59" s="30"/>
      <c r="AU59" s="30"/>
      <c r="AV59" s="30"/>
      <c r="AW59" s="30">
        <v>1079</v>
      </c>
      <c r="AX59" s="30">
        <v>1214</v>
      </c>
      <c r="AY59" s="30">
        <v>1106</v>
      </c>
      <c r="AZ59" s="30">
        <v>1190</v>
      </c>
      <c r="BA59" s="30">
        <v>1169</v>
      </c>
      <c r="BB59" s="30">
        <v>1393</v>
      </c>
      <c r="BC59" s="30">
        <v>1170</v>
      </c>
      <c r="BD59" s="30">
        <v>1341</v>
      </c>
      <c r="BE59" s="30"/>
      <c r="BF59" s="30"/>
      <c r="BG59" s="30">
        <v>1348</v>
      </c>
      <c r="BH59" s="30">
        <v>1325</v>
      </c>
      <c r="BI59" s="30"/>
      <c r="BJ59" s="30"/>
      <c r="BK59" s="30">
        <v>2372</v>
      </c>
      <c r="BL59" s="30">
        <v>2522</v>
      </c>
      <c r="BM59" s="30">
        <v>2499</v>
      </c>
      <c r="BN59" s="30">
        <f>3750-1213</f>
        <v>2537</v>
      </c>
      <c r="BO59" s="30">
        <f>2219-1</f>
        <v>2218</v>
      </c>
      <c r="BP59" s="30">
        <f>2478-230</f>
        <v>2248</v>
      </c>
      <c r="BQ59" s="30">
        <v>3251</v>
      </c>
      <c r="BR59" s="30">
        <v>2607</v>
      </c>
      <c r="BS59" s="30">
        <v>2133</v>
      </c>
      <c r="BT59" s="30">
        <f>2321-21</f>
        <v>2300</v>
      </c>
      <c r="BU59" s="30">
        <f>+BQ59</f>
        <v>3251</v>
      </c>
      <c r="BV59" s="30">
        <v>2510</v>
      </c>
      <c r="BW59" s="30">
        <v>2206</v>
      </c>
      <c r="BX59" s="30">
        <f t="shared" ref="BX59:BZ59" si="97">+BT59</f>
        <v>2300</v>
      </c>
      <c r="BY59" s="30">
        <f t="shared" si="97"/>
        <v>3251</v>
      </c>
      <c r="BZ59" s="30">
        <f t="shared" si="97"/>
        <v>2510</v>
      </c>
      <c r="CA59" s="30">
        <v>2346</v>
      </c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781</v>
      </c>
      <c r="CM59" s="30">
        <v>873</v>
      </c>
      <c r="CN59" s="30">
        <v>983</v>
      </c>
      <c r="CO59" s="30">
        <v>1083</v>
      </c>
      <c r="CP59" s="30">
        <v>1128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3300</v>
      </c>
      <c r="DE59" s="30">
        <f>SUM(O59:R59)</f>
        <v>3184</v>
      </c>
      <c r="DF59" s="50">
        <f>SUM(S59:V59)</f>
        <v>3698</v>
      </c>
      <c r="DG59" s="50">
        <f>SUM(W59:Z59)</f>
        <v>3566</v>
      </c>
      <c r="DH59" s="50">
        <f>SUM(AA59:AD59)</f>
        <v>3839</v>
      </c>
      <c r="DI59" s="30"/>
      <c r="DJ59" s="65"/>
      <c r="DK59" s="65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</row>
    <row r="60" spans="2:133" x14ac:dyDescent="0.2">
      <c r="B60" s="1" t="s">
        <v>247</v>
      </c>
      <c r="C60" s="30">
        <f t="shared" ref="C60:R60" si="98">C59+C58+C57</f>
        <v>2154</v>
      </c>
      <c r="D60" s="30">
        <f t="shared" si="98"/>
        <v>2282</v>
      </c>
      <c r="E60" s="30">
        <f t="shared" si="98"/>
        <v>2304</v>
      </c>
      <c r="F60" s="30">
        <f t="shared" si="98"/>
        <v>2588</v>
      </c>
      <c r="G60" s="30">
        <f t="shared" si="98"/>
        <v>2283</v>
      </c>
      <c r="H60" s="30">
        <f t="shared" si="98"/>
        <v>2273</v>
      </c>
      <c r="I60" s="30">
        <f t="shared" si="98"/>
        <v>2231</v>
      </c>
      <c r="J60" s="30">
        <f t="shared" si="98"/>
        <v>2498</v>
      </c>
      <c r="K60" s="30">
        <f t="shared" si="98"/>
        <v>2192</v>
      </c>
      <c r="L60" s="30">
        <f t="shared" si="98"/>
        <v>2355</v>
      </c>
      <c r="M60" s="30">
        <f t="shared" si="98"/>
        <v>2392</v>
      </c>
      <c r="N60" s="30">
        <f t="shared" si="98"/>
        <v>2734</v>
      </c>
      <c r="O60" s="30">
        <f t="shared" si="98"/>
        <v>2348</v>
      </c>
      <c r="P60" s="30">
        <f>P59+P58+P57</f>
        <v>2358</v>
      </c>
      <c r="Q60" s="30">
        <f>Q59+Q58+Q57</f>
        <v>2330</v>
      </c>
      <c r="R60" s="30">
        <f t="shared" si="98"/>
        <v>2330</v>
      </c>
      <c r="S60" s="30">
        <f t="shared" ref="S60:Z60" si="99">S59+S58+S57</f>
        <v>2311</v>
      </c>
      <c r="T60" s="30">
        <f t="shared" si="99"/>
        <v>2306</v>
      </c>
      <c r="U60" s="30">
        <f t="shared" si="99"/>
        <v>2316</v>
      </c>
      <c r="V60" s="30">
        <f t="shared" si="99"/>
        <v>2612</v>
      </c>
      <c r="W60" s="30">
        <f t="shared" si="99"/>
        <v>2022</v>
      </c>
      <c r="X60" s="30">
        <f t="shared" si="99"/>
        <v>1979</v>
      </c>
      <c r="Y60" s="30">
        <f t="shared" si="99"/>
        <v>1947</v>
      </c>
      <c r="Z60" s="50">
        <f t="shared" si="99"/>
        <v>2281</v>
      </c>
      <c r="AA60" s="50">
        <f t="shared" ref="AA60:AK60" si="100">AA59+AA58+AA57</f>
        <v>2077</v>
      </c>
      <c r="AB60" s="30">
        <f t="shared" si="100"/>
        <v>2216</v>
      </c>
      <c r="AC60" s="30">
        <f t="shared" si="100"/>
        <v>2197</v>
      </c>
      <c r="AD60" s="30">
        <f t="shared" si="100"/>
        <v>2509</v>
      </c>
      <c r="AE60" s="30">
        <f t="shared" si="100"/>
        <v>2105</v>
      </c>
      <c r="AF60" s="30">
        <f>AF59+AF58+AF57</f>
        <v>2190</v>
      </c>
      <c r="AG60" s="50">
        <f t="shared" si="100"/>
        <v>4019</v>
      </c>
      <c r="AH60" s="50">
        <f t="shared" si="100"/>
        <v>2437</v>
      </c>
      <c r="AI60" s="50">
        <f t="shared" si="100"/>
        <v>2113</v>
      </c>
      <c r="AJ60" s="50">
        <f t="shared" si="100"/>
        <v>2211</v>
      </c>
      <c r="AK60" s="50">
        <f t="shared" si="100"/>
        <v>2067</v>
      </c>
      <c r="AL60" s="50">
        <f>AL59+AL58+AL57</f>
        <v>0</v>
      </c>
      <c r="AM60" s="50">
        <f>AM59+AM58+AM57</f>
        <v>0</v>
      </c>
      <c r="AN60" s="50">
        <f>AN59+AN58+AN57</f>
        <v>2093</v>
      </c>
      <c r="AO60" s="30"/>
      <c r="AP60" s="30"/>
      <c r="AQ60" s="30"/>
      <c r="AR60" s="30"/>
      <c r="AS60" s="30"/>
      <c r="AW60" s="30">
        <f t="shared" ref="AW60:AX60" si="101">SUM(AW57:AW59)</f>
        <v>2223</v>
      </c>
      <c r="AX60" s="30">
        <f t="shared" si="101"/>
        <v>2675</v>
      </c>
      <c r="AY60" s="30">
        <f t="shared" ref="AY60:AZ60" si="102">SUM(AY57:AY59)</f>
        <v>2191</v>
      </c>
      <c r="AZ60" s="30">
        <f t="shared" si="102"/>
        <v>2377</v>
      </c>
      <c r="BA60" s="30">
        <f t="shared" ref="BA60:BB60" si="103">SUM(BA57:BA59)</f>
        <v>2316</v>
      </c>
      <c r="BB60" s="30">
        <f t="shared" si="103"/>
        <v>2692</v>
      </c>
      <c r="BC60" s="30">
        <f t="shared" ref="BC60:BD60" si="104">SUM(BC57:BC59)</f>
        <v>2149</v>
      </c>
      <c r="BD60" s="30">
        <f t="shared" si="104"/>
        <v>2472</v>
      </c>
      <c r="BG60" s="30">
        <f t="shared" ref="BG60:BH60" si="105">SUM(BG57:BG59)</f>
        <v>2354</v>
      </c>
      <c r="BH60" s="30">
        <f t="shared" si="105"/>
        <v>2401</v>
      </c>
      <c r="BK60" s="30">
        <f t="shared" ref="BK60" si="106">SUM(BK57:BK59)</f>
        <v>3978</v>
      </c>
      <c r="BL60" s="30">
        <f t="shared" ref="BL60:BN60" si="107">SUM(BL57:BL59)</f>
        <v>4150</v>
      </c>
      <c r="BM60" s="30">
        <f t="shared" si="107"/>
        <v>4205</v>
      </c>
      <c r="BN60" s="30">
        <f t="shared" si="107"/>
        <v>5017</v>
      </c>
      <c r="BO60" s="30">
        <f t="shared" ref="BO60:BR60" si="108">SUM(BO57:BO59)</f>
        <v>3885</v>
      </c>
      <c r="BP60" s="30">
        <f t="shared" si="108"/>
        <v>4129</v>
      </c>
      <c r="BQ60" s="30">
        <f t="shared" si="108"/>
        <v>5039</v>
      </c>
      <c r="BR60" s="30">
        <f t="shared" si="108"/>
        <v>4959</v>
      </c>
      <c r="BS60" s="30">
        <f>SUM(BS57:BS59)</f>
        <v>3962</v>
      </c>
      <c r="BT60" s="30">
        <f>SUM(BT57:BT59)</f>
        <v>4083</v>
      </c>
      <c r="BU60" s="30">
        <f>SUM(BU57:BU59)</f>
        <v>5158.0600000000004</v>
      </c>
      <c r="BV60" s="30">
        <f t="shared" ref="BV60:BZ60" si="109">SUM(BV57:BV59)</f>
        <v>4776</v>
      </c>
      <c r="BW60" s="30">
        <f t="shared" si="109"/>
        <v>3968</v>
      </c>
      <c r="BX60" s="30">
        <f t="shared" si="109"/>
        <v>4208.42</v>
      </c>
      <c r="BY60" s="30">
        <f t="shared" si="109"/>
        <v>5115.22</v>
      </c>
      <c r="BZ60" s="30">
        <f t="shared" si="109"/>
        <v>4461.09</v>
      </c>
      <c r="CA60" s="30">
        <f t="shared" ref="CA60" si="110">SUM(CA57:CA59)</f>
        <v>4335</v>
      </c>
      <c r="CB60" s="30"/>
      <c r="CC60" s="30"/>
      <c r="CD60" s="30"/>
      <c r="CE60" s="30"/>
      <c r="CF60" s="30"/>
      <c r="CG60" s="30"/>
      <c r="CH60" s="30"/>
      <c r="CL60" s="30">
        <f>CL59+CL58+CL57</f>
        <v>4315</v>
      </c>
      <c r="CM60" s="30">
        <f>CM59+CM58+CM57</f>
        <v>4779</v>
      </c>
      <c r="CN60" s="30">
        <f>CN59+CN58+CN57</f>
        <v>5192</v>
      </c>
      <c r="CO60" s="30">
        <f>CO59+CO58+CO57</f>
        <v>5449</v>
      </c>
      <c r="CP60" s="30">
        <f>CP59+CP58+CP57</f>
        <v>5481</v>
      </c>
      <c r="DD60" s="30"/>
      <c r="DE60" s="30">
        <f t="shared" ref="DE60:DN60" si="111">SUM(DE57:DE59)</f>
        <v>9366</v>
      </c>
      <c r="DF60" s="50">
        <f t="shared" si="111"/>
        <v>9545</v>
      </c>
      <c r="DG60" s="50">
        <f t="shared" si="111"/>
        <v>8229</v>
      </c>
      <c r="DH60" s="50">
        <f t="shared" si="111"/>
        <v>8999</v>
      </c>
      <c r="DI60" s="30">
        <f t="shared" si="111"/>
        <v>5047.05</v>
      </c>
      <c r="DJ60" s="65">
        <f t="shared" si="111"/>
        <v>4594.9064999999991</v>
      </c>
      <c r="DK60" s="65">
        <f t="shared" si="111"/>
        <v>4370.1431249999996</v>
      </c>
      <c r="DL60" s="30">
        <f t="shared" si="111"/>
        <v>3323.8551862499999</v>
      </c>
      <c r="DM60" s="30">
        <f t="shared" si="111"/>
        <v>3112.1367054374996</v>
      </c>
      <c r="DN60" s="30">
        <f t="shared" si="111"/>
        <v>1769.5061092574997</v>
      </c>
      <c r="DO60" s="30">
        <f t="shared" ref="DO60:DV60" si="112">SUM(DO57:DO59)</f>
        <v>1995.5418316406249</v>
      </c>
      <c r="DP60" s="30">
        <f t="shared" si="112"/>
        <v>1889.6409158203126</v>
      </c>
      <c r="DQ60" s="30">
        <f>SUM(DQ57:DQ59)</f>
        <v>0</v>
      </c>
      <c r="DR60" s="30">
        <f t="shared" si="112"/>
        <v>0</v>
      </c>
      <c r="DS60" s="30">
        <f t="shared" si="112"/>
        <v>0</v>
      </c>
      <c r="DT60" s="30">
        <f t="shared" si="112"/>
        <v>0</v>
      </c>
      <c r="DU60" s="30">
        <f t="shared" si="112"/>
        <v>0</v>
      </c>
      <c r="DV60" s="30">
        <f t="shared" si="112"/>
        <v>0</v>
      </c>
    </row>
    <row r="61" spans="2:133" x14ac:dyDescent="0.2">
      <c r="B61" s="1" t="s">
        <v>246</v>
      </c>
      <c r="C61" s="30">
        <f t="shared" ref="C61:R61" si="113">C56-C60</f>
        <v>2867</v>
      </c>
      <c r="D61" s="30">
        <f t="shared" si="113"/>
        <v>3346</v>
      </c>
      <c r="E61" s="30">
        <f t="shared" si="113"/>
        <v>3104</v>
      </c>
      <c r="F61" s="30">
        <f t="shared" si="113"/>
        <v>3146</v>
      </c>
      <c r="G61" s="30">
        <f t="shared" si="113"/>
        <v>3074</v>
      </c>
      <c r="H61" s="30">
        <f t="shared" si="113"/>
        <v>3309</v>
      </c>
      <c r="I61" s="30">
        <f t="shared" si="113"/>
        <v>2056</v>
      </c>
      <c r="J61" s="30">
        <f t="shared" si="113"/>
        <v>1701</v>
      </c>
      <c r="K61" s="30">
        <f t="shared" si="113"/>
        <v>2620</v>
      </c>
      <c r="L61" s="30">
        <f t="shared" si="113"/>
        <v>3187</v>
      </c>
      <c r="M61" s="30">
        <f t="shared" si="113"/>
        <v>3836</v>
      </c>
      <c r="N61" s="30">
        <f t="shared" si="113"/>
        <v>3940</v>
      </c>
      <c r="O61" s="30">
        <f t="shared" si="113"/>
        <v>4133</v>
      </c>
      <c r="P61" s="30">
        <f>P56-P60</f>
        <v>4448</v>
      </c>
      <c r="Q61" s="30">
        <f>Q56-Q60</f>
        <v>4669</v>
      </c>
      <c r="R61" s="30">
        <f t="shared" si="113"/>
        <v>-2330</v>
      </c>
      <c r="S61" s="30">
        <f t="shared" ref="S61:Z61" si="114">S56-S60</f>
        <v>4571</v>
      </c>
      <c r="T61" s="30">
        <f t="shared" si="114"/>
        <v>5136</v>
      </c>
      <c r="U61" s="30">
        <f t="shared" si="114"/>
        <v>5218</v>
      </c>
      <c r="V61" s="30">
        <f t="shared" si="114"/>
        <v>4809</v>
      </c>
      <c r="W61" s="30">
        <f t="shared" si="114"/>
        <v>1479</v>
      </c>
      <c r="X61" s="30">
        <f t="shared" si="114"/>
        <v>5219</v>
      </c>
      <c r="Y61" s="30">
        <f t="shared" si="114"/>
        <v>1571</v>
      </c>
      <c r="Z61" s="50">
        <f t="shared" si="114"/>
        <v>1416</v>
      </c>
      <c r="AA61" s="50">
        <f t="shared" ref="AA61:AK61" si="115">AA56-AA60</f>
        <v>1591</v>
      </c>
      <c r="AB61" s="30">
        <f t="shared" si="115"/>
        <v>1737</v>
      </c>
      <c r="AC61" s="30">
        <f t="shared" si="115"/>
        <v>1741</v>
      </c>
      <c r="AD61" s="30">
        <f t="shared" si="115"/>
        <v>1578</v>
      </c>
      <c r="AE61" s="30">
        <f t="shared" si="115"/>
        <v>1843</v>
      </c>
      <c r="AF61" s="30">
        <f>AF56-AF60</f>
        <v>1008</v>
      </c>
      <c r="AG61" s="50">
        <f t="shared" si="115"/>
        <v>-1270</v>
      </c>
      <c r="AH61" s="50">
        <f t="shared" si="115"/>
        <v>679</v>
      </c>
      <c r="AI61" s="50">
        <f t="shared" si="115"/>
        <v>655</v>
      </c>
      <c r="AJ61" s="50">
        <f t="shared" si="115"/>
        <v>729</v>
      </c>
      <c r="AK61" s="50">
        <f t="shared" si="115"/>
        <v>823</v>
      </c>
      <c r="AL61" s="50">
        <f>AL56-AL60</f>
        <v>0</v>
      </c>
      <c r="AM61" s="50">
        <f>AM56-AM60</f>
        <v>0</v>
      </c>
      <c r="AN61" s="50">
        <f>AN56-AN60</f>
        <v>805</v>
      </c>
      <c r="AO61" s="30"/>
      <c r="AP61" s="30"/>
      <c r="AQ61" s="30"/>
      <c r="AR61" s="30"/>
      <c r="AS61" s="30"/>
      <c r="AW61" s="30">
        <f t="shared" ref="AW61:AX61" si="116">AW56-AW60</f>
        <v>1401</v>
      </c>
      <c r="AX61" s="30">
        <f t="shared" si="116"/>
        <v>1191</v>
      </c>
      <c r="AY61" s="30">
        <f t="shared" ref="AY61:AZ61" si="117">AY56-AY60</f>
        <v>1473</v>
      </c>
      <c r="AZ61" s="30">
        <f t="shared" si="117"/>
        <v>1328</v>
      </c>
      <c r="BA61" s="30">
        <f t="shared" ref="BA61:BB61" si="118">BA56-BA60</f>
        <v>1367</v>
      </c>
      <c r="BB61" s="30">
        <f t="shared" si="118"/>
        <v>1102</v>
      </c>
      <c r="BC61" s="30">
        <f t="shared" ref="BC61:BD61" si="119">BC56-BC60</f>
        <v>1473</v>
      </c>
      <c r="BD61" s="30">
        <f t="shared" si="119"/>
        <v>1621</v>
      </c>
      <c r="BG61" s="30">
        <f t="shared" ref="BG61:BH61" si="120">BG56-BG60</f>
        <v>1742</v>
      </c>
      <c r="BH61" s="30">
        <f t="shared" si="120"/>
        <v>1900</v>
      </c>
      <c r="BK61" s="30">
        <f t="shared" ref="BK61" si="121">BK56-BK60</f>
        <v>4579</v>
      </c>
      <c r="BL61" s="30">
        <f t="shared" ref="BL61:BN61" si="122">BL56-BL60</f>
        <v>3280</v>
      </c>
      <c r="BM61" s="30">
        <f t="shared" si="122"/>
        <v>3833</v>
      </c>
      <c r="BN61" s="30">
        <f t="shared" si="122"/>
        <v>3816</v>
      </c>
      <c r="BO61" s="30">
        <f t="shared" ref="BO61:BR61" si="123">BO56-BO60</f>
        <v>4764</v>
      </c>
      <c r="BP61" s="30">
        <f t="shared" si="123"/>
        <v>5211</v>
      </c>
      <c r="BQ61" s="30">
        <f t="shared" si="123"/>
        <v>4294</v>
      </c>
      <c r="BR61" s="30">
        <f t="shared" si="123"/>
        <v>4670</v>
      </c>
      <c r="BS61" s="30">
        <f>BS56-BS60</f>
        <v>5267</v>
      </c>
      <c r="BT61" s="30">
        <f>BT56-BT60</f>
        <v>5229</v>
      </c>
      <c r="BU61" s="30">
        <f>BU56-BU60</f>
        <v>3704.1600000000008</v>
      </c>
      <c r="BV61" s="30">
        <f t="shared" ref="BV61:BZ61" si="124">BV56-BV60</f>
        <v>4037</v>
      </c>
      <c r="BW61" s="30">
        <f t="shared" si="124"/>
        <v>4988.2299999999996</v>
      </c>
      <c r="BX61" s="30">
        <f t="shared" si="124"/>
        <v>4660.1200000000008</v>
      </c>
      <c r="BY61" s="30">
        <f t="shared" si="124"/>
        <v>3547.920000000001</v>
      </c>
      <c r="BZ61" s="30">
        <f t="shared" si="124"/>
        <v>4605.74</v>
      </c>
      <c r="CA61" s="30">
        <f>CA56-CA60</f>
        <v>4620</v>
      </c>
      <c r="CB61" s="30"/>
      <c r="CC61" s="30"/>
      <c r="CD61" s="30"/>
      <c r="CE61" s="30"/>
      <c r="CF61" s="30"/>
      <c r="CG61" s="30"/>
      <c r="CH61" s="30"/>
      <c r="CL61" s="30">
        <f>CL56-CL60</f>
        <v>1845</v>
      </c>
      <c r="CM61" s="30">
        <f>CM56-CM60</f>
        <v>2297</v>
      </c>
      <c r="CN61" s="30">
        <f>CN56-CN60</f>
        <v>2662</v>
      </c>
      <c r="CO61" s="30">
        <f>CO56-CO60</f>
        <v>2850</v>
      </c>
      <c r="CP61" s="30">
        <f>CP56-CP60</f>
        <v>2903</v>
      </c>
      <c r="DE61" s="30">
        <f t="shared" ref="DE61:DN61" si="125">DE56-DE60</f>
        <v>10920</v>
      </c>
      <c r="DF61" s="50">
        <f t="shared" si="125"/>
        <v>19734</v>
      </c>
      <c r="DG61" s="50">
        <f t="shared" si="125"/>
        <v>9685</v>
      </c>
      <c r="DH61" s="50">
        <f t="shared" si="125"/>
        <v>6647</v>
      </c>
      <c r="DI61" s="30">
        <f t="shared" si="125"/>
        <v>7779.05</v>
      </c>
      <c r="DJ61" s="65">
        <f t="shared" si="125"/>
        <v>5159.098</v>
      </c>
      <c r="DK61" s="65">
        <f t="shared" si="125"/>
        <v>4956.7748749999982</v>
      </c>
      <c r="DL61" s="30">
        <f t="shared" si="125"/>
        <v>4234.0153975000003</v>
      </c>
      <c r="DM61" s="30">
        <f t="shared" si="125"/>
        <v>3604.7123006874999</v>
      </c>
      <c r="DN61" s="30">
        <f t="shared" si="125"/>
        <v>4302.2744654456255</v>
      </c>
      <c r="DO61" s="30">
        <f t="shared" ref="DO61:DV61" si="126">DO56-DO60</f>
        <v>14925.208168359375</v>
      </c>
      <c r="DP61" s="30">
        <f t="shared" si="126"/>
        <v>17719.109084179687</v>
      </c>
      <c r="DQ61" s="30">
        <f t="shared" si="126"/>
        <v>0</v>
      </c>
      <c r="DR61" s="30">
        <f t="shared" si="126"/>
        <v>0</v>
      </c>
      <c r="DS61" s="30">
        <f t="shared" si="126"/>
        <v>0</v>
      </c>
      <c r="DT61" s="30">
        <f t="shared" si="126"/>
        <v>0</v>
      </c>
      <c r="DU61" s="30">
        <f t="shared" si="126"/>
        <v>0</v>
      </c>
      <c r="DV61" s="30">
        <f t="shared" si="126"/>
        <v>0</v>
      </c>
    </row>
    <row r="62" spans="2:133" s="25" customFormat="1" x14ac:dyDescent="0.2">
      <c r="B62" s="25" t="s">
        <v>104</v>
      </c>
      <c r="C62" s="30">
        <f>69-25</f>
        <v>44</v>
      </c>
      <c r="D62" s="30">
        <f>87-105</f>
        <v>-18</v>
      </c>
      <c r="E62" s="30">
        <f>84-38</f>
        <v>46</v>
      </c>
      <c r="F62" s="30">
        <f>94+131</f>
        <v>225</v>
      </c>
      <c r="G62" s="30">
        <f>93-37</f>
        <v>56</v>
      </c>
      <c r="H62" s="30">
        <f>125-56</f>
        <v>69</v>
      </c>
      <c r="I62" s="30">
        <f>118+34</f>
        <v>152</v>
      </c>
      <c r="J62" s="30">
        <f>138-240</f>
        <v>-102</v>
      </c>
      <c r="K62" s="30">
        <f>126-22</f>
        <v>104</v>
      </c>
      <c r="L62" s="30">
        <v>128</v>
      </c>
      <c r="M62" s="30">
        <f>139-11</f>
        <v>128</v>
      </c>
      <c r="N62" s="30">
        <f>131-331</f>
        <v>-200</v>
      </c>
      <c r="O62" s="30">
        <f>164-39</f>
        <v>125</v>
      </c>
      <c r="P62" s="30">
        <v>161</v>
      </c>
      <c r="Q62" s="30">
        <f>164+57</f>
        <v>221</v>
      </c>
      <c r="R62" s="30">
        <v>120</v>
      </c>
      <c r="S62" s="30">
        <f>146+78</f>
        <v>224</v>
      </c>
      <c r="T62" s="30">
        <f>150+22</f>
        <v>172</v>
      </c>
      <c r="U62" s="30">
        <f>139+30</f>
        <v>169</v>
      </c>
      <c r="V62" s="30">
        <f>115+264</f>
        <v>379</v>
      </c>
      <c r="W62" s="30">
        <f>97-113</f>
        <v>-16</v>
      </c>
      <c r="X62" s="30">
        <f>85+19</f>
        <v>104</v>
      </c>
      <c r="Y62" s="50">
        <v>80</v>
      </c>
      <c r="Z62" s="50">
        <f>61-42</f>
        <v>19</v>
      </c>
      <c r="AA62" s="50">
        <f>82+138</f>
        <v>220</v>
      </c>
      <c r="AB62" s="50">
        <f>62+31</f>
        <v>93</v>
      </c>
      <c r="AC62" s="50">
        <f>71+26</f>
        <v>97</v>
      </c>
      <c r="AD62" s="50">
        <f>66-26</f>
        <v>40</v>
      </c>
      <c r="AE62" s="30">
        <f>57-23</f>
        <v>34</v>
      </c>
      <c r="AF62" s="30">
        <f>53+18</f>
        <v>71</v>
      </c>
      <c r="AG62" s="50">
        <f>546+13-2</f>
        <v>557</v>
      </c>
      <c r="AH62" s="50">
        <v>-80</v>
      </c>
      <c r="AI62" s="30">
        <v>19</v>
      </c>
      <c r="AJ62" s="30">
        <v>-199</v>
      </c>
      <c r="AK62" s="30">
        <v>-5</v>
      </c>
      <c r="AL62" s="30"/>
      <c r="AM62" s="30"/>
      <c r="AN62" s="30">
        <v>104</v>
      </c>
      <c r="AO62" s="30"/>
      <c r="AP62" s="30"/>
      <c r="AQ62" s="30"/>
      <c r="AR62" s="30"/>
      <c r="AS62" s="30"/>
      <c r="AT62" s="30"/>
      <c r="AU62" s="30"/>
      <c r="AV62" s="30"/>
      <c r="AW62" s="30">
        <v>246</v>
      </c>
      <c r="AX62" s="30">
        <v>170</v>
      </c>
      <c r="AY62" s="30">
        <v>295</v>
      </c>
      <c r="AZ62" s="30">
        <v>249</v>
      </c>
      <c r="BA62" s="30">
        <v>241</v>
      </c>
      <c r="BB62" s="30">
        <v>273</v>
      </c>
      <c r="BC62" s="30">
        <v>407</v>
      </c>
      <c r="BD62" s="30">
        <v>384</v>
      </c>
      <c r="BE62" s="30"/>
      <c r="BF62" s="30"/>
      <c r="BG62" s="30">
        <f t="shared" ref="BG62" si="127">-100+106+10-71-2+15+303</f>
        <v>261</v>
      </c>
      <c r="BH62" s="30">
        <f>-100+106+10-71-2+15+303</f>
        <v>261</v>
      </c>
      <c r="BI62" s="30"/>
      <c r="BJ62" s="30"/>
      <c r="BK62" s="30">
        <f>-1163+556-16+174+160+339+32-61+76</f>
        <v>97</v>
      </c>
      <c r="BL62" s="30">
        <f>736-165-818+166+115-51+21</f>
        <v>4</v>
      </c>
      <c r="BM62" s="30">
        <f>915-988-244+195+176+10-18-13</f>
        <v>33</v>
      </c>
      <c r="BN62" s="30">
        <v>125</v>
      </c>
      <c r="BO62" s="30">
        <v>17</v>
      </c>
      <c r="BP62" s="30">
        <v>39</v>
      </c>
      <c r="BQ62" s="30">
        <f>409-465+141+27+13-6</f>
        <v>119</v>
      </c>
      <c r="BR62" s="30">
        <v>121</v>
      </c>
      <c r="BS62" s="30">
        <v>119</v>
      </c>
      <c r="BT62" s="30">
        <v>179</v>
      </c>
      <c r="BU62" s="30">
        <f>AVERAGE(BQ62:BT62)</f>
        <v>134.5</v>
      </c>
      <c r="BV62" s="30">
        <v>217</v>
      </c>
      <c r="BW62" s="30">
        <f t="shared" ref="BW62:BZ62" si="128">AVERAGE(BS62:BV62)</f>
        <v>162.375</v>
      </c>
      <c r="BX62" s="30">
        <f t="shared" si="128"/>
        <v>173.21875</v>
      </c>
      <c r="BY62" s="30">
        <f t="shared" si="128"/>
        <v>171.7734375</v>
      </c>
      <c r="BZ62" s="30">
        <f t="shared" si="128"/>
        <v>181.091796875</v>
      </c>
      <c r="CA62" s="30">
        <f>-81+235</f>
        <v>154</v>
      </c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>
        <f>855-661</f>
        <v>194</v>
      </c>
      <c r="CM62" s="30">
        <v>136</v>
      </c>
      <c r="CN62" s="30">
        <v>122</v>
      </c>
      <c r="CO62" s="30">
        <f>890-863</f>
        <v>27</v>
      </c>
      <c r="CP62" s="30">
        <f>500-332</f>
        <v>168</v>
      </c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>
        <f>SUM(O62:R62)</f>
        <v>627</v>
      </c>
      <c r="DF62" s="50">
        <f>SUM(S62:V62)</f>
        <v>944</v>
      </c>
      <c r="DG62" s="50">
        <f>SUM(W62:Z62)</f>
        <v>187</v>
      </c>
      <c r="DH62" s="50">
        <f>SUM(AA62:AD62)</f>
        <v>450</v>
      </c>
      <c r="DI62" s="30">
        <f t="shared" ref="DI62:DP62" si="129">DH94*$DY$68</f>
        <v>0</v>
      </c>
      <c r="DJ62" s="65">
        <f t="shared" si="129"/>
        <v>0</v>
      </c>
      <c r="DK62" s="65">
        <f t="shared" si="129"/>
        <v>0</v>
      </c>
      <c r="DL62" s="30">
        <f t="shared" si="129"/>
        <v>0</v>
      </c>
      <c r="DM62" s="30">
        <f t="shared" si="129"/>
        <v>0</v>
      </c>
      <c r="DN62" s="30">
        <f t="shared" si="129"/>
        <v>0</v>
      </c>
      <c r="DO62" s="30">
        <f t="shared" si="129"/>
        <v>0</v>
      </c>
      <c r="DP62" s="30">
        <f t="shared" si="129"/>
        <v>0</v>
      </c>
      <c r="DQ62" s="30"/>
      <c r="DR62" s="30"/>
      <c r="DS62" s="30"/>
      <c r="DT62" s="30"/>
      <c r="DU62" s="30"/>
      <c r="DV62" s="30"/>
    </row>
    <row r="63" spans="2:133" x14ac:dyDescent="0.2">
      <c r="B63" s="1" t="s">
        <v>105</v>
      </c>
      <c r="C63" s="30">
        <f t="shared" ref="C63:R63" si="130">C61+C62</f>
        <v>2911</v>
      </c>
      <c r="D63" s="30">
        <f t="shared" si="130"/>
        <v>3328</v>
      </c>
      <c r="E63" s="30">
        <f t="shared" si="130"/>
        <v>3150</v>
      </c>
      <c r="F63" s="30">
        <f t="shared" si="130"/>
        <v>3371</v>
      </c>
      <c r="G63" s="30">
        <f t="shared" si="130"/>
        <v>3130</v>
      </c>
      <c r="H63" s="30">
        <f t="shared" si="130"/>
        <v>3378</v>
      </c>
      <c r="I63" s="30">
        <f t="shared" si="130"/>
        <v>2208</v>
      </c>
      <c r="J63" s="30">
        <f t="shared" si="130"/>
        <v>1599</v>
      </c>
      <c r="K63" s="30">
        <f t="shared" si="130"/>
        <v>2724</v>
      </c>
      <c r="L63" s="30">
        <f t="shared" si="130"/>
        <v>3315</v>
      </c>
      <c r="M63" s="30">
        <f t="shared" si="130"/>
        <v>3964</v>
      </c>
      <c r="N63" s="30">
        <f t="shared" si="130"/>
        <v>3740</v>
      </c>
      <c r="O63" s="30">
        <f t="shared" si="130"/>
        <v>4258</v>
      </c>
      <c r="P63" s="30">
        <f t="shared" si="130"/>
        <v>4609</v>
      </c>
      <c r="Q63" s="30">
        <f>Q61+Q62</f>
        <v>4890</v>
      </c>
      <c r="R63" s="30">
        <f t="shared" si="130"/>
        <v>-2210</v>
      </c>
      <c r="S63" s="30">
        <f t="shared" ref="S63:AA63" si="131">S61+S62</f>
        <v>4795</v>
      </c>
      <c r="T63" s="30">
        <f t="shared" si="131"/>
        <v>5308</v>
      </c>
      <c r="U63" s="30">
        <f t="shared" si="131"/>
        <v>5387</v>
      </c>
      <c r="V63" s="30">
        <f t="shared" si="131"/>
        <v>5188</v>
      </c>
      <c r="W63" s="30">
        <f t="shared" si="131"/>
        <v>1463</v>
      </c>
      <c r="X63" s="30">
        <f t="shared" si="131"/>
        <v>5323</v>
      </c>
      <c r="Y63" s="30">
        <f t="shared" si="131"/>
        <v>1651</v>
      </c>
      <c r="Z63" s="50">
        <f t="shared" si="131"/>
        <v>1435</v>
      </c>
      <c r="AA63" s="50">
        <f t="shared" si="131"/>
        <v>1811</v>
      </c>
      <c r="AB63" s="30">
        <f t="shared" ref="AB63:AN63" si="132">AB61+AB62</f>
        <v>1830</v>
      </c>
      <c r="AC63" s="30">
        <f t="shared" si="132"/>
        <v>1838</v>
      </c>
      <c r="AD63" s="30">
        <f t="shared" si="132"/>
        <v>1618</v>
      </c>
      <c r="AE63" s="30">
        <f t="shared" si="132"/>
        <v>1877</v>
      </c>
      <c r="AF63" s="30">
        <f t="shared" si="132"/>
        <v>1079</v>
      </c>
      <c r="AG63" s="50">
        <f t="shared" si="132"/>
        <v>-713</v>
      </c>
      <c r="AH63" s="50">
        <f t="shared" si="132"/>
        <v>599</v>
      </c>
      <c r="AI63" s="50">
        <f t="shared" si="132"/>
        <v>674</v>
      </c>
      <c r="AJ63" s="50">
        <f t="shared" si="132"/>
        <v>530</v>
      </c>
      <c r="AK63" s="50">
        <f t="shared" si="132"/>
        <v>818</v>
      </c>
      <c r="AL63" s="50">
        <f t="shared" si="132"/>
        <v>0</v>
      </c>
      <c r="AM63" s="50">
        <f t="shared" si="132"/>
        <v>0</v>
      </c>
      <c r="AN63" s="50">
        <f t="shared" si="132"/>
        <v>909</v>
      </c>
      <c r="AO63" s="30"/>
      <c r="AP63" s="30"/>
      <c r="AQ63" s="30"/>
      <c r="AR63" s="30"/>
      <c r="AS63" s="30"/>
      <c r="AT63" s="30"/>
      <c r="AU63" s="30"/>
      <c r="AV63" s="30"/>
      <c r="AW63" s="30">
        <f t="shared" ref="AW63:AX63" si="133">AW61+AW62</f>
        <v>1647</v>
      </c>
      <c r="AX63" s="30">
        <f t="shared" si="133"/>
        <v>1361</v>
      </c>
      <c r="AY63" s="30">
        <f t="shared" ref="AY63:AZ63" si="134">AY61+AY62</f>
        <v>1768</v>
      </c>
      <c r="AZ63" s="30">
        <f t="shared" si="134"/>
        <v>1577</v>
      </c>
      <c r="BA63" s="30">
        <f t="shared" ref="BA63:BB63" si="135">BA61+BA62</f>
        <v>1608</v>
      </c>
      <c r="BB63" s="30">
        <f t="shared" si="135"/>
        <v>1375</v>
      </c>
      <c r="BC63" s="30">
        <f t="shared" ref="BC63:BD63" si="136">BC61+BC62</f>
        <v>1880</v>
      </c>
      <c r="BD63" s="30">
        <f t="shared" si="136"/>
        <v>2005</v>
      </c>
      <c r="BE63" s="30"/>
      <c r="BF63" s="30"/>
      <c r="BG63" s="30">
        <f t="shared" ref="BG63:BH63" si="137">BG61+BG62</f>
        <v>2003</v>
      </c>
      <c r="BH63" s="30">
        <f t="shared" si="137"/>
        <v>2161</v>
      </c>
      <c r="BI63" s="30"/>
      <c r="BJ63" s="30"/>
      <c r="BK63" s="30">
        <f t="shared" ref="BK63" si="138">BK61+BK62</f>
        <v>4676</v>
      </c>
      <c r="BL63" s="30">
        <f t="shared" ref="BL63:BN63" si="139">BL61+BL62</f>
        <v>3284</v>
      </c>
      <c r="BM63" s="30">
        <f t="shared" si="139"/>
        <v>3866</v>
      </c>
      <c r="BN63" s="30">
        <f t="shared" si="139"/>
        <v>3941</v>
      </c>
      <c r="BO63" s="30">
        <f t="shared" ref="BO63:BR63" si="140">BO61+BO62</f>
        <v>4781</v>
      </c>
      <c r="BP63" s="30">
        <f t="shared" si="140"/>
        <v>5250</v>
      </c>
      <c r="BQ63" s="30">
        <f t="shared" si="140"/>
        <v>4413</v>
      </c>
      <c r="BR63" s="30">
        <f t="shared" si="140"/>
        <v>4791</v>
      </c>
      <c r="BS63" s="30">
        <f>BS61+BS62</f>
        <v>5386</v>
      </c>
      <c r="BT63" s="30">
        <f>BT61+BT62</f>
        <v>5408</v>
      </c>
      <c r="BU63" s="30">
        <f>BU61+BU62</f>
        <v>3838.6600000000008</v>
      </c>
      <c r="BV63" s="30">
        <f t="shared" ref="BV63:CA63" si="141">BV61+BV62</f>
        <v>4254</v>
      </c>
      <c r="BW63" s="30">
        <f t="shared" si="141"/>
        <v>5150.6049999999996</v>
      </c>
      <c r="BX63" s="30">
        <f t="shared" si="141"/>
        <v>4833.3387500000008</v>
      </c>
      <c r="BY63" s="30">
        <f t="shared" si="141"/>
        <v>3719.693437500001</v>
      </c>
      <c r="BZ63" s="30">
        <f t="shared" si="141"/>
        <v>4786.8317968749998</v>
      </c>
      <c r="CA63" s="30">
        <f t="shared" si="141"/>
        <v>4774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CL62+CL61</f>
        <v>2039</v>
      </c>
      <c r="CM63" s="30">
        <f>CM62+CM61</f>
        <v>2433</v>
      </c>
      <c r="CN63" s="30">
        <f>CN62+CN61</f>
        <v>2784</v>
      </c>
      <c r="CO63" s="30">
        <f>CO62+CO61</f>
        <v>2877</v>
      </c>
      <c r="CP63" s="30">
        <f>CP62+CP61</f>
        <v>3071</v>
      </c>
      <c r="DE63" s="30">
        <f t="shared" ref="DE63:DN63" si="142">DE62+DE61</f>
        <v>11547</v>
      </c>
      <c r="DF63" s="50">
        <f t="shared" si="142"/>
        <v>20678</v>
      </c>
      <c r="DG63" s="50">
        <f t="shared" si="142"/>
        <v>9872</v>
      </c>
      <c r="DH63" s="50">
        <f t="shared" si="142"/>
        <v>7097</v>
      </c>
      <c r="DI63" s="30">
        <f t="shared" si="142"/>
        <v>7779.05</v>
      </c>
      <c r="DJ63" s="65">
        <f t="shared" si="142"/>
        <v>5159.098</v>
      </c>
      <c r="DK63" s="65">
        <f t="shared" si="142"/>
        <v>4956.7748749999982</v>
      </c>
      <c r="DL63" s="30">
        <f t="shared" si="142"/>
        <v>4234.0153975000003</v>
      </c>
      <c r="DM63" s="30">
        <f t="shared" si="142"/>
        <v>3604.7123006874999</v>
      </c>
      <c r="DN63" s="30">
        <f t="shared" si="142"/>
        <v>4302.2744654456255</v>
      </c>
      <c r="DO63" s="30">
        <f t="shared" ref="DO63:DU63" si="143">DO62+DO61</f>
        <v>14925.208168359375</v>
      </c>
      <c r="DP63" s="30">
        <f t="shared" si="143"/>
        <v>17719.109084179687</v>
      </c>
      <c r="DQ63" s="30">
        <f t="shared" si="143"/>
        <v>0</v>
      </c>
      <c r="DR63" s="30">
        <f t="shared" si="143"/>
        <v>0</v>
      </c>
      <c r="DS63" s="30">
        <f t="shared" si="143"/>
        <v>0</v>
      </c>
      <c r="DT63" s="30">
        <f t="shared" si="143"/>
        <v>0</v>
      </c>
      <c r="DU63" s="30">
        <f t="shared" si="143"/>
        <v>0</v>
      </c>
      <c r="DV63" s="30">
        <f>DV62+DV61</f>
        <v>0</v>
      </c>
    </row>
    <row r="64" spans="2:133" s="25" customFormat="1" x14ac:dyDescent="0.2">
      <c r="B64" s="25" t="s">
        <v>106</v>
      </c>
      <c r="C64" s="30">
        <v>268</v>
      </c>
      <c r="D64" s="30">
        <v>-21</v>
      </c>
      <c r="E64" s="30">
        <v>507</v>
      </c>
      <c r="F64" s="30">
        <v>178</v>
      </c>
      <c r="G64" s="30">
        <v>328</v>
      </c>
      <c r="H64" s="30">
        <v>256</v>
      </c>
      <c r="I64" s="30">
        <v>193</v>
      </c>
      <c r="J64" s="30">
        <v>-183</v>
      </c>
      <c r="K64" s="30">
        <v>68</v>
      </c>
      <c r="L64" s="30">
        <v>257</v>
      </c>
      <c r="M64" s="30">
        <v>342</v>
      </c>
      <c r="N64" s="30">
        <v>177</v>
      </c>
      <c r="O64" s="30">
        <v>359</v>
      </c>
      <c r="P64" s="30">
        <v>292</v>
      </c>
      <c r="Q64" s="30">
        <v>395</v>
      </c>
      <c r="R64" s="30">
        <f>R63*0.25</f>
        <v>-552.5</v>
      </c>
      <c r="S64" s="30">
        <v>463</v>
      </c>
      <c r="T64" s="30">
        <v>443</v>
      </c>
      <c r="U64" s="30">
        <v>434</v>
      </c>
      <c r="V64" s="30">
        <v>188</v>
      </c>
      <c r="W64" s="30">
        <v>351</v>
      </c>
      <c r="X64" s="30">
        <v>324</v>
      </c>
      <c r="Y64" s="30">
        <v>312</v>
      </c>
      <c r="Z64" s="50">
        <v>571</v>
      </c>
      <c r="AA64" s="50">
        <v>400</v>
      </c>
      <c r="AB64" s="30">
        <v>483</v>
      </c>
      <c r="AC64" s="30">
        <v>475</v>
      </c>
      <c r="AD64" s="30">
        <v>363</v>
      </c>
      <c r="AE64" s="30">
        <v>545</v>
      </c>
      <c r="AF64" s="30">
        <v>251</v>
      </c>
      <c r="AG64" s="50">
        <v>0</v>
      </c>
      <c r="AH64" s="50">
        <v>-161</v>
      </c>
      <c r="AI64" s="30">
        <v>51</v>
      </c>
      <c r="AJ64" s="30">
        <v>0</v>
      </c>
      <c r="AK64" s="30">
        <v>126</v>
      </c>
      <c r="AL64" s="30"/>
      <c r="AM64" s="30"/>
      <c r="AN64" s="30">
        <v>114</v>
      </c>
      <c r="AO64" s="30"/>
      <c r="AP64" s="30"/>
      <c r="AQ64" s="30"/>
      <c r="AR64" s="30"/>
      <c r="AS64" s="30"/>
      <c r="AT64" s="30"/>
      <c r="AU64" s="30"/>
      <c r="AV64" s="30"/>
      <c r="AW64" s="30">
        <v>347</v>
      </c>
      <c r="AX64" s="30">
        <v>293</v>
      </c>
      <c r="AY64" s="30">
        <v>357</v>
      </c>
      <c r="AZ64" s="30">
        <v>353</v>
      </c>
      <c r="BA64" s="30">
        <v>368</v>
      </c>
      <c r="BB64" s="30">
        <v>254</v>
      </c>
      <c r="BC64" s="30">
        <v>324</v>
      </c>
      <c r="BD64" s="30">
        <v>350</v>
      </c>
      <c r="BE64" s="30"/>
      <c r="BF64" s="30"/>
      <c r="BG64" s="30">
        <v>264</v>
      </c>
      <c r="BH64" s="30">
        <v>337</v>
      </c>
      <c r="BI64" s="30"/>
      <c r="BJ64" s="30"/>
      <c r="BK64" s="30">
        <v>462</v>
      </c>
      <c r="BL64" s="30">
        <v>1707</v>
      </c>
      <c r="BM64" s="30">
        <v>379</v>
      </c>
      <c r="BN64" s="30">
        <v>610</v>
      </c>
      <c r="BO64" s="30">
        <v>804</v>
      </c>
      <c r="BP64" s="30">
        <v>784</v>
      </c>
      <c r="BQ64" s="30">
        <v>605</v>
      </c>
      <c r="BR64" s="30">
        <v>720</v>
      </c>
      <c r="BS64" s="30">
        <v>802</v>
      </c>
      <c r="BT64" s="30">
        <v>850</v>
      </c>
      <c r="BU64" s="30">
        <f>+BU63*0.2</f>
        <v>767.7320000000002</v>
      </c>
      <c r="BV64" s="30">
        <v>0</v>
      </c>
      <c r="BW64" s="30">
        <f t="shared" ref="BW64:BZ64" si="144">+BW63*0.2</f>
        <v>1030.1209999999999</v>
      </c>
      <c r="BX64" s="30">
        <f t="shared" si="144"/>
        <v>966.66775000000018</v>
      </c>
      <c r="BY64" s="30">
        <f t="shared" si="144"/>
        <v>743.93868750000024</v>
      </c>
      <c r="BZ64" s="30">
        <f t="shared" si="144"/>
        <v>957.366359375</v>
      </c>
      <c r="CA64" s="30">
        <f>392+340</f>
        <v>732</v>
      </c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>
        <f>496+162</f>
        <v>658</v>
      </c>
      <c r="CM64" s="30">
        <v>742</v>
      </c>
      <c r="CN64" s="30">
        <v>793</v>
      </c>
      <c r="CO64" s="30">
        <f>449+320</f>
        <v>769</v>
      </c>
      <c r="CP64" s="30">
        <f>612+290</f>
        <v>902</v>
      </c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>
        <f>SUM(O64:R64)</f>
        <v>493.5</v>
      </c>
      <c r="DF64" s="50">
        <f>SUM(S64:V64)</f>
        <v>1528</v>
      </c>
      <c r="DG64" s="50">
        <f>SUM(W64:Z64)</f>
        <v>1558</v>
      </c>
      <c r="DH64" s="50">
        <f>SUM(AA64:AD64)</f>
        <v>1721</v>
      </c>
      <c r="DI64" s="30">
        <f>DI63*0.29</f>
        <v>2255.9245000000001</v>
      </c>
      <c r="DJ64" s="65">
        <f>DJ63*0.28</f>
        <v>1444.5474400000001</v>
      </c>
      <c r="DK64" s="65">
        <f>DK63*0.28</f>
        <v>1387.8969649999997</v>
      </c>
      <c r="DL64" s="30">
        <f>DL63*0.28</f>
        <v>1185.5243113000001</v>
      </c>
      <c r="DM64" s="30">
        <f>DM63*0.28</f>
        <v>1009.3194441925001</v>
      </c>
      <c r="DN64" s="30">
        <f>DN63*0.28</f>
        <v>1204.6368503247752</v>
      </c>
      <c r="DO64" s="30">
        <f t="shared" ref="DO64:DP64" si="145">DO63*0.28</f>
        <v>4179.058287140625</v>
      </c>
      <c r="DP64" s="30">
        <f t="shared" si="145"/>
        <v>4961.3505435703128</v>
      </c>
      <c r="DQ64" s="30"/>
      <c r="DR64" s="30"/>
      <c r="DS64" s="30"/>
      <c r="DT64" s="30"/>
      <c r="DU64" s="30"/>
      <c r="DV64" s="30"/>
    </row>
    <row r="65" spans="2:168" x14ac:dyDescent="0.2">
      <c r="B65" s="1" t="s">
        <v>107</v>
      </c>
      <c r="C65" s="30">
        <v>122</v>
      </c>
      <c r="D65" s="28">
        <v>160</v>
      </c>
      <c r="E65" s="28">
        <v>155</v>
      </c>
      <c r="F65" s="28">
        <v>155</v>
      </c>
      <c r="G65" s="28">
        <v>151</v>
      </c>
      <c r="H65" s="28">
        <v>187</v>
      </c>
      <c r="I65" s="28">
        <v>86</v>
      </c>
      <c r="J65" s="28">
        <v>16</v>
      </c>
      <c r="K65" s="28">
        <v>141</v>
      </c>
      <c r="L65" s="28">
        <v>194</v>
      </c>
      <c r="M65" s="28">
        <v>211</v>
      </c>
      <c r="N65" s="28">
        <v>217</v>
      </c>
      <c r="O65" s="28">
        <v>230</v>
      </c>
      <c r="P65" s="30">
        <v>241</v>
      </c>
      <c r="Q65" s="30">
        <v>259</v>
      </c>
      <c r="R65" s="30">
        <v>200</v>
      </c>
      <c r="S65" s="30">
        <v>283</v>
      </c>
      <c r="T65" s="30">
        <v>315</v>
      </c>
      <c r="U65" s="30">
        <v>324</v>
      </c>
      <c r="V65" s="30">
        <v>328</v>
      </c>
      <c r="W65" s="30">
        <v>358</v>
      </c>
      <c r="X65" s="30">
        <v>341</v>
      </c>
      <c r="Y65" s="30">
        <v>353</v>
      </c>
      <c r="Z65" s="50">
        <v>359</v>
      </c>
      <c r="AA65" s="50">
        <v>381</v>
      </c>
      <c r="AB65" s="30">
        <v>405</v>
      </c>
      <c r="AC65" s="30">
        <v>386</v>
      </c>
      <c r="AD65" s="30">
        <v>379</v>
      </c>
      <c r="AE65" s="30">
        <v>381</v>
      </c>
      <c r="AF65" s="30">
        <v>163</v>
      </c>
      <c r="AG65" s="50">
        <v>0</v>
      </c>
      <c r="AH65" s="50">
        <f>+AG65</f>
        <v>0</v>
      </c>
      <c r="AI65" s="30">
        <v>14</v>
      </c>
      <c r="AJ65" s="30">
        <v>-6</v>
      </c>
      <c r="AK65" s="30">
        <v>0</v>
      </c>
      <c r="AL65" s="30">
        <v>0</v>
      </c>
      <c r="AM65" s="30">
        <v>0</v>
      </c>
      <c r="AN65" s="30">
        <v>0</v>
      </c>
      <c r="AO65" s="30"/>
      <c r="AP65" s="30"/>
      <c r="AQ65" s="30"/>
      <c r="AR65" s="30"/>
      <c r="AS65" s="30"/>
      <c r="AW65" s="28">
        <v>13</v>
      </c>
      <c r="AX65" s="28">
        <v>4</v>
      </c>
      <c r="AY65" s="28">
        <v>11</v>
      </c>
      <c r="AZ65" s="28">
        <v>6</v>
      </c>
      <c r="BA65" s="28">
        <v>11</v>
      </c>
      <c r="BB65" s="28">
        <v>-1</v>
      </c>
      <c r="BC65" s="28">
        <v>9</v>
      </c>
      <c r="BD65" s="28">
        <v>9</v>
      </c>
      <c r="BG65" s="30">
        <v>5</v>
      </c>
      <c r="BH65" s="30">
        <v>7</v>
      </c>
      <c r="BK65" s="30">
        <v>9</v>
      </c>
      <c r="BL65" s="30">
        <v>5</v>
      </c>
      <c r="BM65" s="30">
        <v>6</v>
      </c>
      <c r="BN65" s="30">
        <v>0</v>
      </c>
      <c r="BO65" s="30">
        <v>8</v>
      </c>
      <c r="BP65" s="30">
        <v>6</v>
      </c>
      <c r="BQ65" s="30">
        <v>6</v>
      </c>
      <c r="BR65" s="30">
        <v>0</v>
      </c>
      <c r="BS65" s="30">
        <v>5</v>
      </c>
      <c r="BT65" s="30">
        <v>8</v>
      </c>
      <c r="BU65" s="30">
        <f>AVERAGE(BQ65:BT65)</f>
        <v>4.75</v>
      </c>
      <c r="BV65" s="30">
        <v>0</v>
      </c>
      <c r="BW65" s="30">
        <f t="shared" ref="BW65:BZ65" si="146">AVERAGE(BS65:BV65)</f>
        <v>4.4375</v>
      </c>
      <c r="BX65" s="30">
        <f t="shared" si="146"/>
        <v>4.296875</v>
      </c>
      <c r="BY65" s="30">
        <f t="shared" si="146"/>
        <v>3.37109375</v>
      </c>
      <c r="BZ65" s="30">
        <f t="shared" si="146"/>
        <v>3.0263671875</v>
      </c>
      <c r="CA65" s="30">
        <v>3</v>
      </c>
      <c r="CB65" s="30"/>
      <c r="CC65" s="30"/>
      <c r="CD65" s="30"/>
      <c r="CE65" s="30"/>
      <c r="CF65" s="30"/>
      <c r="CG65" s="30"/>
      <c r="CH65" s="30"/>
      <c r="CL65" s="30">
        <v>0</v>
      </c>
      <c r="CM65" s="30">
        <v>0</v>
      </c>
      <c r="CN65" s="30">
        <v>0</v>
      </c>
      <c r="CO65" s="30">
        <v>0</v>
      </c>
      <c r="CP65" s="30">
        <v>0</v>
      </c>
      <c r="DE65" s="30">
        <f>SUM(O65:R65)</f>
        <v>930</v>
      </c>
      <c r="DF65" s="50">
        <f>SUM(S65:V65)</f>
        <v>1250</v>
      </c>
      <c r="DG65" s="50">
        <f>SUM(W65:Z65)</f>
        <v>1411</v>
      </c>
      <c r="DH65" s="50">
        <f>SUM(AA65:AD65)</f>
        <v>1551</v>
      </c>
      <c r="DI65" s="30">
        <f>DH65*0.2</f>
        <v>310.20000000000005</v>
      </c>
      <c r="DJ65" s="65">
        <f>DI65*0.1</f>
        <v>31.020000000000007</v>
      </c>
      <c r="DK65" s="65">
        <f>DJ65*0.1</f>
        <v>3.1020000000000008</v>
      </c>
      <c r="DL65" s="30">
        <f>DK65*0.1</f>
        <v>0.31020000000000009</v>
      </c>
      <c r="DM65" s="30">
        <f>DL65*0.1</f>
        <v>3.1020000000000009E-2</v>
      </c>
      <c r="DN65" s="30">
        <f>DM65*0.1</f>
        <v>3.102000000000001E-3</v>
      </c>
      <c r="DO65" s="30">
        <f t="shared" ref="DO65:DV65" si="147">DN65*0.1</f>
        <v>3.1020000000000011E-4</v>
      </c>
      <c r="DP65" s="30">
        <f t="shared" si="147"/>
        <v>3.1020000000000011E-5</v>
      </c>
      <c r="DQ65" s="30">
        <f t="shared" si="147"/>
        <v>3.1020000000000014E-6</v>
      </c>
      <c r="DR65" s="30">
        <f t="shared" si="147"/>
        <v>3.1020000000000017E-7</v>
      </c>
      <c r="DS65" s="30">
        <f t="shared" si="147"/>
        <v>3.1020000000000016E-8</v>
      </c>
      <c r="DT65" s="30">
        <f t="shared" si="147"/>
        <v>3.1020000000000019E-9</v>
      </c>
      <c r="DU65" s="30">
        <f t="shared" si="147"/>
        <v>3.1020000000000023E-10</v>
      </c>
      <c r="DV65" s="30">
        <f t="shared" si="147"/>
        <v>3.1020000000000026E-11</v>
      </c>
    </row>
    <row r="66" spans="2:168" x14ac:dyDescent="0.2">
      <c r="B66" s="23" t="s">
        <v>443</v>
      </c>
      <c r="C66" s="30">
        <f t="shared" ref="C66:R66" si="148">C63-C64-C65</f>
        <v>2521</v>
      </c>
      <c r="D66" s="28">
        <f t="shared" si="148"/>
        <v>3189</v>
      </c>
      <c r="E66" s="28">
        <f t="shared" si="148"/>
        <v>2488</v>
      </c>
      <c r="F66" s="28">
        <f t="shared" si="148"/>
        <v>3038</v>
      </c>
      <c r="G66" s="28">
        <f t="shared" si="148"/>
        <v>2651</v>
      </c>
      <c r="H66" s="28">
        <f t="shared" si="148"/>
        <v>2935</v>
      </c>
      <c r="I66" s="30">
        <f t="shared" si="148"/>
        <v>1929</v>
      </c>
      <c r="J66" s="30">
        <f t="shared" si="148"/>
        <v>1766</v>
      </c>
      <c r="K66" s="30">
        <f t="shared" si="148"/>
        <v>2515</v>
      </c>
      <c r="L66" s="30">
        <f t="shared" si="148"/>
        <v>2864</v>
      </c>
      <c r="M66" s="30">
        <f t="shared" si="148"/>
        <v>3411</v>
      </c>
      <c r="N66" s="30">
        <f t="shared" si="148"/>
        <v>3346</v>
      </c>
      <c r="O66" s="30">
        <f t="shared" si="148"/>
        <v>3669</v>
      </c>
      <c r="P66" s="30">
        <f t="shared" si="148"/>
        <v>4076</v>
      </c>
      <c r="Q66" s="30">
        <f>Q63-Q64-Q65</f>
        <v>4236</v>
      </c>
      <c r="R66" s="30">
        <f t="shared" si="148"/>
        <v>-1857.5</v>
      </c>
      <c r="S66" s="30">
        <f t="shared" ref="S66:Y66" si="149">S63-S64-S65</f>
        <v>4049</v>
      </c>
      <c r="T66" s="30">
        <f t="shared" si="149"/>
        <v>4550</v>
      </c>
      <c r="U66" s="30">
        <f t="shared" si="149"/>
        <v>4629</v>
      </c>
      <c r="V66" s="30">
        <f t="shared" si="149"/>
        <v>4672</v>
      </c>
      <c r="W66" s="30">
        <f t="shared" si="149"/>
        <v>754</v>
      </c>
      <c r="X66" s="30">
        <f>X63-X64-X65</f>
        <v>4658</v>
      </c>
      <c r="Y66" s="30">
        <f t="shared" si="149"/>
        <v>986</v>
      </c>
      <c r="Z66" s="50">
        <f>Z63-Z64-Z65</f>
        <v>505</v>
      </c>
      <c r="AA66" s="50">
        <f>AA63-AA64-AA65</f>
        <v>1030</v>
      </c>
      <c r="AB66" s="30">
        <f t="shared" ref="AB66:AK66" si="150">+AB63-AB64-AB65</f>
        <v>942</v>
      </c>
      <c r="AC66" s="30">
        <f t="shared" si="150"/>
        <v>977</v>
      </c>
      <c r="AD66" s="30">
        <f t="shared" si="150"/>
        <v>876</v>
      </c>
      <c r="AE66" s="30">
        <f t="shared" si="150"/>
        <v>951</v>
      </c>
      <c r="AF66" s="30">
        <f t="shared" si="150"/>
        <v>665</v>
      </c>
      <c r="AG66" s="50">
        <f t="shared" si="150"/>
        <v>-713</v>
      </c>
      <c r="AH66" s="50">
        <f t="shared" si="150"/>
        <v>760</v>
      </c>
      <c r="AI66" s="50">
        <f t="shared" si="150"/>
        <v>609</v>
      </c>
      <c r="AJ66" s="50">
        <f t="shared" si="150"/>
        <v>536</v>
      </c>
      <c r="AK66" s="50">
        <f t="shared" si="150"/>
        <v>692</v>
      </c>
      <c r="AL66" s="50">
        <f>+AL63-AL64-AL65</f>
        <v>0</v>
      </c>
      <c r="AM66" s="50">
        <f>+AM63-AM64-AM65</f>
        <v>0</v>
      </c>
      <c r="AN66" s="50">
        <f>+AN63-AN64-AN65</f>
        <v>795</v>
      </c>
      <c r="AO66" s="30"/>
      <c r="AP66" s="30"/>
      <c r="AQ66" s="30"/>
      <c r="AR66" s="30"/>
      <c r="AS66" s="30"/>
      <c r="AW66" s="30">
        <f t="shared" ref="AW66:AX66" si="151">AW63-AW64-AW65</f>
        <v>1287</v>
      </c>
      <c r="AX66" s="30">
        <f t="shared" si="151"/>
        <v>1064</v>
      </c>
      <c r="AY66" s="30">
        <f t="shared" ref="AY66:AZ66" si="152">AY63-AY64-AY65</f>
        <v>1400</v>
      </c>
      <c r="AZ66" s="30">
        <f t="shared" si="152"/>
        <v>1218</v>
      </c>
      <c r="BA66" s="30">
        <f t="shared" ref="BA66:BB66" si="153">BA63-BA64-BA65</f>
        <v>1229</v>
      </c>
      <c r="BB66" s="30">
        <f t="shared" si="153"/>
        <v>1122</v>
      </c>
      <c r="BC66" s="30">
        <f t="shared" ref="BC66:BD66" si="154">BC63-BC64-BC65</f>
        <v>1547</v>
      </c>
      <c r="BD66" s="30">
        <f t="shared" si="154"/>
        <v>1646</v>
      </c>
      <c r="BG66" s="30">
        <f t="shared" ref="BG66:BH66" si="155">BG63-BG64-BG65</f>
        <v>1734</v>
      </c>
      <c r="BH66" s="30">
        <f t="shared" si="155"/>
        <v>1817</v>
      </c>
      <c r="BK66" s="30">
        <f t="shared" ref="BK66" si="156">BK63-BK64-BK65</f>
        <v>4205</v>
      </c>
      <c r="BL66" s="30">
        <f t="shared" ref="BL66:BN66" si="157">BL63-BL64-BL65</f>
        <v>1572</v>
      </c>
      <c r="BM66" s="30">
        <f t="shared" si="157"/>
        <v>3481</v>
      </c>
      <c r="BN66" s="30">
        <f t="shared" si="157"/>
        <v>3331</v>
      </c>
      <c r="BO66" s="30">
        <f t="shared" ref="BO66:BR66" si="158">BO63-BO64-BO65</f>
        <v>3969</v>
      </c>
      <c r="BP66" s="30">
        <f t="shared" si="158"/>
        <v>4460</v>
      </c>
      <c r="BQ66" s="30">
        <f t="shared" si="158"/>
        <v>3802</v>
      </c>
      <c r="BR66" s="30">
        <f t="shared" si="158"/>
        <v>4071</v>
      </c>
      <c r="BS66" s="30">
        <f>BS63-BS64-BS65</f>
        <v>4579</v>
      </c>
      <c r="BT66" s="30">
        <f>BT63-BT64-BT65</f>
        <v>4550</v>
      </c>
      <c r="BU66" s="30">
        <f>BU63-BU64-BU65</f>
        <v>3066.1780000000008</v>
      </c>
      <c r="BV66" s="30">
        <f t="shared" ref="BV66:CA66" si="159">BV63-BV64-BV65</f>
        <v>4254</v>
      </c>
      <c r="BW66" s="30">
        <f t="shared" si="159"/>
        <v>4116.0464999999995</v>
      </c>
      <c r="BX66" s="30">
        <f t="shared" si="159"/>
        <v>3862.3741250000007</v>
      </c>
      <c r="BY66" s="30">
        <f t="shared" si="159"/>
        <v>2972.383656250001</v>
      </c>
      <c r="BZ66" s="30">
        <f t="shared" si="159"/>
        <v>3826.4390703125</v>
      </c>
      <c r="CA66" s="30">
        <f t="shared" si="159"/>
        <v>4039</v>
      </c>
      <c r="CB66" s="30"/>
      <c r="CC66" s="30"/>
      <c r="CD66" s="30"/>
      <c r="CE66" s="30"/>
      <c r="CF66" s="30"/>
      <c r="CG66" s="30"/>
      <c r="CH66" s="30"/>
      <c r="CL66" s="30">
        <f>CL63-CL64-CL65</f>
        <v>1381</v>
      </c>
      <c r="CM66" s="30">
        <f>CM63-CM64-CM65</f>
        <v>1691</v>
      </c>
      <c r="CN66" s="30">
        <f>CN63-CN64-CN65</f>
        <v>1991</v>
      </c>
      <c r="CO66" s="30">
        <f>CO63-CO64-CO65</f>
        <v>2108</v>
      </c>
      <c r="CP66" s="30">
        <f>CP63-CP64-CP65</f>
        <v>2169</v>
      </c>
      <c r="DE66" s="30">
        <f>DE63-DE64-DE65</f>
        <v>10123.5</v>
      </c>
      <c r="DF66" s="50">
        <f>DF63-DF64-DF65</f>
        <v>17900</v>
      </c>
      <c r="DG66" s="50">
        <f>DG63-DG64-DG65</f>
        <v>6903</v>
      </c>
      <c r="DH66" s="50">
        <f>DH63-DH64-DH65</f>
        <v>3825</v>
      </c>
      <c r="DI66" s="30">
        <f t="shared" ref="DI66:DN66" si="160">DI63-DI64-DI65</f>
        <v>5212.9255000000003</v>
      </c>
      <c r="DJ66" s="65">
        <f t="shared" si="160"/>
        <v>3683.5305599999997</v>
      </c>
      <c r="DK66" s="65">
        <f t="shared" si="160"/>
        <v>3565.7759099999985</v>
      </c>
      <c r="DL66" s="30">
        <f t="shared" si="160"/>
        <v>3048.1808862000003</v>
      </c>
      <c r="DM66" s="30">
        <f t="shared" si="160"/>
        <v>2595.3618364949998</v>
      </c>
      <c r="DN66" s="30">
        <f t="shared" si="160"/>
        <v>3097.6345131208504</v>
      </c>
      <c r="DO66" s="30">
        <f>DN66*(1+DY69)</f>
        <v>3097.6345131208504</v>
      </c>
      <c r="DP66" s="30">
        <f t="shared" ref="DP66" si="161">DO66*(1+$DY$69)</f>
        <v>3097.6345131208504</v>
      </c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</row>
    <row r="67" spans="2:168" s="19" customFormat="1" x14ac:dyDescent="0.2">
      <c r="B67" s="19" t="s">
        <v>108</v>
      </c>
      <c r="C67" s="38">
        <f t="shared" ref="C67:R67" si="162">C66/C68</f>
        <v>1.2725896012115094</v>
      </c>
      <c r="D67" s="38">
        <f t="shared" si="162"/>
        <v>1.607358870967742</v>
      </c>
      <c r="E67" s="38">
        <f t="shared" si="162"/>
        <v>1.2540322580645162</v>
      </c>
      <c r="F67" s="38">
        <f t="shared" si="162"/>
        <v>1.5320221886031267</v>
      </c>
      <c r="G67" s="38">
        <f t="shared" si="162"/>
        <v>1.3335010060362174</v>
      </c>
      <c r="H67" s="38">
        <f t="shared" si="162"/>
        <v>1.4719157472417252</v>
      </c>
      <c r="I67" s="38">
        <f t="shared" si="162"/>
        <v>0.96837349397590367</v>
      </c>
      <c r="J67" s="38">
        <f t="shared" si="162"/>
        <v>0.90056093829678741</v>
      </c>
      <c r="K67" s="38">
        <f t="shared" si="162"/>
        <v>1.2593890836254382</v>
      </c>
      <c r="L67" s="38">
        <f t="shared" si="162"/>
        <v>1.427716849451645</v>
      </c>
      <c r="M67" s="38">
        <f t="shared" si="162"/>
        <v>1.695328031809145</v>
      </c>
      <c r="N67" s="38">
        <f t="shared" si="162"/>
        <v>1.6941772151898735</v>
      </c>
      <c r="O67" s="38">
        <f t="shared" si="162"/>
        <v>1.827191235059761</v>
      </c>
      <c r="P67" s="38">
        <f>P66/P68</f>
        <v>2.0298804780876494</v>
      </c>
      <c r="Q67" s="38">
        <f>Q66/Q68</f>
        <v>2.1398137967980082</v>
      </c>
      <c r="R67" s="38">
        <f t="shared" si="162"/>
        <v>-0.93878965122764124</v>
      </c>
      <c r="S67" s="38">
        <f t="shared" ref="S67:Y67" si="163">S66/S68</f>
        <v>2.0418557740796772</v>
      </c>
      <c r="T67" s="38">
        <f t="shared" si="163"/>
        <v>2.2945032778618257</v>
      </c>
      <c r="U67" s="38">
        <f t="shared" si="163"/>
        <v>2.333165322580645</v>
      </c>
      <c r="V67" s="38">
        <f t="shared" si="163"/>
        <v>2.3751906456532792</v>
      </c>
      <c r="W67" s="38">
        <f t="shared" si="163"/>
        <v>0.43845519557776647</v>
      </c>
      <c r="X67" s="38">
        <f t="shared" si="163"/>
        <v>2.6956018518518516</v>
      </c>
      <c r="Y67" s="38">
        <f t="shared" si="163"/>
        <v>0.57126303592120509</v>
      </c>
      <c r="Z67" s="52">
        <f t="shared" ref="Z67:AE67" si="164">Z66/Z68</f>
        <v>0.2930934416715032</v>
      </c>
      <c r="AA67" s="52">
        <f t="shared" si="164"/>
        <v>0.60093348891481912</v>
      </c>
      <c r="AB67" s="38">
        <f t="shared" si="164"/>
        <v>0.54703832752613235</v>
      </c>
      <c r="AC67" s="38">
        <f t="shared" si="164"/>
        <v>0.56967930029154523</v>
      </c>
      <c r="AD67" s="38">
        <f t="shared" si="164"/>
        <v>0.51168224299065423</v>
      </c>
      <c r="AE67" s="38">
        <f t="shared" si="164"/>
        <v>0.55744431418522855</v>
      </c>
      <c r="AF67" s="38">
        <f t="shared" ref="AF67:AK67" si="165">AF66/AF68</f>
        <v>0.38980070339976552</v>
      </c>
      <c r="AG67" s="52">
        <f t="shared" si="165"/>
        <v>-0.42364824717765892</v>
      </c>
      <c r="AH67" s="52">
        <f t="shared" si="165"/>
        <v>0.46426389737324375</v>
      </c>
      <c r="AI67" s="52">
        <f t="shared" si="165"/>
        <v>0.37066342057212415</v>
      </c>
      <c r="AJ67" s="52">
        <f t="shared" si="165"/>
        <v>0.32563791008505466</v>
      </c>
      <c r="AK67" s="52">
        <f t="shared" si="165"/>
        <v>0.42015786278081357</v>
      </c>
      <c r="AL67" s="52">
        <f>AL66/AL68</f>
        <v>0</v>
      </c>
      <c r="AM67" s="52">
        <f>AM66/AM68</f>
        <v>0</v>
      </c>
      <c r="AN67" s="52">
        <f>AN66/AN68</f>
        <v>0.47633313361294188</v>
      </c>
      <c r="AO67" s="38"/>
      <c r="AP67" s="38"/>
      <c r="AQ67" s="38"/>
      <c r="AR67" s="38"/>
      <c r="AS67" s="38"/>
      <c r="AT67" s="37"/>
      <c r="AU67" s="37"/>
      <c r="AV67" s="37"/>
      <c r="AW67" s="38">
        <f t="shared" ref="AW67:AX67" si="166">AW66/AW68</f>
        <v>0.76652769505658125</v>
      </c>
      <c r="AX67" s="38">
        <f t="shared" si="166"/>
        <v>0.6333333333333333</v>
      </c>
      <c r="AY67" s="38">
        <f t="shared" ref="AY67:AZ67" si="167">AY66/AY68</f>
        <v>0.83782166367444644</v>
      </c>
      <c r="AZ67" s="38">
        <f t="shared" si="167"/>
        <v>0.73818181818181816</v>
      </c>
      <c r="BA67" s="38">
        <f t="shared" ref="BA67:BB67" si="168">BA66/BA68</f>
        <v>0.74711246200607906</v>
      </c>
      <c r="BB67" s="38">
        <f t="shared" si="168"/>
        <v>0.68331303288672351</v>
      </c>
      <c r="BC67" s="38">
        <f t="shared" ref="BC67:BD67" si="169">BC66/BC68</f>
        <v>0.94329268292682922</v>
      </c>
      <c r="BD67" s="38">
        <f t="shared" si="169"/>
        <v>1.0061124694376529</v>
      </c>
      <c r="BE67" s="37"/>
      <c r="BF67" s="37"/>
      <c r="BG67" s="38">
        <f t="shared" ref="BG67" si="170">BG66/BG68</f>
        <v>1.059254734270006</v>
      </c>
      <c r="BH67" s="38">
        <f>BH66/BH68</f>
        <v>1.1099572388515577</v>
      </c>
      <c r="BI67" s="37"/>
      <c r="BJ67" s="37"/>
      <c r="BK67" s="38">
        <f t="shared" ref="BK67" si="171">BK66/BK68</f>
        <v>1.862267493356953</v>
      </c>
      <c r="BL67" s="38">
        <f t="shared" ref="BL67:BS67" si="172">BL66/BL68</f>
        <v>0.69465311533362795</v>
      </c>
      <c r="BM67" s="38">
        <f t="shared" si="172"/>
        <v>1.5200873362445415</v>
      </c>
      <c r="BN67" s="38">
        <f t="shared" si="172"/>
        <v>1.4571303587051618</v>
      </c>
      <c r="BO67" s="38">
        <f t="shared" si="172"/>
        <v>1.752317880794702</v>
      </c>
      <c r="BP67" s="38">
        <f t="shared" si="172"/>
        <v>1.9804618117229129</v>
      </c>
      <c r="BQ67" s="38">
        <f t="shared" si="172"/>
        <v>1.6950512706197058</v>
      </c>
      <c r="BR67" s="38">
        <f t="shared" si="172"/>
        <v>1.8346101847679135</v>
      </c>
      <c r="BS67" s="38">
        <f t="shared" si="172"/>
        <v>2.1159889094269873</v>
      </c>
      <c r="BT67" s="38">
        <f t="shared" ref="BT67:BU67" si="173">BT66/BT68</f>
        <v>2.1172638436482085</v>
      </c>
      <c r="BU67" s="38">
        <f t="shared" si="173"/>
        <v>1.4267929269427644</v>
      </c>
      <c r="BV67" s="38">
        <f t="shared" ref="BV67" si="174">BV66/BV68</f>
        <v>2.0028248587570623</v>
      </c>
      <c r="BW67" s="38">
        <f t="shared" ref="BW67" si="175">BW66/BW68</f>
        <v>1.9378749999999998</v>
      </c>
      <c r="BX67" s="38">
        <f t="shared" ref="BX67" si="176">BX66/BX68</f>
        <v>1.8184435616760832</v>
      </c>
      <c r="BY67" s="38">
        <f t="shared" ref="BY67" si="177">BY66/BY68</f>
        <v>1.3994273334510363</v>
      </c>
      <c r="BZ67" s="38">
        <f t="shared" ref="BZ67:CA67" si="178">BZ66/BZ68</f>
        <v>1.8015249860228342</v>
      </c>
      <c r="CA67" s="38">
        <f t="shared" si="178"/>
        <v>1.9965397923875432</v>
      </c>
      <c r="CB67" s="38"/>
      <c r="CC67" s="38"/>
      <c r="CD67" s="38"/>
      <c r="CE67" s="38"/>
      <c r="CF67" s="38"/>
      <c r="CG67" s="38"/>
      <c r="CH67" s="38"/>
      <c r="CI67" s="37"/>
      <c r="CJ67" s="37"/>
      <c r="CK67" s="37"/>
      <c r="CL67" s="38">
        <f>CL66/CL68</f>
        <v>2.6405353728489485</v>
      </c>
      <c r="CM67" s="38">
        <f>CM66/CM68</f>
        <v>3.2209523809523808</v>
      </c>
      <c r="CN67" s="38">
        <f>CN66/CN68</f>
        <v>3.8214971209213053</v>
      </c>
      <c r="CO67" s="38">
        <f>CO66/CO68</f>
        <v>4.0694980694980698</v>
      </c>
      <c r="CP67" s="38">
        <f>CP66/CP68</f>
        <v>4.211650485436893</v>
      </c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8">
        <f t="shared" ref="DE67:DN67" si="179">DE66/DE68</f>
        <v>5.0781123126353505</v>
      </c>
      <c r="DF67" s="52">
        <f t="shared" si="179"/>
        <v>9.0438297334849054</v>
      </c>
      <c r="DG67" s="52">
        <f t="shared" si="179"/>
        <v>4.0036690149483647</v>
      </c>
      <c r="DH67" s="52">
        <f t="shared" si="179"/>
        <v>2.2293457671572199</v>
      </c>
      <c r="DI67" s="38">
        <f t="shared" si="179"/>
        <v>3.0382780125309634</v>
      </c>
      <c r="DJ67" s="68">
        <f t="shared" si="179"/>
        <v>2.1468923561124869</v>
      </c>
      <c r="DK67" s="68">
        <f t="shared" si="179"/>
        <v>2.0782607664286745</v>
      </c>
      <c r="DL67" s="38">
        <f t="shared" si="179"/>
        <v>1.7765880146874546</v>
      </c>
      <c r="DM67" s="38">
        <f t="shared" si="179"/>
        <v>1.5126689998513769</v>
      </c>
      <c r="DN67" s="38">
        <f t="shared" si="179"/>
        <v>1.8054113437976689</v>
      </c>
      <c r="DO67" s="38">
        <f t="shared" ref="DO67:DV67" si="180">DO66/DO68</f>
        <v>1.8054113437976689</v>
      </c>
      <c r="DP67" s="38">
        <f t="shared" si="180"/>
        <v>1.8054113437976689</v>
      </c>
      <c r="DQ67" s="38">
        <f t="shared" si="180"/>
        <v>0</v>
      </c>
      <c r="DR67" s="38">
        <f t="shared" si="180"/>
        <v>0</v>
      </c>
      <c r="DS67" s="38">
        <f t="shared" si="180"/>
        <v>0</v>
      </c>
      <c r="DT67" s="38">
        <f t="shared" si="180"/>
        <v>0</v>
      </c>
      <c r="DU67" s="38">
        <f t="shared" si="180"/>
        <v>0</v>
      </c>
      <c r="DV67" s="38">
        <f t="shared" si="180"/>
        <v>0</v>
      </c>
    </row>
    <row r="68" spans="2:168" x14ac:dyDescent="0.2">
      <c r="B68" s="1" t="s">
        <v>109</v>
      </c>
      <c r="C68" s="30">
        <v>1981</v>
      </c>
      <c r="D68" s="30">
        <v>1984</v>
      </c>
      <c r="E68" s="30">
        <v>1984</v>
      </c>
      <c r="F68" s="30">
        <v>1983</v>
      </c>
      <c r="G68" s="30">
        <v>1988</v>
      </c>
      <c r="H68" s="30">
        <v>1994</v>
      </c>
      <c r="I68" s="30">
        <v>1992</v>
      </c>
      <c r="J68" s="30">
        <v>1961</v>
      </c>
      <c r="K68" s="30">
        <v>1997</v>
      </c>
      <c r="L68" s="30">
        <v>2006</v>
      </c>
      <c r="M68" s="30">
        <v>2012</v>
      </c>
      <c r="N68" s="30">
        <v>1975</v>
      </c>
      <c r="O68" s="30">
        <v>2008</v>
      </c>
      <c r="P68" s="30">
        <v>2008</v>
      </c>
      <c r="Q68" s="30">
        <v>1979.6115</v>
      </c>
      <c r="R68" s="30">
        <f>Q68-1</f>
        <v>1978.6115</v>
      </c>
      <c r="S68" s="30">
        <v>1983</v>
      </c>
      <c r="T68" s="30">
        <v>1983</v>
      </c>
      <c r="U68" s="30">
        <v>1984</v>
      </c>
      <c r="V68" s="30">
        <v>1967</v>
      </c>
      <c r="W68" s="30">
        <v>1719.674</v>
      </c>
      <c r="X68" s="30">
        <v>1728</v>
      </c>
      <c r="Y68" s="30">
        <v>1726</v>
      </c>
      <c r="Z68" s="50">
        <v>1723</v>
      </c>
      <c r="AA68" s="50">
        <v>1714</v>
      </c>
      <c r="AB68" s="30">
        <v>1722</v>
      </c>
      <c r="AC68" s="30">
        <v>1715</v>
      </c>
      <c r="AD68" s="30">
        <v>1712</v>
      </c>
      <c r="AE68" s="30">
        <v>1706</v>
      </c>
      <c r="AF68" s="30">
        <v>1706</v>
      </c>
      <c r="AG68" s="50">
        <v>1683</v>
      </c>
      <c r="AH68" s="50">
        <v>1637</v>
      </c>
      <c r="AI68" s="30">
        <v>1643</v>
      </c>
      <c r="AJ68" s="30">
        <v>1646</v>
      </c>
      <c r="AK68" s="30">
        <v>1647</v>
      </c>
      <c r="AL68" s="30">
        <v>1647</v>
      </c>
      <c r="AM68" s="30">
        <v>1647</v>
      </c>
      <c r="AN68" s="30">
        <v>1669</v>
      </c>
      <c r="AO68" s="30"/>
      <c r="AP68" s="30"/>
      <c r="AQ68" s="30"/>
      <c r="AR68" s="30"/>
      <c r="AS68" s="30"/>
      <c r="AW68" s="30">
        <v>1679</v>
      </c>
      <c r="AX68" s="30">
        <v>1680</v>
      </c>
      <c r="AY68" s="30">
        <v>1671</v>
      </c>
      <c r="AZ68" s="30">
        <v>1650</v>
      </c>
      <c r="BA68" s="30">
        <v>1645</v>
      </c>
      <c r="BB68" s="30">
        <v>1642</v>
      </c>
      <c r="BC68" s="30">
        <v>1640</v>
      </c>
      <c r="BD68" s="30">
        <v>1636</v>
      </c>
      <c r="BG68" s="30">
        <v>1637</v>
      </c>
      <c r="BH68" s="30">
        <v>1637</v>
      </c>
      <c r="BK68" s="30">
        <v>2258</v>
      </c>
      <c r="BL68" s="30">
        <v>2263</v>
      </c>
      <c r="BM68" s="30">
        <v>2290</v>
      </c>
      <c r="BN68" s="30">
        <v>2286</v>
      </c>
      <c r="BO68" s="30">
        <v>2265</v>
      </c>
      <c r="BP68" s="30">
        <v>2252</v>
      </c>
      <c r="BQ68" s="30">
        <v>2243</v>
      </c>
      <c r="BR68" s="30">
        <v>2219</v>
      </c>
      <c r="BS68" s="30">
        <v>2164</v>
      </c>
      <c r="BT68" s="30">
        <v>2149</v>
      </c>
      <c r="BU68" s="30">
        <f>+BT68</f>
        <v>2149</v>
      </c>
      <c r="BV68" s="30">
        <v>2124</v>
      </c>
      <c r="BW68" s="30">
        <f t="shared" ref="BW68:BZ68" si="181">+BV68</f>
        <v>2124</v>
      </c>
      <c r="BX68" s="30">
        <f t="shared" si="181"/>
        <v>2124</v>
      </c>
      <c r="BY68" s="30">
        <f t="shared" si="181"/>
        <v>2124</v>
      </c>
      <c r="BZ68" s="30">
        <f t="shared" si="181"/>
        <v>2124</v>
      </c>
      <c r="CA68" s="30">
        <v>2023</v>
      </c>
      <c r="CB68" s="30"/>
      <c r="CC68" s="30"/>
      <c r="CD68" s="30"/>
      <c r="CE68" s="30"/>
      <c r="CF68" s="30"/>
      <c r="CG68" s="30"/>
      <c r="CH68" s="30"/>
      <c r="CL68" s="30">
        <v>523</v>
      </c>
      <c r="CM68" s="30">
        <v>525</v>
      </c>
      <c r="CN68" s="30">
        <v>521</v>
      </c>
      <c r="CO68" s="30">
        <v>518</v>
      </c>
      <c r="CP68" s="30">
        <v>515</v>
      </c>
      <c r="DE68" s="30">
        <f>AVERAGE(O68:R68)</f>
        <v>1993.55575</v>
      </c>
      <c r="DF68" s="50">
        <f>AVERAGE(S68:V68)</f>
        <v>1979.25</v>
      </c>
      <c r="DG68" s="50">
        <f>AVERAGE(W68:Z68)</f>
        <v>1724.1685</v>
      </c>
      <c r="DH68" s="50">
        <f>AVERAGE(AA68:AD68)</f>
        <v>1715.75</v>
      </c>
      <c r="DI68" s="30">
        <f t="shared" ref="DI68:DN68" si="182">DH68</f>
        <v>1715.75</v>
      </c>
      <c r="DJ68" s="65">
        <f t="shared" si="182"/>
        <v>1715.75</v>
      </c>
      <c r="DK68" s="65">
        <f t="shared" si="182"/>
        <v>1715.75</v>
      </c>
      <c r="DL68" s="30">
        <f t="shared" si="182"/>
        <v>1715.75</v>
      </c>
      <c r="DM68" s="30">
        <f t="shared" si="182"/>
        <v>1715.75</v>
      </c>
      <c r="DN68" s="30">
        <f t="shared" si="182"/>
        <v>1715.75</v>
      </c>
      <c r="DO68" s="30">
        <f t="shared" ref="DO68:DV68" si="183">DN68</f>
        <v>1715.75</v>
      </c>
      <c r="DP68" s="30">
        <f t="shared" si="183"/>
        <v>1715.75</v>
      </c>
      <c r="DQ68" s="30">
        <f t="shared" si="183"/>
        <v>1715.75</v>
      </c>
      <c r="DR68" s="30">
        <f t="shared" si="183"/>
        <v>1715.75</v>
      </c>
      <c r="DS68" s="30">
        <f t="shared" si="183"/>
        <v>1715.75</v>
      </c>
      <c r="DT68" s="30">
        <f t="shared" si="183"/>
        <v>1715.75</v>
      </c>
      <c r="DU68" s="30">
        <f t="shared" si="183"/>
        <v>1715.75</v>
      </c>
      <c r="DV68" s="30">
        <f t="shared" si="183"/>
        <v>1715.75</v>
      </c>
      <c r="DX68" s="33"/>
      <c r="DY68" s="59"/>
    </row>
    <row r="69" spans="2:168" x14ac:dyDescent="0.2">
      <c r="DE69" s="37"/>
      <c r="DJ69" s="69"/>
      <c r="DK69" s="69"/>
      <c r="DX69" s="33"/>
      <c r="DY69" s="41"/>
    </row>
    <row r="70" spans="2:168" s="19" customFormat="1" x14ac:dyDescent="0.2">
      <c r="B70" s="19" t="s">
        <v>440</v>
      </c>
      <c r="C70" s="33" t="s">
        <v>362</v>
      </c>
      <c r="D70" s="33" t="s">
        <v>362</v>
      </c>
      <c r="E70" s="33" t="s">
        <v>362</v>
      </c>
      <c r="F70" s="33" t="s">
        <v>362</v>
      </c>
      <c r="G70" s="40">
        <f t="shared" ref="G70:AK70" si="184">G54/C54-1</f>
        <v>6.9661865998747574E-2</v>
      </c>
      <c r="H70" s="40">
        <f t="shared" si="184"/>
        <v>5.4844606946984342E-3</v>
      </c>
      <c r="I70" s="40">
        <f t="shared" si="184"/>
        <v>-0.16528805688579307</v>
      </c>
      <c r="J70" s="40">
        <f t="shared" si="184"/>
        <v>-0.23673079547005049</v>
      </c>
      <c r="K70" s="40">
        <f t="shared" si="184"/>
        <v>-9.9663398214547061E-2</v>
      </c>
      <c r="L70" s="40">
        <f t="shared" si="184"/>
        <v>-8.2517482517482366E-3</v>
      </c>
      <c r="M70" s="40">
        <f t="shared" si="184"/>
        <v>0.36474269819193328</v>
      </c>
      <c r="N70" s="40">
        <f t="shared" si="184"/>
        <v>0.51787629603146224</v>
      </c>
      <c r="O70" s="40">
        <f t="shared" si="184"/>
        <v>0.32282184655396629</v>
      </c>
      <c r="P70" s="40">
        <f t="shared" si="184"/>
        <v>0.18713862642786627</v>
      </c>
      <c r="Q70" s="40">
        <f t="shared" si="184"/>
        <v>9.2993630573248387E-2</v>
      </c>
      <c r="R70" s="40">
        <f t="shared" si="184"/>
        <v>1.6252502649864553E-2</v>
      </c>
      <c r="S70" s="40">
        <f t="shared" si="184"/>
        <v>1.9292209388056092E-2</v>
      </c>
      <c r="T70" s="40">
        <f t="shared" si="184"/>
        <v>5.7614635305298201E-2</v>
      </c>
      <c r="U70" s="40">
        <f t="shared" si="184"/>
        <v>6.0139860139860168E-2</v>
      </c>
      <c r="V70" s="40">
        <f t="shared" si="184"/>
        <v>2.607486383126667E-2</v>
      </c>
      <c r="W70" s="40">
        <f t="shared" si="184"/>
        <v>-0.42049427365883063</v>
      </c>
      <c r="X70" s="40">
        <f t="shared" si="184"/>
        <v>-4.8073683028192704E-2</v>
      </c>
      <c r="Y70" s="40">
        <f t="shared" si="184"/>
        <v>-0.47251539138082677</v>
      </c>
      <c r="Z70" s="40">
        <f t="shared" si="184"/>
        <v>-0.42274678111587982</v>
      </c>
      <c r="AA70" s="40">
        <f t="shared" si="184"/>
        <v>4.2438111087996777E-2</v>
      </c>
      <c r="AB70" s="40">
        <f t="shared" si="184"/>
        <v>-0.35882005899705016</v>
      </c>
      <c r="AC70" s="40">
        <f t="shared" si="184"/>
        <v>0.11400583576490209</v>
      </c>
      <c r="AD70" s="40">
        <f t="shared" si="184"/>
        <v>6.7110154568577496E-2</v>
      </c>
      <c r="AE70" s="40">
        <f t="shared" si="184"/>
        <v>4.7894631810017962E-2</v>
      </c>
      <c r="AF70" s="40">
        <f t="shared" si="184"/>
        <v>-0.18237026131762979</v>
      </c>
      <c r="AG70" s="40">
        <f t="shared" si="184"/>
        <v>-0.30102899906454628</v>
      </c>
      <c r="AH70" s="40">
        <f t="shared" si="184"/>
        <v>-0.23157315731573158</v>
      </c>
      <c r="AI70" s="40">
        <f t="shared" si="184"/>
        <v>-0.27042468101314032</v>
      </c>
      <c r="AJ70" s="40">
        <f t="shared" si="184"/>
        <v>-8.8903893765473807E-2</v>
      </c>
      <c r="AK70" s="40">
        <f t="shared" si="184"/>
        <v>8.8062098501070718E-2</v>
      </c>
      <c r="AL70" s="40"/>
      <c r="AM70" s="40"/>
      <c r="AN70" s="40"/>
      <c r="AO70" s="40"/>
      <c r="AP70" s="40"/>
      <c r="AQ70" s="40"/>
      <c r="AR70" s="40"/>
      <c r="AS70" s="40"/>
      <c r="AT70" s="37"/>
      <c r="AU70" s="37"/>
      <c r="AV70" s="37"/>
      <c r="AW70" s="37"/>
      <c r="AX70" s="37"/>
      <c r="AY70" s="37"/>
      <c r="AZ70" s="37"/>
      <c r="BA70" s="40">
        <f t="shared" ref="BA70" si="185">BA54/AW54-1</f>
        <v>6.7452255180820764E-2</v>
      </c>
      <c r="BB70" s="40">
        <f t="shared" ref="BB70" si="186">BB54/AX54-1</f>
        <v>3.9290482548159478E-2</v>
      </c>
      <c r="BC70" s="40">
        <f t="shared" ref="BC70:BK70" si="187">BC54/AY54-1</f>
        <v>5.3560559951308484E-2</v>
      </c>
      <c r="BD70" s="40">
        <f t="shared" ref="BD70" si="188">BD54/AZ54-1</f>
        <v>0.10886469673405919</v>
      </c>
      <c r="BE70" s="40">
        <f t="shared" ref="BE70" si="189">BE54/BA54-1</f>
        <v>8.3174724019794422E-2</v>
      </c>
      <c r="BF70" s="40">
        <f t="shared" ref="BF70" si="190">BF54/BB54-1</f>
        <v>9.616443384107165E-2</v>
      </c>
      <c r="BG70" s="40">
        <f t="shared" si="187"/>
        <v>0.13999614866165988</v>
      </c>
      <c r="BH70" s="40">
        <f t="shared" si="187"/>
        <v>9.9754558204768529E-2</v>
      </c>
      <c r="BI70" s="40">
        <f t="shared" si="187"/>
        <v>5.5526269548409779E-2</v>
      </c>
      <c r="BJ70" s="40">
        <f t="shared" si="187"/>
        <v>0.33015235225179973</v>
      </c>
      <c r="BK70" s="40">
        <f t="shared" si="187"/>
        <v>0.82111486486486496</v>
      </c>
      <c r="BL70" s="40">
        <f t="shared" ref="BL70" si="191">BL54/BH54-1</f>
        <v>0.6146979116849991</v>
      </c>
      <c r="BM70" s="40">
        <f t="shared" ref="BM70" si="192">BM54/BI54-1</f>
        <v>0.75461961045446979</v>
      </c>
      <c r="BN70" s="40">
        <f t="shared" ref="BN70" si="193">BN54/BJ54-1</f>
        <v>0.39307740717432349</v>
      </c>
      <c r="BO70" s="40">
        <f t="shared" ref="BO70" si="194">BO54/BK54-1</f>
        <v>2.7084686021704885E-2</v>
      </c>
      <c r="BP70" s="40">
        <f t="shared" ref="BP70:BR70" si="195">BP54/BL54-1</f>
        <v>0.15539539934840563</v>
      </c>
      <c r="BQ70" s="40">
        <f t="shared" si="195"/>
        <v>0.10284629981024662</v>
      </c>
      <c r="BR70" s="40">
        <f t="shared" si="195"/>
        <v>8.2851463679074699E-2</v>
      </c>
      <c r="BS70" s="40">
        <f>BS54/BO54-1</f>
        <v>5.1928113429061673E-2</v>
      </c>
      <c r="BT70" s="40">
        <f t="shared" ref="BT70" si="196">BT54/BP54-1</f>
        <v>1.5722464325386598E-2</v>
      </c>
      <c r="BU70" s="40">
        <f t="shared" ref="BU70" si="197">BU54/BQ54-1</f>
        <v>-3.4927735719201602E-2</v>
      </c>
      <c r="BV70" s="40">
        <f>BV54/BR54-1</f>
        <v>-4.8310387984981218E-2</v>
      </c>
      <c r="BW70" s="40">
        <f t="shared" ref="BW70" si="198">BW54/BS54-1</f>
        <v>-2.6699862637362681E-2</v>
      </c>
      <c r="BX70" s="40">
        <f t="shared" ref="BX70" si="199">BX54/BT54-1</f>
        <v>-5.5606965592664204E-2</v>
      </c>
      <c r="BY70" s="40">
        <f t="shared" ref="BY70" si="200">BY54/BU54-1</f>
        <v>-2.2463897307897995E-2</v>
      </c>
      <c r="BZ70" s="40">
        <f t="shared" ref="BZ70:CB70" si="201">BZ54/BV54-1</f>
        <v>6.2247939680870612E-3</v>
      </c>
      <c r="CA70" s="40">
        <f t="shared" si="201"/>
        <v>4.6573167504630808E-2</v>
      </c>
      <c r="CB70" s="40">
        <f t="shared" si="201"/>
        <v>8.6851950828433999E-2</v>
      </c>
      <c r="CC70" s="40"/>
      <c r="CD70" s="40"/>
      <c r="CE70" s="40"/>
      <c r="CF70" s="40"/>
      <c r="CG70" s="40"/>
      <c r="CH70" s="40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53">
        <f t="shared" ref="CZ70:DV70" si="202">CZ54/CY54-1</f>
        <v>0.26885218551885215</v>
      </c>
      <c r="DA70" s="53">
        <f t="shared" si="202"/>
        <v>5.6735257379527892E-2</v>
      </c>
      <c r="DB70" s="53">
        <f t="shared" si="202"/>
        <v>0.72471071295259426</v>
      </c>
      <c r="DC70" s="53">
        <f t="shared" si="202"/>
        <v>-8.635429066118383E-2</v>
      </c>
      <c r="DD70" s="53">
        <f t="shared" si="202"/>
        <v>0.21947175174700928</v>
      </c>
      <c r="DE70" s="53">
        <f t="shared" si="202"/>
        <v>9.3142968142968074E-2</v>
      </c>
      <c r="DF70" s="53">
        <f t="shared" si="202"/>
        <v>4.0959573522878712E-2</v>
      </c>
      <c r="DG70" s="53">
        <f t="shared" si="202"/>
        <v>-0.34019005348810738</v>
      </c>
      <c r="DH70" s="53">
        <f t="shared" si="202"/>
        <v>-8.3954982536328715E-2</v>
      </c>
      <c r="DI70" s="53">
        <f t="shared" si="202"/>
        <v>-0.17294294859725101</v>
      </c>
      <c r="DJ70" s="70">
        <f t="shared" si="202"/>
        <v>-0.23951906659077971</v>
      </c>
      <c r="DK70" s="70">
        <f t="shared" si="202"/>
        <v>-4.3785759992216566E-2</v>
      </c>
      <c r="DL70" s="53">
        <f t="shared" si="202"/>
        <v>-0.1896711664292533</v>
      </c>
      <c r="DM70" s="53">
        <f t="shared" si="202"/>
        <v>-0.12328734623227344</v>
      </c>
      <c r="DN70" s="53">
        <f t="shared" si="202"/>
        <v>-0.10809019304873424</v>
      </c>
      <c r="DO70" s="53">
        <f t="shared" si="202"/>
        <v>1.7867854893335515</v>
      </c>
      <c r="DP70" s="53">
        <f t="shared" si="202"/>
        <v>0.15885820663977657</v>
      </c>
      <c r="DQ70" s="53">
        <f t="shared" si="202"/>
        <v>0.62623828647925039</v>
      </c>
      <c r="DR70" s="53">
        <f t="shared" si="202"/>
        <v>9.0949715414647914E-2</v>
      </c>
      <c r="DS70" s="53">
        <f t="shared" si="202"/>
        <v>-4.8722647407567488E-3</v>
      </c>
      <c r="DT70" s="53">
        <f t="shared" si="202"/>
        <v>-2.4978877358694973E-2</v>
      </c>
      <c r="DU70" s="53">
        <f t="shared" si="202"/>
        <v>-8.8387992712082641E-2</v>
      </c>
      <c r="DV70" s="53">
        <f t="shared" si="202"/>
        <v>-5.9032950903541659E-2</v>
      </c>
      <c r="DX70" s="28"/>
      <c r="DY70" s="39"/>
    </row>
    <row r="71" spans="2:168" s="19" customFormat="1" x14ac:dyDescent="0.2">
      <c r="B71" s="23" t="s">
        <v>654</v>
      </c>
      <c r="C71" s="33"/>
      <c r="D71" s="33"/>
      <c r="E71" s="33"/>
      <c r="F71" s="3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40"/>
      <c r="BL71" s="40"/>
      <c r="BM71" s="40"/>
      <c r="BN71" s="40"/>
      <c r="BO71" s="40"/>
      <c r="BP71" s="40"/>
      <c r="BQ71" s="40"/>
      <c r="BR71" s="40"/>
      <c r="BS71" s="40"/>
      <c r="BT71" s="40">
        <v>0.05</v>
      </c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70"/>
      <c r="DK71" s="70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X71" s="33"/>
      <c r="DY71" s="79"/>
    </row>
    <row r="72" spans="2:168" s="23" customFormat="1" x14ac:dyDescent="0.2">
      <c r="B72" s="23" t="s">
        <v>631</v>
      </c>
      <c r="C72" s="33"/>
      <c r="D72" s="33"/>
      <c r="E72" s="33"/>
      <c r="F72" s="33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3"/>
      <c r="AU72" s="33"/>
      <c r="AV72" s="33"/>
      <c r="AW72" s="33"/>
      <c r="AX72" s="33"/>
      <c r="AY72" s="33"/>
      <c r="AZ72" s="33"/>
      <c r="BA72" s="41">
        <f t="shared" ref="BA72:BB72" si="203">BA8/AW8-1</f>
        <v>0.39366515837104066</v>
      </c>
      <c r="BB72" s="41">
        <f t="shared" si="203"/>
        <v>0.43776371308016881</v>
      </c>
      <c r="BC72" s="41">
        <f t="shared" ref="BC72" si="204">BC8/AY8-1</f>
        <v>0.36784741144414168</v>
      </c>
      <c r="BD72" s="41">
        <f t="shared" ref="BD72" si="205">BD8/AZ8-1</f>
        <v>0.40306122448979598</v>
      </c>
      <c r="BE72" s="41">
        <f t="shared" ref="BE72" si="206">BE8/BA8-1</f>
        <v>0.28003246753246747</v>
      </c>
      <c r="BF72" s="41">
        <f t="shared" ref="BF72" si="207">BF8/BB8-1</f>
        <v>0.25091709464416723</v>
      </c>
      <c r="BG72" s="41">
        <f t="shared" ref="BG72" si="208">BG8/BC8-1</f>
        <v>0.27822045152722441</v>
      </c>
      <c r="BH72" s="41">
        <f t="shared" ref="BH72" si="209">BH8/BD8-1</f>
        <v>0.23757575757575755</v>
      </c>
      <c r="BI72" s="41">
        <f t="shared" ref="BI72" si="210">BI8/BE8-1</f>
        <v>0.22257450856055794</v>
      </c>
      <c r="BJ72" s="41">
        <f t="shared" ref="BJ72" si="211">BJ8/BF8-1</f>
        <v>0.19296187683284449</v>
      </c>
      <c r="BK72" s="41">
        <f t="shared" ref="BK72" si="212">BK8/BG8-1</f>
        <v>0.37194805194805203</v>
      </c>
      <c r="BL72" s="41">
        <f t="shared" ref="BL72" si="213">BL8/BH8-1</f>
        <v>5.9255631733594605E-2</v>
      </c>
      <c r="BM72" s="41">
        <f t="shared" ref="BM72" si="214">BM8/BI8-1</f>
        <v>8.6618257261410703E-2</v>
      </c>
      <c r="BN72" s="41">
        <f t="shared" ref="BN72" si="215">BN8/BJ8-1</f>
        <v>0.115535889872173</v>
      </c>
      <c r="BO72" s="41">
        <f t="shared" ref="BO72" si="216">BO8/BK8-1</f>
        <v>9.2767890950397502E-2</v>
      </c>
      <c r="BP72" s="41">
        <f t="shared" ref="BP72:BR72" si="217">BP8/BL8-1</f>
        <v>0.29079981507165975</v>
      </c>
      <c r="BQ72" s="41">
        <f t="shared" si="217"/>
        <v>0.15178997613365164</v>
      </c>
      <c r="BR72" s="41">
        <f t="shared" si="217"/>
        <v>0.17717055971793738</v>
      </c>
      <c r="BS72" s="41">
        <f>BS8/BO8-1</f>
        <v>0.11261261261261257</v>
      </c>
      <c r="BT72" s="41">
        <f t="shared" ref="BT72" si="218">BT8/BP8-1</f>
        <v>0.1586676217765044</v>
      </c>
      <c r="BU72" s="41">
        <f t="shared" ref="BU72" si="219">BU8/BQ8-1</f>
        <v>0.1002900953170327</v>
      </c>
      <c r="BV72" s="41">
        <f>BV8/BR8-1</f>
        <v>6.3646574316735816E-3</v>
      </c>
      <c r="BW72" s="41">
        <f t="shared" ref="BW72" si="220">BW8/BS8-1</f>
        <v>6.602304578013074E-2</v>
      </c>
      <c r="BX72" s="41">
        <f t="shared" ref="BX72" si="221">BX8/BT8-1</f>
        <v>-9.582689335394079E-3</v>
      </c>
      <c r="BY72" s="41">
        <f t="shared" ref="BY72" si="222">BY8/BU8-1</f>
        <v>1.883239171374762E-2</v>
      </c>
      <c r="BZ72" s="41">
        <f t="shared" ref="BZ72:CA72" si="223">BZ8/BV8-1</f>
        <v>6.9196428571428603E-2</v>
      </c>
      <c r="CA72" s="41">
        <f t="shared" si="223"/>
        <v>8.6765994741454966E-2</v>
      </c>
      <c r="CB72" s="41">
        <f t="shared" ref="CB72" si="224">CB8/BX8-1</f>
        <v>6.616729088639195E-2</v>
      </c>
      <c r="CC72" s="41"/>
      <c r="CD72" s="41"/>
      <c r="CE72" s="41"/>
      <c r="CF72" s="41"/>
      <c r="CG72" s="41"/>
      <c r="CH72" s="41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71"/>
      <c r="DK72" s="71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X72" s="75"/>
      <c r="DY72" s="84"/>
    </row>
    <row r="73" spans="2:168" s="23" customFormat="1" x14ac:dyDescent="0.2">
      <c r="B73" s="23" t="s">
        <v>630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33"/>
      <c r="AY73" s="33"/>
      <c r="AZ73" s="33"/>
      <c r="BA73" s="41">
        <f t="shared" ref="BA73:BB73" si="225">BA4/AW4-1</f>
        <v>0.375</v>
      </c>
      <c r="BB73" s="41">
        <f t="shared" si="225"/>
        <v>3.8931297709923651E-2</v>
      </c>
      <c r="BC73" s="41">
        <f t="shared" ref="BC73" si="226">BC4/AY4-1</f>
        <v>0.34072759538598052</v>
      </c>
      <c r="BD73" s="41">
        <f t="shared" ref="BD73" si="227">BD4/AZ4-1</f>
        <v>0.36150627615062758</v>
      </c>
      <c r="BE73" s="41">
        <f t="shared" ref="BE73" si="228">BE4/BA4-1</f>
        <v>0.41739130434782612</v>
      </c>
      <c r="BF73" s="41">
        <f t="shared" ref="BF73" si="229">BF4/BB4-1</f>
        <v>0.32549595885378402</v>
      </c>
      <c r="BG73" s="41">
        <f t="shared" ref="BG73" si="230">BG4/BC4-1</f>
        <v>0.19192587690271345</v>
      </c>
      <c r="BH73" s="41">
        <f t="shared" ref="BH73" si="231">BH4/BD4-1</f>
        <v>0.12046711739397664</v>
      </c>
      <c r="BI73" s="41">
        <f t="shared" ref="BI73" si="232">BI4/BE4-1</f>
        <v>1.3385387618516376E-2</v>
      </c>
      <c r="BJ73" s="41">
        <f t="shared" ref="BJ73" si="233">BJ4/BF4-1</f>
        <v>-2.2727272727272707E-2</v>
      </c>
      <c r="BK73" s="41">
        <f t="shared" ref="BK73" si="234">BK4/BG4-1</f>
        <v>-1.9433647973348123E-2</v>
      </c>
      <c r="BL73" s="41">
        <f t="shared" ref="BL73" si="235">BL4/BH4-1</f>
        <v>-9.3252879868348848E-2</v>
      </c>
      <c r="BM73" s="41">
        <f t="shared" ref="BM73" si="236">BM4/BI4-1</f>
        <v>-2.0363236103467242E-2</v>
      </c>
      <c r="BN73" s="41">
        <f t="shared" ref="BN73" si="237">BN4/BJ4-1</f>
        <v>1.7016449234259712E-2</v>
      </c>
      <c r="BO73" s="41">
        <f t="shared" ref="BO73" si="238">BO4/BK4-1</f>
        <v>-2.6047565118912819E-2</v>
      </c>
      <c r="BP73" s="41">
        <f t="shared" ref="BP73:BR73" si="239">BP4/BL4-1</f>
        <v>0.15547489413188154</v>
      </c>
      <c r="BQ73" s="41">
        <f t="shared" si="239"/>
        <v>7.02247191011236E-2</v>
      </c>
      <c r="BR73" s="41">
        <f t="shared" si="239"/>
        <v>0.10875627440044622</v>
      </c>
      <c r="BS73" s="41">
        <f>BS4/BO4-1</f>
        <v>0.11802325581395356</v>
      </c>
      <c r="BT73" s="41">
        <f t="shared" ref="BT73" si="240">BT4/BP4-1</f>
        <v>8.010471204188474E-2</v>
      </c>
      <c r="BU73" s="41">
        <f t="shared" ref="BU73" si="241">BU4/BQ4-1</f>
        <v>7.4540682414698134E-2</v>
      </c>
      <c r="BV73" s="41">
        <f>BV4/BR4-1</f>
        <v>0.11468812877263579</v>
      </c>
      <c r="BW73" s="41">
        <f t="shared" ref="BW73" si="242">BW4/BS4-1</f>
        <v>0.14508580343213739</v>
      </c>
      <c r="BX73" s="41">
        <f t="shared" ref="BX73" si="243">BX4/BT4-1</f>
        <v>3.9747939893359119E-2</v>
      </c>
      <c r="BY73" s="41">
        <f t="shared" ref="BY73" si="244">BY4/BU4-1</f>
        <v>0.11138251099169527</v>
      </c>
      <c r="BZ73" s="41">
        <f t="shared" ref="BZ73:CA73" si="245">BZ4/BV4-1</f>
        <v>7.7166064981949445E-2</v>
      </c>
      <c r="CA73" s="41">
        <f t="shared" si="245"/>
        <v>-5.6312443233424214E-2</v>
      </c>
      <c r="CB73" s="41">
        <f t="shared" ref="CB73" si="246">CB4/BX4-1</f>
        <v>0.11282051282051286</v>
      </c>
      <c r="CC73" s="41"/>
      <c r="CD73" s="41"/>
      <c r="CE73" s="41"/>
      <c r="CF73" s="41"/>
      <c r="CG73" s="41"/>
      <c r="CH73" s="41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33"/>
      <c r="DY73" s="72"/>
    </row>
    <row r="74" spans="2:168" s="23" customFormat="1" x14ac:dyDescent="0.2">
      <c r="B74" s="23" t="s">
        <v>632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41"/>
      <c r="BL74" s="41"/>
      <c r="BM74" s="41"/>
      <c r="BN74" s="41">
        <f t="shared" ref="BN74" si="247">BN10/BJ10-1</f>
        <v>1.5250192455735183</v>
      </c>
      <c r="BO74" s="41">
        <f t="shared" ref="BO74" si="248">BO10/BK10-1</f>
        <v>9.9485420240137401E-3</v>
      </c>
      <c r="BP74" s="41">
        <f t="shared" ref="BP74:BR74" si="249">BP10/BL10-1</f>
        <v>0.11026352288488206</v>
      </c>
      <c r="BQ74" s="41">
        <f t="shared" si="249"/>
        <v>0.10571522960026436</v>
      </c>
      <c r="BR74" s="41">
        <f t="shared" si="249"/>
        <v>1.4634146341463428E-2</v>
      </c>
      <c r="BS74" s="41">
        <f>BS10/BO10-1</f>
        <v>-4.9932065217391353E-2</v>
      </c>
      <c r="BT74" s="41">
        <f t="shared" ref="BT74" si="250">BT10/BP10-1</f>
        <v>-0.21892567145534036</v>
      </c>
      <c r="BU74" s="41">
        <f t="shared" ref="BU74" si="251">BU10/BQ10-1</f>
        <v>-0.27696444577233348</v>
      </c>
      <c r="BV74" s="41">
        <f>BV10/BR10-1</f>
        <v>-0.32091346153846156</v>
      </c>
      <c r="BW74" s="41">
        <f t="shared" ref="BW74" si="252">BW10/BS10-1</f>
        <v>-0.37432963889882021</v>
      </c>
      <c r="BX74" s="41">
        <f t="shared" ref="BX74" si="253">BX10/BT10-1</f>
        <v>-0.41303478608556576</v>
      </c>
      <c r="BY74" s="41">
        <f t="shared" ref="BY74" si="254">BY10/BU10-1</f>
        <v>-0.40950413223140492</v>
      </c>
      <c r="BZ74" s="41">
        <f t="shared" ref="BZ74:CA74" si="255">BZ10/BV10-1</f>
        <v>-0.3584070796460177</v>
      </c>
      <c r="CA74" s="41">
        <f t="shared" si="255"/>
        <v>-4.6285714285714263E-2</v>
      </c>
      <c r="CB74" s="41">
        <f t="shared" ref="CB74" si="256">CB10/BX10-1</f>
        <v>-7.8337874659400564E-2</v>
      </c>
      <c r="CC74" s="41"/>
      <c r="CD74" s="41"/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</row>
    <row r="75" spans="2:168" s="74" customFormat="1" ht="6.75" customHeight="1" x14ac:dyDescent="0.2">
      <c r="B75" s="74" t="s">
        <v>441</v>
      </c>
      <c r="C75" s="75" t="s">
        <v>362</v>
      </c>
      <c r="D75" s="75" t="s">
        <v>362</v>
      </c>
      <c r="E75" s="75" t="s">
        <v>362</v>
      </c>
      <c r="F75" s="75" t="s">
        <v>362</v>
      </c>
      <c r="G75" s="76">
        <f t="shared" ref="G75:AK75" si="257">+G37/C37-1</f>
        <v>0.21130221130221138</v>
      </c>
      <c r="H75" s="76">
        <f t="shared" si="257"/>
        <v>0.18285123966942152</v>
      </c>
      <c r="I75" s="76">
        <f t="shared" si="257"/>
        <v>-0.3571428571428571</v>
      </c>
      <c r="J75" s="76">
        <f t="shared" si="257"/>
        <v>-0.53251649387370403</v>
      </c>
      <c r="K75" s="76">
        <f t="shared" si="257"/>
        <v>-4.8681541582150101E-2</v>
      </c>
      <c r="L75" s="76">
        <f t="shared" si="257"/>
        <v>3.8427947598253187E-2</v>
      </c>
      <c r="M75" s="76">
        <f t="shared" si="257"/>
        <v>0.99047619047619051</v>
      </c>
      <c r="N75" s="76">
        <f t="shared" si="257"/>
        <v>1.7701612903225805</v>
      </c>
      <c r="O75" s="76">
        <f t="shared" si="257"/>
        <v>0.3944562899786781</v>
      </c>
      <c r="P75" s="76">
        <f t="shared" si="257"/>
        <v>0.16652649285113541</v>
      </c>
      <c r="Q75" s="76">
        <f t="shared" si="257"/>
        <v>0.1475279106858054</v>
      </c>
      <c r="R75" s="76">
        <f t="shared" si="257"/>
        <v>6.9141193595342099E-2</v>
      </c>
      <c r="S75" s="76">
        <f t="shared" si="257"/>
        <v>9.7094801223241545E-2</v>
      </c>
      <c r="T75" s="76">
        <f t="shared" si="257"/>
        <v>0.1095890410958904</v>
      </c>
      <c r="U75" s="76">
        <f t="shared" si="257"/>
        <v>7.9916608756080532E-2</v>
      </c>
      <c r="V75" s="76">
        <f t="shared" si="257"/>
        <v>0.10142954390741998</v>
      </c>
      <c r="W75" s="76">
        <f t="shared" si="257"/>
        <v>0.16097560975609748</v>
      </c>
      <c r="X75" s="76">
        <f t="shared" si="257"/>
        <v>5.7179987004548405E-2</v>
      </c>
      <c r="Y75" s="76">
        <f t="shared" si="257"/>
        <v>6.6924066924066938E-2</v>
      </c>
      <c r="Z75" s="76">
        <f t="shared" si="257"/>
        <v>5.9950556242274411E-2</v>
      </c>
      <c r="AA75" s="76">
        <f t="shared" si="257"/>
        <v>5.7623049219687861E-2</v>
      </c>
      <c r="AB75" s="76">
        <f t="shared" si="257"/>
        <v>0.146281499692686</v>
      </c>
      <c r="AC75" s="76">
        <f t="shared" si="257"/>
        <v>7.8407720144752613E-2</v>
      </c>
      <c r="AD75" s="76">
        <f t="shared" si="257"/>
        <v>-2.507288629737614E-2</v>
      </c>
      <c r="AE75" s="76">
        <f t="shared" si="257"/>
        <v>-3.9160045402951149E-2</v>
      </c>
      <c r="AF75" s="76">
        <f t="shared" si="257"/>
        <v>-0.60268096514745306</v>
      </c>
      <c r="AG75" s="76">
        <f t="shared" si="257"/>
        <v>-0.96420581655480986</v>
      </c>
      <c r="AH75" s="76">
        <f t="shared" si="257"/>
        <v>-0.97069377990430628</v>
      </c>
      <c r="AI75" s="76">
        <f t="shared" si="257"/>
        <v>-0.94624926166568224</v>
      </c>
      <c r="AJ75" s="76">
        <f t="shared" si="257"/>
        <v>-0.94062078272604588</v>
      </c>
      <c r="AK75" s="76">
        <f t="shared" si="257"/>
        <v>-0.34375</v>
      </c>
      <c r="AL75" s="76"/>
      <c r="AM75" s="76"/>
      <c r="AN75" s="76"/>
      <c r="AO75" s="76"/>
      <c r="AP75" s="76"/>
      <c r="AQ75" s="76"/>
      <c r="AR75" s="76"/>
      <c r="AS75" s="76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7" t="e">
        <f>CX37/CW37-1</f>
        <v>#DIV/0!</v>
      </c>
      <c r="CY75" s="77" t="s">
        <v>362</v>
      </c>
      <c r="CZ75" s="77">
        <f t="shared" ref="CZ75:DV75" si="258">CZ37/CY37-1</f>
        <v>0.30529100529100539</v>
      </c>
      <c r="DA75" s="77">
        <f t="shared" si="258"/>
        <v>0.34860154033238744</v>
      </c>
      <c r="DB75" s="77">
        <f t="shared" si="258"/>
        <v>0.14908325819056212</v>
      </c>
      <c r="DC75" s="77">
        <f t="shared" si="258"/>
        <v>-0.14805126863719587</v>
      </c>
      <c r="DD75" s="77">
        <f t="shared" si="258"/>
        <v>0.45993245317777087</v>
      </c>
      <c r="DE75" s="77">
        <f t="shared" si="258"/>
        <v>0.17833859095688753</v>
      </c>
      <c r="DF75" s="77">
        <f t="shared" si="258"/>
        <v>9.6912368374085345E-2</v>
      </c>
      <c r="DG75" s="77">
        <f t="shared" si="258"/>
        <v>8.4607875040676905E-2</v>
      </c>
      <c r="DH75" s="77">
        <f t="shared" si="258"/>
        <v>6.3156315631563098E-2</v>
      </c>
      <c r="DI75" s="77">
        <f t="shared" si="258"/>
        <v>-0.64060956681247361</v>
      </c>
      <c r="DJ75" s="78">
        <f t="shared" si="258"/>
        <v>-0.8</v>
      </c>
      <c r="DK75" s="78">
        <f t="shared" si="258"/>
        <v>-0.5</v>
      </c>
      <c r="DL75" s="77">
        <f t="shared" si="258"/>
        <v>-0.5</v>
      </c>
      <c r="DM75" s="77">
        <f t="shared" si="258"/>
        <v>-9.9999999999999978E-2</v>
      </c>
      <c r="DN75" s="77">
        <f t="shared" si="258"/>
        <v>-9.9999999999999978E-2</v>
      </c>
      <c r="DO75" s="77">
        <f t="shared" si="258"/>
        <v>-1</v>
      </c>
      <c r="DP75" s="77" t="e">
        <f t="shared" si="258"/>
        <v>#DIV/0!</v>
      </c>
      <c r="DQ75" s="77" t="e">
        <f t="shared" si="258"/>
        <v>#DIV/0!</v>
      </c>
      <c r="DR75" s="77" t="e">
        <f t="shared" si="258"/>
        <v>#DIV/0!</v>
      </c>
      <c r="DS75" s="77" t="e">
        <f t="shared" si="258"/>
        <v>#DIV/0!</v>
      </c>
      <c r="DT75" s="77" t="e">
        <f t="shared" si="258"/>
        <v>#DIV/0!</v>
      </c>
      <c r="DU75" s="77" t="e">
        <f t="shared" si="258"/>
        <v>#DIV/0!</v>
      </c>
      <c r="DV75" s="77" t="e">
        <f t="shared" si="258"/>
        <v>#DIV/0!</v>
      </c>
    </row>
    <row r="76" spans="2:168" s="74" customFormat="1" ht="6.75" customHeight="1" x14ac:dyDescent="0.2">
      <c r="B76" s="74" t="s">
        <v>442</v>
      </c>
      <c r="C76" s="75" t="s">
        <v>362</v>
      </c>
      <c r="D76" s="75" t="s">
        <v>362</v>
      </c>
      <c r="E76" s="75" t="s">
        <v>362</v>
      </c>
      <c r="F76" s="75" t="s">
        <v>362</v>
      </c>
      <c r="G76" s="76">
        <f t="shared" ref="G76:AK76" si="259">+G42/C42-1</f>
        <v>1.1560693641618602E-2</v>
      </c>
      <c r="H76" s="76">
        <f t="shared" si="259"/>
        <v>0.15568862275449091</v>
      </c>
      <c r="I76" s="76">
        <f t="shared" si="259"/>
        <v>0.18235294117647061</v>
      </c>
      <c r="J76" s="76">
        <f t="shared" si="259"/>
        <v>0.30588235294117649</v>
      </c>
      <c r="K76" s="76">
        <f t="shared" si="259"/>
        <v>0.29142857142857137</v>
      </c>
      <c r="L76" s="76">
        <f t="shared" si="259"/>
        <v>0.20725388601036276</v>
      </c>
      <c r="M76" s="76">
        <f t="shared" si="259"/>
        <v>0.17910447761194037</v>
      </c>
      <c r="N76" s="76">
        <f t="shared" si="259"/>
        <v>0.1711711711711712</v>
      </c>
      <c r="O76" s="76">
        <f t="shared" si="259"/>
        <v>0.20796460176991149</v>
      </c>
      <c r="P76" s="76">
        <f t="shared" si="259"/>
        <v>0.21030042918454939</v>
      </c>
      <c r="Q76" s="76">
        <f t="shared" si="259"/>
        <v>0.240506329113924</v>
      </c>
      <c r="R76" s="76">
        <f t="shared" si="259"/>
        <v>0.15384615384615374</v>
      </c>
      <c r="S76" s="76">
        <f t="shared" si="259"/>
        <v>6.9597069597069572E-2</v>
      </c>
      <c r="T76" s="76">
        <f t="shared" si="259"/>
        <v>0.1063829787234043</v>
      </c>
      <c r="U76" s="76">
        <f t="shared" si="259"/>
        <v>7.1428571428571397E-2</v>
      </c>
      <c r="V76" s="76">
        <f t="shared" si="259"/>
        <v>0.19333333333333336</v>
      </c>
      <c r="W76" s="76">
        <f t="shared" si="259"/>
        <v>0.14726027397260277</v>
      </c>
      <c r="X76" s="76">
        <f t="shared" si="259"/>
        <v>6.0897435897435903E-2</v>
      </c>
      <c r="Y76" s="76">
        <f t="shared" si="259"/>
        <v>8.5714285714285632E-2</v>
      </c>
      <c r="Z76" s="76">
        <f t="shared" si="259"/>
        <v>5.5865921787709993E-3</v>
      </c>
      <c r="AA76" s="76">
        <f t="shared" si="259"/>
        <v>2.3880597014925398E-2</v>
      </c>
      <c r="AB76" s="76">
        <f t="shared" si="259"/>
        <v>0.12084592145015116</v>
      </c>
      <c r="AC76" s="76">
        <f t="shared" si="259"/>
        <v>4.9707602339181367E-2</v>
      </c>
      <c r="AD76" s="76">
        <f t="shared" si="259"/>
        <v>0.14444444444444438</v>
      </c>
      <c r="AE76" s="76">
        <f t="shared" si="259"/>
        <v>0.12536443148688048</v>
      </c>
      <c r="AF76" s="76">
        <f t="shared" si="259"/>
        <v>4.5822102425876032E-2</v>
      </c>
      <c r="AG76" s="76">
        <f t="shared" si="259"/>
        <v>3.0640668523676862E-2</v>
      </c>
      <c r="AH76" s="76">
        <f t="shared" si="259"/>
        <v>-7.0388349514563076E-2</v>
      </c>
      <c r="AI76" s="76">
        <f t="shared" si="259"/>
        <v>2.5906735751295429E-3</v>
      </c>
      <c r="AJ76" s="76">
        <f t="shared" si="259"/>
        <v>5.9278350515463929E-2</v>
      </c>
      <c r="AK76" s="76">
        <f t="shared" si="259"/>
        <v>5.1351351351351271E-2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80"/>
      <c r="DF76" s="81"/>
      <c r="DG76" s="81"/>
      <c r="DH76" s="81"/>
      <c r="DI76" s="75"/>
      <c r="DJ76" s="82"/>
      <c r="DK76" s="82"/>
      <c r="DL76" s="75"/>
      <c r="DM76" s="75"/>
      <c r="DN76" s="75"/>
      <c r="DP76" s="80"/>
      <c r="DQ76" s="83"/>
    </row>
    <row r="77" spans="2:168" x14ac:dyDescent="0.2">
      <c r="B77" s="23" t="s">
        <v>445</v>
      </c>
      <c r="C77" s="33" t="s">
        <v>362</v>
      </c>
      <c r="D77" s="33" t="s">
        <v>362</v>
      </c>
      <c r="E77" s="33" t="s">
        <v>362</v>
      </c>
      <c r="F77" s="33" t="s">
        <v>362</v>
      </c>
      <c r="G77" s="41" t="s">
        <v>362</v>
      </c>
      <c r="H77" s="41" t="s">
        <v>362</v>
      </c>
      <c r="I77" s="41" t="s">
        <v>362</v>
      </c>
      <c r="J77" s="41" t="s">
        <v>362</v>
      </c>
      <c r="K77" s="57">
        <f t="shared" ref="K77:AK77" si="260">+K3/G3-1</f>
        <v>7.1999999999999993</v>
      </c>
      <c r="L77" s="57">
        <f t="shared" si="260"/>
        <v>2.0555555555555554</v>
      </c>
      <c r="M77" s="57">
        <f t="shared" si="260"/>
        <v>0.76470588235294112</v>
      </c>
      <c r="N77" s="57">
        <f t="shared" si="260"/>
        <v>1.34375</v>
      </c>
      <c r="O77" s="57">
        <f t="shared" si="260"/>
        <v>1.1219512195121952</v>
      </c>
      <c r="P77" s="57">
        <f t="shared" si="260"/>
        <v>0.92727272727272725</v>
      </c>
      <c r="Q77" s="57">
        <f t="shared" si="260"/>
        <v>0.98333333333333339</v>
      </c>
      <c r="R77" s="57">
        <f t="shared" si="260"/>
        <v>0.72</v>
      </c>
      <c r="S77" s="57">
        <f t="shared" si="260"/>
        <v>0.42528735632183912</v>
      </c>
      <c r="T77" s="57">
        <f t="shared" si="260"/>
        <v>0.39622641509433953</v>
      </c>
      <c r="U77" s="57">
        <f t="shared" si="260"/>
        <v>0.3613445378151261</v>
      </c>
      <c r="V77" s="57">
        <f t="shared" si="260"/>
        <v>0.30232558139534893</v>
      </c>
      <c r="W77" s="57">
        <f t="shared" si="260"/>
        <v>0.36290322580645151</v>
      </c>
      <c r="X77" s="57">
        <f t="shared" si="260"/>
        <v>0.20270270270270263</v>
      </c>
      <c r="Y77" s="57">
        <f t="shared" si="260"/>
        <v>0.13580246913580241</v>
      </c>
      <c r="Z77" s="57">
        <f t="shared" si="260"/>
        <v>0.20238095238095233</v>
      </c>
      <c r="AA77" s="57">
        <f t="shared" si="260"/>
        <v>0.1775147928994083</v>
      </c>
      <c r="AB77" s="57">
        <f t="shared" si="260"/>
        <v>0.2808988764044944</v>
      </c>
      <c r="AC77" s="57">
        <f t="shared" si="260"/>
        <v>0.26630434782608692</v>
      </c>
      <c r="AD77" s="57">
        <f t="shared" si="260"/>
        <v>0.2722772277227723</v>
      </c>
      <c r="AE77" s="57">
        <f t="shared" si="260"/>
        <v>0.27638190954773867</v>
      </c>
      <c r="AF77" s="57">
        <f t="shared" si="260"/>
        <v>0.27192982456140347</v>
      </c>
      <c r="AG77" s="57">
        <f t="shared" si="260"/>
        <v>0.31759656652360513</v>
      </c>
      <c r="AH77" s="57">
        <f t="shared" si="260"/>
        <v>0.2645914396887159</v>
      </c>
      <c r="AI77" s="57">
        <f t="shared" si="260"/>
        <v>0.25984251968503935</v>
      </c>
      <c r="AJ77" s="57">
        <f t="shared" si="260"/>
        <v>0.21379310344827585</v>
      </c>
      <c r="AK77" s="57">
        <f t="shared" si="260"/>
        <v>0.22149837133550498</v>
      </c>
      <c r="AL77" s="57"/>
      <c r="AM77" s="57"/>
      <c r="AN77" s="57"/>
      <c r="AO77" s="57"/>
      <c r="AP77" s="57"/>
      <c r="AQ77" s="57"/>
      <c r="AR77" s="57"/>
      <c r="AS77" s="57"/>
      <c r="DE77" s="37"/>
      <c r="DP77" s="37"/>
      <c r="DQ77" s="40"/>
    </row>
    <row r="78" spans="2:168" s="74" customFormat="1" ht="8.25" customHeight="1" x14ac:dyDescent="0.2">
      <c r="B78" s="74" t="s">
        <v>446</v>
      </c>
      <c r="C78" s="75" t="s">
        <v>362</v>
      </c>
      <c r="D78" s="75" t="s">
        <v>362</v>
      </c>
      <c r="E78" s="75" t="s">
        <v>362</v>
      </c>
      <c r="F78" s="75" t="s">
        <v>362</v>
      </c>
      <c r="G78" s="76">
        <f t="shared" ref="G78:AK78" si="261">+G33/C33-1</f>
        <v>0.18877551020408156</v>
      </c>
      <c r="H78" s="76">
        <f t="shared" si="261"/>
        <v>8.5271317829457294E-2</v>
      </c>
      <c r="I78" s="76">
        <f t="shared" si="261"/>
        <v>0.10358565737051784</v>
      </c>
      <c r="J78" s="76">
        <f t="shared" si="261"/>
        <v>0.10830324909747291</v>
      </c>
      <c r="K78" s="76">
        <f t="shared" si="261"/>
        <v>0.15879828326180268</v>
      </c>
      <c r="L78" s="76">
        <f t="shared" si="261"/>
        <v>6.0714285714285721E-2</v>
      </c>
      <c r="M78" s="76">
        <f t="shared" si="261"/>
        <v>0.11552346570397121</v>
      </c>
      <c r="N78" s="76">
        <f t="shared" si="261"/>
        <v>6.8403908794788304E-2</v>
      </c>
      <c r="O78" s="76">
        <f t="shared" si="261"/>
        <v>0.12962962962962954</v>
      </c>
      <c r="P78" s="76">
        <f t="shared" si="261"/>
        <v>0.12794612794612803</v>
      </c>
      <c r="Q78" s="76">
        <f t="shared" si="261"/>
        <v>8.0906148867313954E-2</v>
      </c>
      <c r="R78" s="76">
        <f t="shared" si="261"/>
        <v>-3.6585365853658569E-2</v>
      </c>
      <c r="S78" s="76">
        <f t="shared" si="261"/>
        <v>-9.8360655737704805E-3</v>
      </c>
      <c r="T78" s="76">
        <f t="shared" si="261"/>
        <v>-6.5671641791044788E-2</v>
      </c>
      <c r="U78" s="76">
        <f t="shared" si="261"/>
        <v>-1.4970059880239472E-2</v>
      </c>
      <c r="V78" s="76">
        <f t="shared" si="261"/>
        <v>7.2784810126582222E-2</v>
      </c>
      <c r="W78" s="76">
        <f t="shared" si="261"/>
        <v>3.9735099337748325E-2</v>
      </c>
      <c r="X78" s="76">
        <f t="shared" si="261"/>
        <v>-1.9169329073482455E-2</v>
      </c>
      <c r="Y78" s="76">
        <f t="shared" si="261"/>
        <v>-7.9027355623100259E-2</v>
      </c>
      <c r="Z78" s="76">
        <f t="shared" si="261"/>
        <v>-0.25663716814159288</v>
      </c>
      <c r="AA78" s="76">
        <f t="shared" si="261"/>
        <v>-7.6433121019108263E-2</v>
      </c>
      <c r="AB78" s="76">
        <f t="shared" si="261"/>
        <v>-0.1824104234527687</v>
      </c>
      <c r="AC78" s="76">
        <f t="shared" si="261"/>
        <v>-0.28712871287128716</v>
      </c>
      <c r="AD78" s="76">
        <f t="shared" si="261"/>
        <v>-0.22619047619047616</v>
      </c>
      <c r="AE78" s="76">
        <f t="shared" si="261"/>
        <v>-0.28620689655172415</v>
      </c>
      <c r="AF78" s="76">
        <f t="shared" si="261"/>
        <v>-0.53386454183266929</v>
      </c>
      <c r="AG78" s="76">
        <f t="shared" si="261"/>
        <v>-0.56018518518518512</v>
      </c>
      <c r="AH78" s="76">
        <f t="shared" si="261"/>
        <v>-0.56923076923076921</v>
      </c>
      <c r="AI78" s="76">
        <f t="shared" si="261"/>
        <v>-0.77777777777777779</v>
      </c>
      <c r="AJ78" s="76">
        <f t="shared" si="261"/>
        <v>-0.52136752136752129</v>
      </c>
      <c r="AK78" s="76">
        <f t="shared" si="261"/>
        <v>-0.25263157894736843</v>
      </c>
      <c r="AL78" s="76"/>
      <c r="AM78" s="76"/>
      <c r="AN78" s="76"/>
      <c r="AO78" s="76"/>
      <c r="AP78" s="76"/>
      <c r="AQ78" s="76"/>
      <c r="AR78" s="76"/>
      <c r="AS78" s="76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80"/>
      <c r="DF78" s="81"/>
      <c r="DG78" s="81"/>
      <c r="DH78" s="81"/>
      <c r="DI78" s="75"/>
      <c r="DJ78" s="75"/>
      <c r="DK78" s="75"/>
      <c r="DL78" s="75"/>
      <c r="DM78" s="75"/>
      <c r="DN78" s="75"/>
      <c r="DP78" s="80"/>
      <c r="DQ78" s="83"/>
    </row>
    <row r="79" spans="2:168" s="74" customFormat="1" ht="8.25" customHeight="1" x14ac:dyDescent="0.2">
      <c r="B79" s="74" t="s">
        <v>447</v>
      </c>
      <c r="C79" s="75" t="s">
        <v>362</v>
      </c>
      <c r="D79" s="75" t="s">
        <v>362</v>
      </c>
      <c r="E79" s="75" t="s">
        <v>362</v>
      </c>
      <c r="F79" s="75" t="s">
        <v>362</v>
      </c>
      <c r="G79" s="76">
        <f t="shared" ref="G79:AK79" si="262">+G43/C43-1</f>
        <v>0.38926174496644306</v>
      </c>
      <c r="H79" s="76">
        <f t="shared" si="262"/>
        <v>0.28961748633879791</v>
      </c>
      <c r="I79" s="76">
        <f t="shared" si="262"/>
        <v>0.32386363636363646</v>
      </c>
      <c r="J79" s="76">
        <f t="shared" si="262"/>
        <v>0.3563829787234043</v>
      </c>
      <c r="K79" s="76">
        <f t="shared" si="262"/>
        <v>0.27053140096618367</v>
      </c>
      <c r="L79" s="76">
        <f t="shared" si="262"/>
        <v>7.6271186440677985E-2</v>
      </c>
      <c r="M79" s="76">
        <f t="shared" si="262"/>
        <v>0.17167381974248919</v>
      </c>
      <c r="N79" s="76">
        <f t="shared" si="262"/>
        <v>0.30980392156862746</v>
      </c>
      <c r="O79" s="76">
        <f t="shared" si="262"/>
        <v>0.12927756653992395</v>
      </c>
      <c r="P79" s="76">
        <f t="shared" si="262"/>
        <v>0.27559055118110232</v>
      </c>
      <c r="Q79" s="76">
        <f t="shared" si="262"/>
        <v>0.25274725274725274</v>
      </c>
      <c r="R79" s="76">
        <f t="shared" si="262"/>
        <v>-1.4970059880239472E-2</v>
      </c>
      <c r="S79" s="76">
        <f t="shared" si="262"/>
        <v>8.4175084175084125E-2</v>
      </c>
      <c r="T79" s="76">
        <f t="shared" si="262"/>
        <v>2.1604938271605034E-2</v>
      </c>
      <c r="U79" s="76">
        <f t="shared" si="262"/>
        <v>5.2631578947368363E-2</v>
      </c>
      <c r="V79" s="76">
        <f t="shared" si="262"/>
        <v>0.17933130699088151</v>
      </c>
      <c r="W79" s="76">
        <f t="shared" si="262"/>
        <v>0.15838509316770177</v>
      </c>
      <c r="X79" s="76">
        <f t="shared" si="262"/>
        <v>7.8549848942598199E-2</v>
      </c>
      <c r="Y79" s="76">
        <f t="shared" si="262"/>
        <v>4.1666666666666741E-2</v>
      </c>
      <c r="Z79" s="76">
        <f t="shared" si="262"/>
        <v>-3.6082474226804107E-2</v>
      </c>
      <c r="AA79" s="76">
        <f t="shared" si="262"/>
        <v>-1.8766756032171594E-2</v>
      </c>
      <c r="AB79" s="76">
        <f t="shared" si="262"/>
        <v>0.10924369747899165</v>
      </c>
      <c r="AC79" s="76">
        <f t="shared" si="262"/>
        <v>4.2666666666666631E-2</v>
      </c>
      <c r="AD79" s="76">
        <f t="shared" si="262"/>
        <v>0.11229946524064172</v>
      </c>
      <c r="AE79" s="76">
        <f t="shared" si="262"/>
        <v>-2.1857923497267784E-2</v>
      </c>
      <c r="AF79" s="76">
        <f t="shared" si="262"/>
        <v>2.5252525252525304E-2</v>
      </c>
      <c r="AG79" s="76">
        <f t="shared" si="262"/>
        <v>-7.1611253196930957E-2</v>
      </c>
      <c r="AH79" s="76">
        <f t="shared" si="262"/>
        <v>-5.2884615384615419E-2</v>
      </c>
      <c r="AI79" s="76">
        <f t="shared" si="262"/>
        <v>8.379888268156499E-3</v>
      </c>
      <c r="AJ79" s="76">
        <f t="shared" si="262"/>
        <v>6.1576354679802936E-2</v>
      </c>
      <c r="AK79" s="76">
        <f t="shared" si="262"/>
        <v>3.3057851239669311E-2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68" s="74" customFormat="1" ht="8.25" customHeight="1" x14ac:dyDescent="0.2">
      <c r="B80" s="74" t="s">
        <v>448</v>
      </c>
      <c r="C80" s="75" t="s">
        <v>362</v>
      </c>
      <c r="D80" s="75" t="s">
        <v>362</v>
      </c>
      <c r="E80" s="75" t="s">
        <v>362</v>
      </c>
      <c r="F80" s="75" t="s">
        <v>362</v>
      </c>
      <c r="G80" s="76" t="s">
        <v>362</v>
      </c>
      <c r="H80" s="76" t="s">
        <v>362</v>
      </c>
      <c r="I80" s="76" t="s">
        <v>362</v>
      </c>
      <c r="J80" s="76">
        <f t="shared" ref="J80:AK80" si="263">+J44/F44-1</f>
        <v>6.2</v>
      </c>
      <c r="K80" s="76">
        <f t="shared" si="263"/>
        <v>3.0909090909090908</v>
      </c>
      <c r="L80" s="76">
        <f t="shared" si="263"/>
        <v>3.2142857142857144</v>
      </c>
      <c r="M80" s="76">
        <f t="shared" si="263"/>
        <v>2.2727272727272729</v>
      </c>
      <c r="N80" s="76">
        <f t="shared" si="263"/>
        <v>1.75</v>
      </c>
      <c r="O80" s="76">
        <f t="shared" si="263"/>
        <v>1.4</v>
      </c>
      <c r="P80" s="76">
        <f t="shared" si="263"/>
        <v>1.3050847457627119</v>
      </c>
      <c r="Q80" s="76">
        <f t="shared" si="263"/>
        <v>1</v>
      </c>
      <c r="R80" s="76">
        <f t="shared" si="263"/>
        <v>0.54545454545454541</v>
      </c>
      <c r="S80" s="76">
        <f t="shared" si="263"/>
        <v>0.40740740740740744</v>
      </c>
      <c r="T80" s="76">
        <f t="shared" si="263"/>
        <v>0.31617647058823528</v>
      </c>
      <c r="U80" s="76">
        <f t="shared" si="263"/>
        <v>0.32638888888888884</v>
      </c>
      <c r="V80" s="76">
        <f t="shared" si="263"/>
        <v>0.3856209150326797</v>
      </c>
      <c r="W80" s="76">
        <f t="shared" si="263"/>
        <v>0.42105263157894735</v>
      </c>
      <c r="X80" s="76">
        <f t="shared" si="263"/>
        <v>0.24581005586592175</v>
      </c>
      <c r="Y80" s="76">
        <f t="shared" si="263"/>
        <v>0.19371727748691092</v>
      </c>
      <c r="Z80" s="76">
        <f t="shared" si="263"/>
        <v>0.24528301886792447</v>
      </c>
      <c r="AA80" s="76">
        <f t="shared" si="263"/>
        <v>0.27314814814814814</v>
      </c>
      <c r="AB80" s="76">
        <f t="shared" si="263"/>
        <v>0.3094170403587444</v>
      </c>
      <c r="AC80" s="76">
        <f t="shared" si="263"/>
        <v>0.36403508771929816</v>
      </c>
      <c r="AD80" s="76">
        <f t="shared" si="263"/>
        <v>0.20454545454545459</v>
      </c>
      <c r="AE80" s="76">
        <f t="shared" si="263"/>
        <v>0.18181818181818188</v>
      </c>
      <c r="AF80" s="76">
        <f t="shared" si="263"/>
        <v>0.22260273972602729</v>
      </c>
      <c r="AG80" s="76">
        <f t="shared" si="263"/>
        <v>0.112540192926045</v>
      </c>
      <c r="AH80" s="76">
        <f t="shared" si="263"/>
        <v>0.5691823899371069</v>
      </c>
      <c r="AI80" s="76">
        <f t="shared" si="263"/>
        <v>0.12615384615384606</v>
      </c>
      <c r="AJ80" s="76">
        <f t="shared" si="263"/>
        <v>3.9215686274509887E-2</v>
      </c>
      <c r="AK80" s="76">
        <f t="shared" si="263"/>
        <v>9.2485549132947931E-2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26" s="74" customFormat="1" ht="8.25" customHeight="1" x14ac:dyDescent="0.2">
      <c r="B81" s="74" t="s">
        <v>452</v>
      </c>
      <c r="C81" s="75" t="s">
        <v>362</v>
      </c>
      <c r="D81" s="75" t="s">
        <v>362</v>
      </c>
      <c r="E81" s="75" t="s">
        <v>362</v>
      </c>
      <c r="F81" s="75" t="s">
        <v>362</v>
      </c>
      <c r="G81" s="76">
        <f t="shared" ref="G81:P82" si="264">+G40/C40-1</f>
        <v>0.5862068965517242</v>
      </c>
      <c r="H81" s="76">
        <f t="shared" si="264"/>
        <v>0.75510204081632648</v>
      </c>
      <c r="I81" s="76">
        <f t="shared" si="264"/>
        <v>0.63551401869158886</v>
      </c>
      <c r="J81" s="76">
        <f t="shared" si="264"/>
        <v>0.38016528925619841</v>
      </c>
      <c r="K81" s="76">
        <f t="shared" si="264"/>
        <v>0.15942028985507251</v>
      </c>
      <c r="L81" s="76">
        <f t="shared" si="264"/>
        <v>-5.8139534883720922E-2</v>
      </c>
      <c r="M81" s="76">
        <f t="shared" si="264"/>
        <v>5.7142857142857162E-2</v>
      </c>
      <c r="N81" s="76">
        <f t="shared" si="264"/>
        <v>0.10778443113772451</v>
      </c>
      <c r="O81" s="76">
        <f t="shared" si="264"/>
        <v>0.16874999999999996</v>
      </c>
      <c r="P81" s="76">
        <f t="shared" si="264"/>
        <v>0.20987654320987659</v>
      </c>
      <c r="Q81" s="76">
        <f t="shared" ref="Q81:Z82" si="265">+Q40/M40-1</f>
        <v>-5.4054054054053502E-3</v>
      </c>
      <c r="R81" s="76">
        <f t="shared" si="265"/>
        <v>-1.6216216216216162E-2</v>
      </c>
      <c r="S81" s="76">
        <f t="shared" si="265"/>
        <v>-0.12299465240641716</v>
      </c>
      <c r="T81" s="76">
        <f t="shared" si="265"/>
        <v>-0.11734693877551017</v>
      </c>
      <c r="U81" s="76">
        <f t="shared" si="265"/>
        <v>-2.7173913043478271E-2</v>
      </c>
      <c r="V81" s="76">
        <f t="shared" si="265"/>
        <v>-8.2417582417582458E-2</v>
      </c>
      <c r="W81" s="76">
        <f t="shared" si="265"/>
        <v>1.2195121951219523E-2</v>
      </c>
      <c r="X81" s="76">
        <f t="shared" si="265"/>
        <v>-5.7803468208093012E-3</v>
      </c>
      <c r="Y81" s="76">
        <f t="shared" si="265"/>
        <v>-0.11173184357541899</v>
      </c>
      <c r="Z81" s="76">
        <f t="shared" si="265"/>
        <v>-1.19760479041916E-2</v>
      </c>
      <c r="AA81" s="76">
        <f t="shared" ref="AA81:AJ82" si="266">+AA40/W40-1</f>
        <v>-6.0240963855421326E-3</v>
      </c>
      <c r="AB81" s="76">
        <f t="shared" si="266"/>
        <v>5.8139534883721034E-3</v>
      </c>
      <c r="AC81" s="76">
        <f t="shared" si="266"/>
        <v>8.1761006289308158E-2</v>
      </c>
      <c r="AD81" s="76">
        <f t="shared" si="266"/>
        <v>9.6969696969696928E-2</v>
      </c>
      <c r="AE81" s="76">
        <f t="shared" si="266"/>
        <v>8.4848484848484951E-2</v>
      </c>
      <c r="AF81" s="76">
        <f t="shared" si="266"/>
        <v>3.4682080924855585E-2</v>
      </c>
      <c r="AG81" s="76">
        <f t="shared" si="266"/>
        <v>5.8139534883721034E-3</v>
      </c>
      <c r="AH81" s="76">
        <f t="shared" si="266"/>
        <v>-5.5248618784530357E-2</v>
      </c>
      <c r="AI81" s="76">
        <f t="shared" si="266"/>
        <v>-9.4972067039106101E-2</v>
      </c>
      <c r="AJ81" s="76">
        <f t="shared" si="266"/>
        <v>-4.4692737430167551E-2</v>
      </c>
      <c r="AK81" s="76">
        <f t="shared" ref="AK81:AK82" si="267">+AK40/AG40-1</f>
        <v>5.7803468208092568E-2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26" s="74" customFormat="1" ht="8.25" customHeight="1" x14ac:dyDescent="0.2">
      <c r="B82" s="74" t="s">
        <v>453</v>
      </c>
      <c r="C82" s="75" t="s">
        <v>362</v>
      </c>
      <c r="D82" s="75" t="s">
        <v>362</v>
      </c>
      <c r="E82" s="75" t="s">
        <v>362</v>
      </c>
      <c r="F82" s="75" t="s">
        <v>362</v>
      </c>
      <c r="G82" s="76">
        <f t="shared" si="264"/>
        <v>0.50531914893617014</v>
      </c>
      <c r="H82" s="76">
        <f t="shared" si="264"/>
        <v>0.35000000000000009</v>
      </c>
      <c r="I82" s="76">
        <f t="shared" si="264"/>
        <v>0.20384615384615379</v>
      </c>
      <c r="J82" s="76">
        <f t="shared" si="264"/>
        <v>0.6160714285714286</v>
      </c>
      <c r="K82" s="76">
        <f t="shared" si="264"/>
        <v>0.29328621908127217</v>
      </c>
      <c r="L82" s="76">
        <f t="shared" si="264"/>
        <v>0.27160493827160503</v>
      </c>
      <c r="M82" s="76">
        <f t="shared" si="264"/>
        <v>0.34185303514377008</v>
      </c>
      <c r="N82" s="76">
        <f t="shared" si="264"/>
        <v>0.27624309392265189</v>
      </c>
      <c r="O82" s="76">
        <f t="shared" si="264"/>
        <v>0.2404371584699454</v>
      </c>
      <c r="P82" s="76">
        <f t="shared" si="264"/>
        <v>0.28398058252427183</v>
      </c>
      <c r="Q82" s="76">
        <f t="shared" si="265"/>
        <v>0.34285714285714275</v>
      </c>
      <c r="R82" s="76">
        <f t="shared" si="265"/>
        <v>0.31168831168831179</v>
      </c>
      <c r="S82" s="76">
        <f t="shared" si="265"/>
        <v>0.29735682819383258</v>
      </c>
      <c r="T82" s="76">
        <f t="shared" si="265"/>
        <v>0.21550094517958418</v>
      </c>
      <c r="U82" s="76">
        <f t="shared" si="265"/>
        <v>0.15780141843971629</v>
      </c>
      <c r="V82" s="76">
        <f t="shared" si="265"/>
        <v>0.16666666666666674</v>
      </c>
      <c r="W82" s="76">
        <f t="shared" si="265"/>
        <v>4.7538200339558578E-2</v>
      </c>
      <c r="X82" s="76">
        <f t="shared" si="265"/>
        <v>-1.5552099533437058E-2</v>
      </c>
      <c r="Y82" s="76">
        <f t="shared" si="265"/>
        <v>-6.8912710566615631E-2</v>
      </c>
      <c r="Z82" s="76">
        <f t="shared" si="265"/>
        <v>0</v>
      </c>
      <c r="AA82" s="76">
        <f t="shared" si="266"/>
        <v>1.1345218800648205E-2</v>
      </c>
      <c r="AB82" s="76">
        <f t="shared" si="266"/>
        <v>0.11532385466034745</v>
      </c>
      <c r="AC82" s="76">
        <f t="shared" si="266"/>
        <v>0.13651315789473695</v>
      </c>
      <c r="AD82" s="76">
        <f t="shared" si="266"/>
        <v>4.2432814710042344E-2</v>
      </c>
      <c r="AE82" s="76">
        <f t="shared" si="266"/>
        <v>-4.8076923076922906E-3</v>
      </c>
      <c r="AF82" s="76">
        <f t="shared" si="266"/>
        <v>7.0821529745042078E-3</v>
      </c>
      <c r="AG82" s="76">
        <f t="shared" si="266"/>
        <v>-2.1707670043415339E-2</v>
      </c>
      <c r="AH82" s="76">
        <f t="shared" si="266"/>
        <v>0.11126187245590224</v>
      </c>
      <c r="AI82" s="76">
        <f t="shared" si="266"/>
        <v>-0.15942028985507251</v>
      </c>
      <c r="AJ82" s="76">
        <f t="shared" si="266"/>
        <v>-0.20815752461322079</v>
      </c>
      <c r="AK82" s="76">
        <f t="shared" si="267"/>
        <v>-0.15828402366863903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26" x14ac:dyDescent="0.2">
      <c r="B83" s="23" t="s">
        <v>454</v>
      </c>
      <c r="C83" s="33" t="s">
        <v>362</v>
      </c>
      <c r="D83" s="33" t="s">
        <v>362</v>
      </c>
      <c r="E83" s="33" t="s">
        <v>362</v>
      </c>
      <c r="F83" s="33" t="s">
        <v>362</v>
      </c>
      <c r="G83" s="33" t="s">
        <v>362</v>
      </c>
      <c r="H83" s="33" t="s">
        <v>362</v>
      </c>
      <c r="I83" s="33" t="s">
        <v>362</v>
      </c>
      <c r="J83" s="33" t="s">
        <v>362</v>
      </c>
      <c r="K83" s="33" t="s">
        <v>362</v>
      </c>
      <c r="L83" s="33" t="s">
        <v>362</v>
      </c>
      <c r="M83" s="41">
        <f t="shared" ref="M83:AK83" si="268">M5/I5-1</f>
        <v>3.1818181818181817</v>
      </c>
      <c r="N83" s="41">
        <f t="shared" si="268"/>
        <v>3</v>
      </c>
      <c r="O83" s="41">
        <f t="shared" si="268"/>
        <v>2.1428571428571428</v>
      </c>
      <c r="P83" s="41">
        <f t="shared" si="268"/>
        <v>1.1714285714285713</v>
      </c>
      <c r="Q83" s="41">
        <f t="shared" si="268"/>
        <v>0.78260869565217384</v>
      </c>
      <c r="R83" s="41">
        <f t="shared" si="268"/>
        <v>0.53571428571428581</v>
      </c>
      <c r="S83" s="41">
        <f t="shared" si="268"/>
        <v>0.33333333333333326</v>
      </c>
      <c r="T83" s="41">
        <f t="shared" si="268"/>
        <v>0.40789473684210531</v>
      </c>
      <c r="U83" s="41">
        <f t="shared" si="268"/>
        <v>0.30487804878048785</v>
      </c>
      <c r="V83" s="41">
        <f t="shared" si="268"/>
        <v>0.38372093023255816</v>
      </c>
      <c r="W83" s="41">
        <f t="shared" si="268"/>
        <v>0.48863636363636354</v>
      </c>
      <c r="X83" s="41">
        <f t="shared" si="268"/>
        <v>0.23364485981308403</v>
      </c>
      <c r="Y83" s="41">
        <f t="shared" si="268"/>
        <v>0.34579439252336441</v>
      </c>
      <c r="Z83" s="41">
        <f t="shared" si="268"/>
        <v>0.42016806722689082</v>
      </c>
      <c r="AA83" s="41">
        <f t="shared" si="268"/>
        <v>0.31297709923664119</v>
      </c>
      <c r="AB83" s="41">
        <f t="shared" si="268"/>
        <v>0.46212121212121215</v>
      </c>
      <c r="AC83" s="41">
        <f t="shared" si="268"/>
        <v>0.46527777777777768</v>
      </c>
      <c r="AD83" s="41">
        <f t="shared" si="268"/>
        <v>0.34319526627218933</v>
      </c>
      <c r="AE83" s="41">
        <f t="shared" si="268"/>
        <v>0.34302325581395343</v>
      </c>
      <c r="AF83" s="41">
        <f t="shared" si="268"/>
        <v>0.26424870466321249</v>
      </c>
      <c r="AG83" s="41">
        <f t="shared" si="268"/>
        <v>0.24644549763033186</v>
      </c>
      <c r="AH83" s="41">
        <f t="shared" si="268"/>
        <v>0.23788546255506615</v>
      </c>
      <c r="AI83" s="41">
        <f t="shared" si="268"/>
        <v>0.24242424242424243</v>
      </c>
      <c r="AJ83" s="41">
        <f t="shared" si="268"/>
        <v>0.27868852459016402</v>
      </c>
      <c r="AK83" s="41">
        <f t="shared" si="268"/>
        <v>0.20152091254752857</v>
      </c>
      <c r="AL83" s="41"/>
      <c r="AM83" s="41"/>
      <c r="AN83" s="41"/>
      <c r="AO83" s="41"/>
      <c r="AP83" s="41"/>
      <c r="AQ83" s="41"/>
      <c r="AR83" s="41"/>
      <c r="AS83" s="41"/>
      <c r="DE83" s="37"/>
    </row>
    <row r="84" spans="1:126" x14ac:dyDescent="0.2">
      <c r="B84" s="23" t="s">
        <v>455</v>
      </c>
      <c r="C84" s="33" t="s">
        <v>362</v>
      </c>
      <c r="D84" s="33" t="s">
        <v>362</v>
      </c>
      <c r="E84" s="33" t="s">
        <v>362</v>
      </c>
      <c r="F84" s="33" t="s">
        <v>362</v>
      </c>
      <c r="G84" s="33" t="s">
        <v>362</v>
      </c>
      <c r="H84" s="33" t="s">
        <v>362</v>
      </c>
      <c r="I84" s="33" t="s">
        <v>362</v>
      </c>
      <c r="J84" s="33" t="s">
        <v>362</v>
      </c>
      <c r="K84" s="33" t="s">
        <v>362</v>
      </c>
      <c r="L84" s="33" t="s">
        <v>362</v>
      </c>
      <c r="M84" s="41" t="s">
        <v>362</v>
      </c>
      <c r="N84" s="41" t="s">
        <v>362</v>
      </c>
      <c r="O84" s="41" t="s">
        <v>362</v>
      </c>
      <c r="P84" s="41" t="s">
        <v>362</v>
      </c>
      <c r="Q84" s="41" t="s">
        <v>362</v>
      </c>
      <c r="R84" s="41" t="s">
        <v>362</v>
      </c>
      <c r="S84" s="41" t="s">
        <v>362</v>
      </c>
      <c r="T84" s="41" t="s">
        <v>362</v>
      </c>
      <c r="U84" s="41" t="s">
        <v>362</v>
      </c>
      <c r="V84" s="41" t="s">
        <v>362</v>
      </c>
      <c r="W84" s="41" t="s">
        <v>362</v>
      </c>
      <c r="X84" s="41" t="s">
        <v>362</v>
      </c>
      <c r="Y84" s="41" t="s">
        <v>362</v>
      </c>
      <c r="Z84" s="41">
        <f t="shared" ref="Z84:AK84" si="269">Z36/V36-1</f>
        <v>17.25</v>
      </c>
      <c r="AA84" s="41">
        <f t="shared" si="269"/>
        <v>7.1</v>
      </c>
      <c r="AB84" s="41">
        <f t="shared" si="269"/>
        <v>3</v>
      </c>
      <c r="AC84" s="41">
        <f t="shared" si="269"/>
        <v>1.7021276595744679</v>
      </c>
      <c r="AD84" s="41">
        <f t="shared" si="269"/>
        <v>1.095890410958904</v>
      </c>
      <c r="AE84" s="41">
        <f t="shared" si="269"/>
        <v>0.98765432098765427</v>
      </c>
      <c r="AF84" s="41">
        <f t="shared" si="269"/>
        <v>0.53571428571428581</v>
      </c>
      <c r="AG84" s="41">
        <f t="shared" si="269"/>
        <v>0.40157480314960625</v>
      </c>
      <c r="AH84" s="41">
        <f t="shared" si="269"/>
        <v>0.29411764705882359</v>
      </c>
      <c r="AI84" s="41">
        <f t="shared" si="269"/>
        <v>0.25465838509316763</v>
      </c>
      <c r="AJ84" s="41">
        <f t="shared" si="269"/>
        <v>0.39534883720930236</v>
      </c>
      <c r="AK84" s="41">
        <f t="shared" si="269"/>
        <v>0.18539325842696619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26" x14ac:dyDescent="0.2">
      <c r="B85" s="23"/>
      <c r="G85" s="41"/>
      <c r="H85" s="41"/>
      <c r="I85" s="41"/>
      <c r="J85" s="41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DE85" s="37"/>
    </row>
    <row r="86" spans="1:126" x14ac:dyDescent="0.2">
      <c r="B86" s="1" t="s">
        <v>166</v>
      </c>
      <c r="C86" s="39">
        <f t="shared" ref="C86:AF86" si="270">C56/C54</f>
        <v>0.7860050093926112</v>
      </c>
      <c r="D86" s="39">
        <f t="shared" si="270"/>
        <v>0.79144986640416259</v>
      </c>
      <c r="E86" s="39">
        <f t="shared" si="270"/>
        <v>0.78479175736467854</v>
      </c>
      <c r="F86" s="39">
        <f t="shared" si="270"/>
        <v>0.7823714012825761</v>
      </c>
      <c r="G86" s="39">
        <f t="shared" si="270"/>
        <v>0.78398946290062932</v>
      </c>
      <c r="H86" s="39">
        <f t="shared" si="270"/>
        <v>0.78069930069930071</v>
      </c>
      <c r="I86" s="39">
        <f t="shared" si="270"/>
        <v>0.74530598052851182</v>
      </c>
      <c r="J86" s="39">
        <f t="shared" si="270"/>
        <v>0.75062567036110117</v>
      </c>
      <c r="K86" s="39">
        <f t="shared" si="270"/>
        <v>0.78218465539661897</v>
      </c>
      <c r="L86" s="39">
        <f t="shared" si="270"/>
        <v>0.78155408263996617</v>
      </c>
      <c r="M86" s="39">
        <f t="shared" si="270"/>
        <v>0.79337579617834397</v>
      </c>
      <c r="N86" s="39">
        <f t="shared" si="270"/>
        <v>0.78600871511011661</v>
      </c>
      <c r="O86" s="39">
        <f t="shared" si="270"/>
        <v>0.79638731875153601</v>
      </c>
      <c r="P86" s="39">
        <f t="shared" si="270"/>
        <v>0.80850558327393685</v>
      </c>
      <c r="Q86" s="39">
        <f t="shared" si="270"/>
        <v>0.81573426573426577</v>
      </c>
      <c r="R86" s="39">
        <f t="shared" si="270"/>
        <v>0</v>
      </c>
      <c r="S86" s="39">
        <f t="shared" si="270"/>
        <v>0.82965641952983726</v>
      </c>
      <c r="T86" s="39">
        <f t="shared" si="270"/>
        <v>0.83589801190609903</v>
      </c>
      <c r="U86" s="39">
        <f t="shared" si="270"/>
        <v>0.82827616534740545</v>
      </c>
      <c r="V86" s="39">
        <f t="shared" si="270"/>
        <v>0.83815224757171902</v>
      </c>
      <c r="W86" s="39">
        <f t="shared" si="270"/>
        <v>0.72831287705429582</v>
      </c>
      <c r="X86" s="39">
        <f t="shared" si="270"/>
        <v>0.84932153392330378</v>
      </c>
      <c r="Y86" s="39">
        <f t="shared" si="270"/>
        <v>0.73322217590662775</v>
      </c>
      <c r="Z86" s="39">
        <f t="shared" si="270"/>
        <v>0.72334181177851697</v>
      </c>
      <c r="AA86" s="55">
        <f t="shared" si="270"/>
        <v>0.73198962282977453</v>
      </c>
      <c r="AB86" s="39">
        <f t="shared" si="270"/>
        <v>0.72745675377254326</v>
      </c>
      <c r="AC86" s="39">
        <f t="shared" si="270"/>
        <v>0.73676333021515439</v>
      </c>
      <c r="AD86" s="39">
        <f t="shared" si="270"/>
        <v>0.74935826916024939</v>
      </c>
      <c r="AE86" s="39">
        <f t="shared" si="270"/>
        <v>0.7518567891830128</v>
      </c>
      <c r="AF86" s="39">
        <f t="shared" si="270"/>
        <v>0.71978392977717753</v>
      </c>
      <c r="AG86" s="39">
        <v>0.73</v>
      </c>
      <c r="AH86" s="39">
        <v>0.73</v>
      </c>
      <c r="AI86" s="39">
        <v>0.73</v>
      </c>
      <c r="AJ86" s="39">
        <v>0.73</v>
      </c>
      <c r="AK86" s="39">
        <v>0.73</v>
      </c>
      <c r="AL86" s="39"/>
      <c r="AM86" s="39"/>
      <c r="AN86" s="39"/>
      <c r="AO86" s="39"/>
      <c r="AP86" s="39"/>
      <c r="AQ86" s="39"/>
      <c r="AR86" s="39"/>
      <c r="AS86" s="39"/>
      <c r="BK86" s="57">
        <f t="shared" ref="BK86:BS86" si="271">+BK56/BK54</f>
        <v>0.79371115851961782</v>
      </c>
      <c r="BL86" s="57">
        <f t="shared" si="271"/>
        <v>0.73353736795340108</v>
      </c>
      <c r="BM86" s="57">
        <f t="shared" si="271"/>
        <v>0.7626185958254269</v>
      </c>
      <c r="BN86" s="57">
        <f t="shared" si="271"/>
        <v>0.79806649801228768</v>
      </c>
      <c r="BO86" s="57">
        <f t="shared" si="271"/>
        <v>0.78108913573557304</v>
      </c>
      <c r="BP86" s="57">
        <f t="shared" si="271"/>
        <v>0.79808596086473549</v>
      </c>
      <c r="BQ86" s="57">
        <f t="shared" si="271"/>
        <v>0.80290777701307636</v>
      </c>
      <c r="BR86" s="57">
        <f t="shared" si="271"/>
        <v>0.80342094284522314</v>
      </c>
      <c r="BS86" s="57">
        <f t="shared" si="271"/>
        <v>0.79232486263736268</v>
      </c>
      <c r="BT86" s="57">
        <f>+BT56/BT54</f>
        <v>0.78337679818288886</v>
      </c>
      <c r="BU86" s="57">
        <f t="shared" ref="BU86:BZ86" si="272">+BU56/BU54</f>
        <v>0.79000000000000015</v>
      </c>
      <c r="BV86" s="57">
        <f t="shared" si="272"/>
        <v>0.77266351043310544</v>
      </c>
      <c r="BW86" s="57">
        <f t="shared" si="272"/>
        <v>0.78999999999999992</v>
      </c>
      <c r="BX86" s="57">
        <f t="shared" si="272"/>
        <v>0.79</v>
      </c>
      <c r="BY86" s="57">
        <f t="shared" si="272"/>
        <v>0.79000000000000015</v>
      </c>
      <c r="BZ86" s="57">
        <f t="shared" si="272"/>
        <v>0.79</v>
      </c>
      <c r="CA86" s="57"/>
      <c r="CB86" s="57"/>
      <c r="CC86" s="57"/>
      <c r="CD86" s="57"/>
      <c r="CE86" s="57"/>
      <c r="CF86" s="57"/>
      <c r="CG86" s="57"/>
      <c r="CH86" s="57"/>
      <c r="CL86" s="39">
        <f>CL56/CL54</f>
        <v>0.71811611098158079</v>
      </c>
      <c r="CM86" s="39">
        <f>CM56/CM54</f>
        <v>0.72641412585976795</v>
      </c>
      <c r="CN86" s="39">
        <f>CN56/CN54</f>
        <v>0.74297606659729454</v>
      </c>
      <c r="CO86" s="39">
        <f>CO56/CO54</f>
        <v>0.74390462531373247</v>
      </c>
      <c r="CP86" s="39">
        <f>CP56/CP54</f>
        <v>0.73460089371769033</v>
      </c>
      <c r="CQ86" s="39"/>
      <c r="CR86" s="39"/>
      <c r="CS86" s="39"/>
      <c r="CT86" s="39"/>
      <c r="CU86" s="39"/>
      <c r="CV86" s="39"/>
      <c r="CW86" s="39"/>
      <c r="CX86" s="39"/>
      <c r="CY86" s="39">
        <f t="shared" ref="CY86:DF86" si="273">CY56/CY54</f>
        <v>0</v>
      </c>
      <c r="CZ86" s="39">
        <f t="shared" si="273"/>
        <v>0</v>
      </c>
      <c r="DA86" s="39">
        <f t="shared" si="273"/>
        <v>0</v>
      </c>
      <c r="DB86" s="39">
        <f t="shared" si="273"/>
        <v>0</v>
      </c>
      <c r="DC86" s="39">
        <f t="shared" si="273"/>
        <v>0</v>
      </c>
      <c r="DD86" s="39">
        <f t="shared" si="273"/>
        <v>0.68</v>
      </c>
      <c r="DE86" s="39">
        <f t="shared" si="273"/>
        <v>0.60079964460239899</v>
      </c>
      <c r="DF86" s="55">
        <f t="shared" si="273"/>
        <v>0.8330203710026175</v>
      </c>
      <c r="DG86" s="55">
        <v>0.73</v>
      </c>
      <c r="DH86" s="55">
        <f>DH56/DH54</f>
        <v>0.73649030314441721</v>
      </c>
      <c r="DI86" s="39">
        <v>0.73</v>
      </c>
      <c r="DJ86" s="39">
        <v>0.73</v>
      </c>
      <c r="DK86" s="39">
        <v>0.73</v>
      </c>
      <c r="DL86" s="39">
        <v>0.73</v>
      </c>
      <c r="DM86" s="39">
        <v>0.74</v>
      </c>
      <c r="DN86" s="39">
        <v>0.75</v>
      </c>
      <c r="DO86" s="39">
        <v>0.75</v>
      </c>
      <c r="DP86" s="39">
        <v>0.75</v>
      </c>
      <c r="DQ86" s="39">
        <v>0.75</v>
      </c>
      <c r="DR86" s="39">
        <v>0.75</v>
      </c>
      <c r="DS86" s="39">
        <v>0.75</v>
      </c>
      <c r="DT86" s="39">
        <v>0.75</v>
      </c>
      <c r="DU86" s="39">
        <v>0.75</v>
      </c>
      <c r="DV86" s="39">
        <v>0.75</v>
      </c>
    </row>
    <row r="87" spans="1:126" x14ac:dyDescent="0.2">
      <c r="B87" s="23" t="s">
        <v>374</v>
      </c>
      <c r="C87" s="39"/>
      <c r="D87" s="39"/>
      <c r="E87" s="39"/>
      <c r="F87" s="39"/>
      <c r="G87" s="39"/>
      <c r="H87" s="39"/>
      <c r="I87" s="39"/>
      <c r="J87" s="39"/>
      <c r="K87" s="39">
        <f t="shared" ref="K87:AK87" si="274">+K57/K54</f>
        <v>0.18416775032509752</v>
      </c>
      <c r="L87" s="39">
        <f t="shared" si="274"/>
        <v>0.17049781413058807</v>
      </c>
      <c r="M87" s="39">
        <f t="shared" si="274"/>
        <v>0.15464968152866243</v>
      </c>
      <c r="N87" s="39">
        <f t="shared" si="274"/>
        <v>0.15816747144034859</v>
      </c>
      <c r="O87" s="39">
        <f t="shared" si="274"/>
        <v>0.1502826247235193</v>
      </c>
      <c r="P87" s="39">
        <f t="shared" si="274"/>
        <v>0.13578047042052743</v>
      </c>
      <c r="Q87" s="39">
        <f t="shared" si="274"/>
        <v>0.13648018648018648</v>
      </c>
      <c r="R87" s="39">
        <f t="shared" si="274"/>
        <v>0.13570518020628114</v>
      </c>
      <c r="S87" s="39">
        <f t="shared" si="274"/>
        <v>0.12827004219409283</v>
      </c>
      <c r="T87" s="39">
        <f t="shared" si="274"/>
        <v>0.12097045939570931</v>
      </c>
      <c r="U87" s="39">
        <f t="shared" si="274"/>
        <v>0.12280123131046614</v>
      </c>
      <c r="V87" s="39">
        <f t="shared" si="274"/>
        <v>0.13214366388073187</v>
      </c>
      <c r="W87" s="39">
        <f t="shared" si="274"/>
        <v>0.18722696068233827</v>
      </c>
      <c r="X87" s="39">
        <f t="shared" si="274"/>
        <v>0.10548672566371682</v>
      </c>
      <c r="Y87" s="39">
        <f t="shared" si="274"/>
        <v>0.18591079616506878</v>
      </c>
      <c r="Z87" s="39">
        <f t="shared" si="274"/>
        <v>0.19565642731363725</v>
      </c>
      <c r="AA87" s="55">
        <f t="shared" si="274"/>
        <v>0.18519257633206945</v>
      </c>
      <c r="AB87" s="39">
        <f t="shared" si="274"/>
        <v>0.19138755980861244</v>
      </c>
      <c r="AC87" s="39">
        <f t="shared" si="274"/>
        <v>0.19064546304957905</v>
      </c>
      <c r="AD87" s="39">
        <f t="shared" si="274"/>
        <v>0.22295562889622295</v>
      </c>
      <c r="AE87" s="39">
        <f t="shared" si="274"/>
        <v>0.19082079603884974</v>
      </c>
      <c r="AF87" s="39">
        <f t="shared" si="274"/>
        <v>0.22597344136844474</v>
      </c>
      <c r="AG87" s="39">
        <f t="shared" si="274"/>
        <v>0.77649892933618847</v>
      </c>
      <c r="AH87" s="39">
        <f t="shared" si="274"/>
        <v>0.27272727272727271</v>
      </c>
      <c r="AI87" s="39">
        <f t="shared" si="274"/>
        <v>0.25946228138867139</v>
      </c>
      <c r="AJ87" s="39">
        <f t="shared" si="274"/>
        <v>0.2574110671936759</v>
      </c>
      <c r="AK87" s="39">
        <f t="shared" si="274"/>
        <v>0.24108241082410825</v>
      </c>
      <c r="AL87" s="39"/>
      <c r="AM87" s="39"/>
      <c r="AN87" s="39"/>
      <c r="AO87" s="39"/>
      <c r="AP87" s="39"/>
      <c r="AQ87" s="39"/>
      <c r="AR87" s="39"/>
      <c r="AS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55">
        <f t="shared" ref="DF87:DV87" si="275">DF57/DF54</f>
        <v>0.12598156367360874</v>
      </c>
      <c r="DG87" s="55">
        <f t="shared" si="275"/>
        <v>0.1589409684791514</v>
      </c>
      <c r="DH87" s="55">
        <f t="shared" si="275"/>
        <v>0.19784409715684428</v>
      </c>
      <c r="DI87" s="39">
        <f t="shared" si="275"/>
        <v>0.22725384177575411</v>
      </c>
      <c r="DJ87" s="39">
        <f t="shared" si="275"/>
        <v>0.28388765609037803</v>
      </c>
      <c r="DK87" s="39">
        <f t="shared" si="275"/>
        <v>0.28204272850367079</v>
      </c>
      <c r="DL87" s="39">
        <f t="shared" si="275"/>
        <v>0.26104469891022958</v>
      </c>
      <c r="DM87" s="39">
        <f t="shared" si="275"/>
        <v>0.28286629935014079</v>
      </c>
      <c r="DN87" s="39">
        <f t="shared" si="275"/>
        <v>0.15857337655980985</v>
      </c>
      <c r="DO87" s="39">
        <f t="shared" si="275"/>
        <v>2.8450947725749076E-2</v>
      </c>
      <c r="DP87" s="39">
        <f t="shared" si="275"/>
        <v>1.2275422291845953E-2</v>
      </c>
      <c r="DQ87" s="39">
        <f t="shared" si="275"/>
        <v>0</v>
      </c>
      <c r="DR87" s="39">
        <f t="shared" si="275"/>
        <v>0</v>
      </c>
      <c r="DS87" s="39">
        <f t="shared" si="275"/>
        <v>0</v>
      </c>
      <c r="DT87" s="39">
        <f t="shared" si="275"/>
        <v>0</v>
      </c>
      <c r="DU87" s="39">
        <f t="shared" si="275"/>
        <v>0</v>
      </c>
      <c r="DV87" s="39">
        <f t="shared" si="275"/>
        <v>0</v>
      </c>
    </row>
    <row r="88" spans="1:126" x14ac:dyDescent="0.2">
      <c r="B88" s="23" t="s">
        <v>375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276">+K58/K54</f>
        <v>4.3563068920676205E-2</v>
      </c>
      <c r="L88" s="39">
        <f t="shared" si="276"/>
        <v>5.1896770554223662E-2</v>
      </c>
      <c r="M88" s="39">
        <f t="shared" si="276"/>
        <v>4.4713375796178345E-2</v>
      </c>
      <c r="N88" s="39">
        <f t="shared" si="276"/>
        <v>5.688375927452597E-2</v>
      </c>
      <c r="O88" s="39">
        <f t="shared" si="276"/>
        <v>4.0550503809289755E-2</v>
      </c>
      <c r="P88" s="39">
        <f t="shared" si="276"/>
        <v>4.9893086243763367E-2</v>
      </c>
      <c r="Q88" s="39">
        <f t="shared" si="276"/>
        <v>4.2191142191142193E-2</v>
      </c>
      <c r="R88" s="39">
        <f t="shared" si="276"/>
        <v>4.1951558697415695E-2</v>
      </c>
      <c r="S88" s="39">
        <f t="shared" si="276"/>
        <v>3.9059674502712478E-2</v>
      </c>
      <c r="T88" s="39">
        <f t="shared" si="276"/>
        <v>4.4928675727282937E-2</v>
      </c>
      <c r="U88" s="39">
        <f t="shared" si="276"/>
        <v>3.9687774846086189E-2</v>
      </c>
      <c r="V88" s="39">
        <f t="shared" si="276"/>
        <v>3.7723063022362772E-2</v>
      </c>
      <c r="W88" s="39">
        <f t="shared" si="276"/>
        <v>4.4102350738506345E-2</v>
      </c>
      <c r="X88" s="39">
        <f t="shared" si="276"/>
        <v>3.103244837758112E-2</v>
      </c>
      <c r="Y88" s="39">
        <f t="shared" si="276"/>
        <v>4.8145060441850768E-2</v>
      </c>
      <c r="Z88" s="39">
        <f t="shared" si="276"/>
        <v>5.3022891801995695E-2</v>
      </c>
      <c r="AA88" s="55">
        <f t="shared" si="276"/>
        <v>4.2706046697266013E-2</v>
      </c>
      <c r="AB88" s="39">
        <f t="shared" si="276"/>
        <v>4.6558704453441298E-2</v>
      </c>
      <c r="AC88" s="39">
        <f t="shared" si="276"/>
        <v>3.8353601496725911E-2</v>
      </c>
      <c r="AD88" s="39">
        <f t="shared" si="276"/>
        <v>5.2255225522552254E-2</v>
      </c>
      <c r="AE88" s="39">
        <f t="shared" si="276"/>
        <v>3.6945343744048752E-2</v>
      </c>
      <c r="AF88" s="39">
        <f t="shared" si="276"/>
        <v>5.0416385325230698E-2</v>
      </c>
      <c r="AG88" s="39">
        <f t="shared" si="276"/>
        <v>4.470021413276231E-2</v>
      </c>
      <c r="AH88" s="39">
        <f t="shared" si="276"/>
        <v>5.0584586017656884E-2</v>
      </c>
      <c r="AI88" s="39">
        <f t="shared" si="276"/>
        <v>4.9334377447141739E-2</v>
      </c>
      <c r="AJ88" s="39">
        <f t="shared" si="276"/>
        <v>5.3853754940711464E-2</v>
      </c>
      <c r="AK88" s="39">
        <f t="shared" si="276"/>
        <v>4.7724477244772447E-2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si="277">DF58/DF54</f>
        <v>4.0372140662342099E-2</v>
      </c>
      <c r="DG88" s="55">
        <f t="shared" si="277"/>
        <v>4.2128411883920483E-2</v>
      </c>
      <c r="DH88" s="55">
        <f t="shared" si="277"/>
        <v>4.5048013556768969E-2</v>
      </c>
      <c r="DI88" s="39">
        <f t="shared" si="277"/>
        <v>6.0000000000000005E-2</v>
      </c>
      <c r="DJ88" s="39">
        <f t="shared" si="277"/>
        <v>0.06</v>
      </c>
      <c r="DK88" s="39">
        <f t="shared" si="277"/>
        <v>0.06</v>
      </c>
      <c r="DL88" s="39">
        <f t="shared" si="277"/>
        <v>0.06</v>
      </c>
      <c r="DM88" s="39">
        <f t="shared" si="277"/>
        <v>0.06</v>
      </c>
      <c r="DN88" s="39">
        <f t="shared" si="277"/>
        <v>0.06</v>
      </c>
      <c r="DO88" s="39">
        <f t="shared" si="277"/>
        <v>5.9999999999999991E-2</v>
      </c>
      <c r="DP88" s="39">
        <f t="shared" si="277"/>
        <v>6.0000000000000005E-2</v>
      </c>
      <c r="DQ88" s="39">
        <f t="shared" si="277"/>
        <v>0</v>
      </c>
      <c r="DR88" s="39">
        <f t="shared" si="277"/>
        <v>0</v>
      </c>
      <c r="DS88" s="39">
        <f t="shared" si="277"/>
        <v>0</v>
      </c>
      <c r="DT88" s="39">
        <f t="shared" si="277"/>
        <v>0</v>
      </c>
      <c r="DU88" s="39">
        <f t="shared" si="277"/>
        <v>0</v>
      </c>
      <c r="DV88" s="39">
        <f t="shared" si="277"/>
        <v>0</v>
      </c>
    </row>
    <row r="89" spans="1:126" x14ac:dyDescent="0.2">
      <c r="B89" s="23" t="s">
        <v>376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si="278">+K59/K54</f>
        <v>0.12857607282184655</v>
      </c>
      <c r="L89" s="39">
        <f t="shared" si="278"/>
        <v>0.10971654209561416</v>
      </c>
      <c r="M89" s="39">
        <f t="shared" si="278"/>
        <v>0.10535031847133758</v>
      </c>
      <c r="N89" s="39">
        <f t="shared" si="278"/>
        <v>0.10693675656577553</v>
      </c>
      <c r="O89" s="39">
        <f t="shared" si="278"/>
        <v>9.7689850086016217E-2</v>
      </c>
      <c r="P89" s="39">
        <f t="shared" si="278"/>
        <v>9.4440484675694936E-2</v>
      </c>
      <c r="Q89" s="39">
        <f t="shared" si="278"/>
        <v>9.289044289044289E-2</v>
      </c>
      <c r="R89" s="39">
        <f t="shared" si="278"/>
        <v>9.2362962104531238E-2</v>
      </c>
      <c r="S89" s="39">
        <f t="shared" si="278"/>
        <v>0.11127185051235684</v>
      </c>
      <c r="T89" s="39">
        <f t="shared" si="278"/>
        <v>9.3114680444793888E-2</v>
      </c>
      <c r="U89" s="39">
        <f t="shared" si="278"/>
        <v>9.2128408091468772E-2</v>
      </c>
      <c r="V89" s="39">
        <f t="shared" si="278"/>
        <v>0.12514117912807771</v>
      </c>
      <c r="W89" s="39">
        <f t="shared" si="278"/>
        <v>0.18930726024547534</v>
      </c>
      <c r="X89" s="39">
        <f t="shared" si="278"/>
        <v>9.6991150442477872E-2</v>
      </c>
      <c r="Y89" s="39">
        <f t="shared" si="278"/>
        <v>0.17173822426010837</v>
      </c>
      <c r="Z89" s="39">
        <f t="shared" si="278"/>
        <v>0.19761299158677362</v>
      </c>
      <c r="AA89" s="55">
        <f t="shared" si="278"/>
        <v>0.18658950309319497</v>
      </c>
      <c r="AB89" s="39">
        <f t="shared" si="278"/>
        <v>0.16985645933014354</v>
      </c>
      <c r="AC89" s="39">
        <f t="shared" si="278"/>
        <v>0.18203928905519176</v>
      </c>
      <c r="AD89" s="39">
        <f t="shared" si="278"/>
        <v>0.18481848184818481</v>
      </c>
      <c r="AE89" s="39">
        <f t="shared" si="278"/>
        <v>0.1731098838316511</v>
      </c>
      <c r="AF89" s="39">
        <f t="shared" si="278"/>
        <v>0.216520369119964</v>
      </c>
      <c r="AG89" s="39">
        <f t="shared" si="278"/>
        <v>0.25455032119914345</v>
      </c>
      <c r="AH89" s="39">
        <f t="shared" si="278"/>
        <v>0.2581722739203054</v>
      </c>
      <c r="AI89" s="39">
        <f t="shared" si="278"/>
        <v>0.2427564604541895</v>
      </c>
      <c r="AJ89" s="39">
        <f t="shared" si="278"/>
        <v>0.2349308300395257</v>
      </c>
      <c r="AK89" s="39">
        <f t="shared" si="278"/>
        <v>0.21968019680196801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/>
      <c r="DG89" s="55"/>
      <c r="DH89" s="55">
        <f t="shared" ref="DH89:DV89" si="279">+DH59/DH54</f>
        <v>0.18070984748634908</v>
      </c>
      <c r="DI89" s="39">
        <f t="shared" si="279"/>
        <v>0</v>
      </c>
      <c r="DJ89" s="39">
        <f t="shared" si="279"/>
        <v>0</v>
      </c>
      <c r="DK89" s="39">
        <f t="shared" si="279"/>
        <v>0</v>
      </c>
      <c r="DL89" s="39">
        <f t="shared" si="279"/>
        <v>0</v>
      </c>
      <c r="DM89" s="39">
        <f t="shared" si="279"/>
        <v>0</v>
      </c>
      <c r="DN89" s="39">
        <f t="shared" si="279"/>
        <v>0</v>
      </c>
      <c r="DO89" s="39">
        <f t="shared" si="279"/>
        <v>0</v>
      </c>
      <c r="DP89" s="39">
        <f t="shared" si="279"/>
        <v>0</v>
      </c>
      <c r="DQ89" s="39">
        <f t="shared" si="279"/>
        <v>0</v>
      </c>
      <c r="DR89" s="39">
        <f t="shared" si="279"/>
        <v>0</v>
      </c>
      <c r="DS89" s="39">
        <f t="shared" si="279"/>
        <v>0</v>
      </c>
      <c r="DT89" s="39">
        <f t="shared" si="279"/>
        <v>0</v>
      </c>
      <c r="DU89" s="39">
        <f t="shared" si="279"/>
        <v>0</v>
      </c>
      <c r="DV89" s="39">
        <f t="shared" si="279"/>
        <v>0</v>
      </c>
    </row>
    <row r="90" spans="1:126" x14ac:dyDescent="0.2">
      <c r="B90" s="23" t="s">
        <v>395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si="280">+K61/K54</f>
        <v>0.42587776332899868</v>
      </c>
      <c r="L90" s="39">
        <f t="shared" si="280"/>
        <v>0.44944295585954025</v>
      </c>
      <c r="M90" s="39">
        <f t="shared" si="280"/>
        <v>0.48866242038216562</v>
      </c>
      <c r="N90" s="39">
        <f t="shared" si="280"/>
        <v>0.46402072782946652</v>
      </c>
      <c r="O90" s="39">
        <f t="shared" si="280"/>
        <v>0.50786434013271076</v>
      </c>
      <c r="P90" s="39">
        <f t="shared" si="280"/>
        <v>0.5283915419339511</v>
      </c>
      <c r="Q90" s="39">
        <f t="shared" si="280"/>
        <v>0.54417249417249414</v>
      </c>
      <c r="R90" s="39">
        <f t="shared" si="280"/>
        <v>-0.27001970100822809</v>
      </c>
      <c r="S90" s="39">
        <f t="shared" si="280"/>
        <v>0.55105485232067508</v>
      </c>
      <c r="T90" s="39">
        <f t="shared" si="280"/>
        <v>0.57688419633831289</v>
      </c>
      <c r="U90" s="39">
        <f t="shared" si="280"/>
        <v>0.57365875109938436</v>
      </c>
      <c r="V90" s="39">
        <f t="shared" si="280"/>
        <v>0.54314434154054669</v>
      </c>
      <c r="W90" s="39">
        <f t="shared" si="280"/>
        <v>0.30767630538797586</v>
      </c>
      <c r="X90" s="39">
        <f t="shared" si="280"/>
        <v>0.61581120943952805</v>
      </c>
      <c r="Y90" s="39">
        <f t="shared" si="280"/>
        <v>0.32742809503959985</v>
      </c>
      <c r="Z90" s="39">
        <f t="shared" si="280"/>
        <v>0.27704950107611037</v>
      </c>
      <c r="AA90" s="55">
        <f t="shared" si="280"/>
        <v>0.31750149670724409</v>
      </c>
      <c r="AB90" s="39">
        <f t="shared" si="280"/>
        <v>0.31965403018034599</v>
      </c>
      <c r="AC90" s="39">
        <f t="shared" si="280"/>
        <v>0.32572497661365762</v>
      </c>
      <c r="AD90" s="39">
        <f t="shared" si="280"/>
        <v>0.28932893289328931</v>
      </c>
      <c r="AE90" s="39">
        <f t="shared" si="280"/>
        <v>0.35098076556846314</v>
      </c>
      <c r="AF90" s="39">
        <f t="shared" si="280"/>
        <v>0.22687373396353816</v>
      </c>
      <c r="AG90" s="39">
        <f t="shared" si="280"/>
        <v>-0.33993576017130622</v>
      </c>
      <c r="AH90" s="39">
        <f t="shared" si="280"/>
        <v>0.16201383917919351</v>
      </c>
      <c r="AI90" s="39">
        <f t="shared" si="280"/>
        <v>0.17097363612633776</v>
      </c>
      <c r="AJ90" s="39">
        <f t="shared" si="280"/>
        <v>0.1800889328063241</v>
      </c>
      <c r="AK90" s="39">
        <f t="shared" si="280"/>
        <v>0.20246002460024601</v>
      </c>
      <c r="AL90" s="39"/>
      <c r="AM90" s="39"/>
      <c r="AN90" s="39"/>
      <c r="AO90" s="39"/>
      <c r="AP90" s="39"/>
      <c r="AQ90" s="39"/>
      <c r="AR90" s="39"/>
      <c r="AS90" s="39"/>
      <c r="BK90" s="57">
        <f t="shared" ref="BK90:BS90" si="281">+BK61/BK54</f>
        <v>0.42472868936091274</v>
      </c>
      <c r="BL90" s="57">
        <f t="shared" si="281"/>
        <v>0.32382268733339914</v>
      </c>
      <c r="BM90" s="57">
        <f t="shared" si="281"/>
        <v>0.36366223908918405</v>
      </c>
      <c r="BN90" s="57">
        <f t="shared" si="281"/>
        <v>0.34477773762197328</v>
      </c>
      <c r="BO90" s="57">
        <f t="shared" si="281"/>
        <v>0.43023570848008669</v>
      </c>
      <c r="BP90" s="57">
        <f t="shared" si="281"/>
        <v>0.44527044347603179</v>
      </c>
      <c r="BQ90" s="57">
        <f t="shared" si="281"/>
        <v>0.36940812112869925</v>
      </c>
      <c r="BR90" s="57">
        <f t="shared" si="281"/>
        <v>0.38965373383395913</v>
      </c>
      <c r="BS90" s="57">
        <f t="shared" si="281"/>
        <v>0.45218063186813184</v>
      </c>
      <c r="BT90" s="57">
        <f>+BT61/BT54</f>
        <v>0.43989231934045597</v>
      </c>
      <c r="BU90" s="57">
        <f t="shared" ref="BU90:BZ90" si="282">+BU61/BU54</f>
        <v>0.33019789623818868</v>
      </c>
      <c r="BV90" s="57">
        <f>+BV61/BV54</f>
        <v>0.35393652463615644</v>
      </c>
      <c r="BW90" s="57">
        <f t="shared" si="282"/>
        <v>0.43999558966216806</v>
      </c>
      <c r="BX90" s="57">
        <f t="shared" si="282"/>
        <v>0.41511847496882243</v>
      </c>
      <c r="BY90" s="57">
        <f t="shared" si="282"/>
        <v>0.32353820900966634</v>
      </c>
      <c r="BZ90" s="57">
        <f t="shared" si="282"/>
        <v>0.40130173390258778</v>
      </c>
      <c r="CA90" s="57"/>
      <c r="CB90" s="57"/>
      <c r="CC90" s="57"/>
      <c r="CD90" s="57"/>
      <c r="CE90" s="57"/>
      <c r="CF90" s="57"/>
      <c r="CG90" s="57"/>
      <c r="CH90" s="57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283">+DH61/DH54</f>
        <v>0.31288834494445489</v>
      </c>
      <c r="DI90" s="39">
        <f t="shared" si="283"/>
        <v>0.4427461582242459</v>
      </c>
      <c r="DJ90" s="39">
        <f t="shared" si="283"/>
        <v>0.38611234390962196</v>
      </c>
      <c r="DK90" s="39">
        <f t="shared" si="283"/>
        <v>0.38795727149632914</v>
      </c>
      <c r="DL90" s="39">
        <f t="shared" si="283"/>
        <v>0.40895530108977041</v>
      </c>
      <c r="DM90" s="39">
        <f t="shared" si="283"/>
        <v>0.3971337006498592</v>
      </c>
      <c r="DN90" s="39">
        <f t="shared" si="283"/>
        <v>0.5314266234401902</v>
      </c>
      <c r="DO90" s="39">
        <f t="shared" si="283"/>
        <v>0.66154905227425087</v>
      </c>
      <c r="DP90" s="39">
        <f t="shared" si="283"/>
        <v>0.67772457770815397</v>
      </c>
      <c r="DQ90" s="39">
        <f t="shared" si="283"/>
        <v>0</v>
      </c>
      <c r="DR90" s="39">
        <f t="shared" si="283"/>
        <v>0</v>
      </c>
      <c r="DS90" s="39">
        <f t="shared" si="283"/>
        <v>0</v>
      </c>
      <c r="DT90" s="39">
        <f t="shared" si="283"/>
        <v>0</v>
      </c>
      <c r="DU90" s="39">
        <f t="shared" si="283"/>
        <v>0</v>
      </c>
      <c r="DV90" s="39">
        <f t="shared" si="283"/>
        <v>0</v>
      </c>
    </row>
    <row r="91" spans="1:126" x14ac:dyDescent="0.2">
      <c r="B91" s="23" t="s">
        <v>393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U91" si="284">K64/K63</f>
        <v>2.4963289280469897E-2</v>
      </c>
      <c r="L91" s="39">
        <f t="shared" si="284"/>
        <v>7.7526395173453999E-2</v>
      </c>
      <c r="M91" s="39">
        <f t="shared" si="284"/>
        <v>8.6276488395560041E-2</v>
      </c>
      <c r="N91" s="39">
        <f t="shared" si="284"/>
        <v>4.7326203208556149E-2</v>
      </c>
      <c r="O91" s="39">
        <f t="shared" si="284"/>
        <v>8.431188351338656E-2</v>
      </c>
      <c r="P91" s="39">
        <f t="shared" si="284"/>
        <v>6.3354306791060966E-2</v>
      </c>
      <c r="Q91" s="39">
        <f t="shared" si="284"/>
        <v>8.0777096114519428E-2</v>
      </c>
      <c r="R91" s="39">
        <f t="shared" si="284"/>
        <v>0.25</v>
      </c>
      <c r="S91" s="39">
        <f t="shared" si="284"/>
        <v>9.6558915537017731E-2</v>
      </c>
      <c r="T91" s="39">
        <f t="shared" si="284"/>
        <v>8.3458929917106253E-2</v>
      </c>
      <c r="U91" s="39">
        <f t="shared" si="284"/>
        <v>8.0564321514757745E-2</v>
      </c>
      <c r="V91" s="39">
        <f t="shared" ref="V91:AA91" si="285">V64/V63</f>
        <v>3.6237471087124135E-2</v>
      </c>
      <c r="W91" s="39">
        <f t="shared" si="285"/>
        <v>0.23991797676008203</v>
      </c>
      <c r="X91" s="39">
        <f t="shared" si="285"/>
        <v>6.0867931617508926E-2</v>
      </c>
      <c r="Y91" s="39">
        <f t="shared" si="285"/>
        <v>0.1889763779527559</v>
      </c>
      <c r="Z91" s="39">
        <f t="shared" si="285"/>
        <v>0.3979094076655052</v>
      </c>
      <c r="AA91" s="55">
        <f t="shared" si="285"/>
        <v>0.22087244616234125</v>
      </c>
      <c r="AB91" s="39">
        <f t="shared" ref="AB91:AH91" si="286">AB64/AB63</f>
        <v>0.26393442622950819</v>
      </c>
      <c r="AC91" s="39">
        <f t="shared" si="286"/>
        <v>0.2584330794341676</v>
      </c>
      <c r="AD91" s="39">
        <f t="shared" si="286"/>
        <v>0.22435105067985167</v>
      </c>
      <c r="AE91" s="39">
        <f t="shared" si="286"/>
        <v>0.29035695258391048</v>
      </c>
      <c r="AF91" s="39">
        <f>AF64/AF63</f>
        <v>0.23262279888785914</v>
      </c>
      <c r="AG91" s="39">
        <f t="shared" si="286"/>
        <v>0</v>
      </c>
      <c r="AH91" s="39">
        <f t="shared" si="286"/>
        <v>-0.26878130217028379</v>
      </c>
      <c r="AI91" s="39">
        <f>AI64/AI63</f>
        <v>7.5667655786350152E-2</v>
      </c>
      <c r="AJ91" s="39">
        <f>AJ64/AJ63</f>
        <v>0</v>
      </c>
      <c r="AK91" s="39">
        <f>AK64/AK63</f>
        <v>0.15403422982885084</v>
      </c>
      <c r="AL91" s="39"/>
      <c r="AM91" s="39"/>
      <c r="AN91" s="39"/>
      <c r="AO91" s="39"/>
      <c r="AP91" s="39"/>
      <c r="AQ91" s="39"/>
      <c r="AR91" s="39"/>
      <c r="AS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N91" si="287">DH64/DH63</f>
        <v>0.24249682964632943</v>
      </c>
      <c r="DI91" s="39">
        <f t="shared" si="287"/>
        <v>0.28999999999999998</v>
      </c>
      <c r="DJ91" s="39">
        <f t="shared" si="287"/>
        <v>0.28000000000000003</v>
      </c>
      <c r="DK91" s="39">
        <f t="shared" si="287"/>
        <v>0.28000000000000003</v>
      </c>
      <c r="DL91" s="39">
        <f t="shared" si="287"/>
        <v>0.28000000000000003</v>
      </c>
      <c r="DM91" s="39">
        <f t="shared" si="287"/>
        <v>0.28000000000000003</v>
      </c>
      <c r="DN91" s="39">
        <f t="shared" si="287"/>
        <v>0.28000000000000003</v>
      </c>
      <c r="DO91" s="39">
        <f t="shared" ref="DO91:DV91" si="288">DO64/DO63</f>
        <v>0.27999999999999997</v>
      </c>
      <c r="DP91" s="39">
        <f t="shared" si="288"/>
        <v>0.28000000000000003</v>
      </c>
      <c r="DQ91" s="39" t="e">
        <f t="shared" si="288"/>
        <v>#DIV/0!</v>
      </c>
      <c r="DR91" s="39" t="e">
        <f t="shared" si="288"/>
        <v>#DIV/0!</v>
      </c>
      <c r="DS91" s="39" t="e">
        <f t="shared" si="288"/>
        <v>#DIV/0!</v>
      </c>
      <c r="DT91" s="39" t="e">
        <f t="shared" si="288"/>
        <v>#DIV/0!</v>
      </c>
      <c r="DU91" s="39" t="e">
        <f t="shared" si="288"/>
        <v>#DIV/0!</v>
      </c>
      <c r="DV91" s="39" t="e">
        <f t="shared" si="288"/>
        <v>#DIV/0!</v>
      </c>
    </row>
    <row r="92" spans="1:126" s="74" customFormat="1" x14ac:dyDescent="0.2">
      <c r="B92" s="74" t="s">
        <v>168</v>
      </c>
      <c r="C92" s="75"/>
      <c r="D92" s="76"/>
      <c r="E92" s="76"/>
      <c r="F92" s="76"/>
      <c r="G92" s="76">
        <f t="shared" ref="G92:W92" si="289">G54/C54-1</f>
        <v>6.9661865998747574E-2</v>
      </c>
      <c r="H92" s="76">
        <f t="shared" si="289"/>
        <v>5.4844606946984342E-3</v>
      </c>
      <c r="I92" s="76">
        <f t="shared" si="289"/>
        <v>-0.16528805688579307</v>
      </c>
      <c r="J92" s="76">
        <f t="shared" si="289"/>
        <v>-0.23673079547005049</v>
      </c>
      <c r="K92" s="76">
        <f t="shared" si="289"/>
        <v>-9.9663398214547061E-2</v>
      </c>
      <c r="L92" s="76">
        <f t="shared" si="289"/>
        <v>-8.2517482517482366E-3</v>
      </c>
      <c r="M92" s="76">
        <f t="shared" si="289"/>
        <v>0.36474269819193328</v>
      </c>
      <c r="N92" s="76">
        <f t="shared" si="289"/>
        <v>0.51787629603146224</v>
      </c>
      <c r="O92" s="76">
        <f t="shared" si="289"/>
        <v>0.32282184655396629</v>
      </c>
      <c r="P92" s="76">
        <f t="shared" si="289"/>
        <v>0.18713862642786627</v>
      </c>
      <c r="Q92" s="76">
        <f t="shared" si="289"/>
        <v>9.2993630573248387E-2</v>
      </c>
      <c r="R92" s="76">
        <f t="shared" si="289"/>
        <v>1.6252502649864553E-2</v>
      </c>
      <c r="S92" s="76">
        <f t="shared" si="289"/>
        <v>1.9292209388056092E-2</v>
      </c>
      <c r="T92" s="76">
        <f t="shared" si="289"/>
        <v>5.7614635305298201E-2</v>
      </c>
      <c r="U92" s="76">
        <f t="shared" si="289"/>
        <v>6.0139860139860168E-2</v>
      </c>
      <c r="V92" s="76">
        <f t="shared" si="289"/>
        <v>2.607486383126667E-2</v>
      </c>
      <c r="W92" s="76">
        <f t="shared" si="289"/>
        <v>-0.42049427365883063</v>
      </c>
      <c r="X92" s="76"/>
      <c r="Y92" s="76"/>
      <c r="Z92" s="76"/>
      <c r="AA92" s="77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6">
        <f>DD54/DC54-1</f>
        <v>0.21947175174700928</v>
      </c>
      <c r="DE92" s="75"/>
      <c r="DF92" s="81"/>
      <c r="DG92" s="81"/>
      <c r="DH92" s="81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</row>
    <row r="93" spans="1:126" s="19" customFormat="1" x14ac:dyDescent="0.2"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53"/>
      <c r="Z93" s="53"/>
      <c r="AA93" s="53"/>
      <c r="AB93" s="53"/>
      <c r="AC93" s="53"/>
      <c r="AD93" s="53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40"/>
      <c r="DE93" s="37"/>
      <c r="DF93" s="56"/>
      <c r="DG93" s="56"/>
      <c r="DH93" s="56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</row>
    <row r="94" spans="1:126" s="19" customFormat="1" x14ac:dyDescent="0.2">
      <c r="A94" s="23"/>
      <c r="B94" s="23" t="s">
        <v>398</v>
      </c>
      <c r="C94" s="3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5">
        <f>Main!K5-Main!K6</f>
        <v>-45379</v>
      </c>
      <c r="P94" s="35">
        <f>O94+P66</f>
        <v>-41303</v>
      </c>
      <c r="Q94" s="35">
        <f>Q95-Q106</f>
        <v>1176</v>
      </c>
      <c r="R94" s="35">
        <f>Q94+R66</f>
        <v>-681.5</v>
      </c>
      <c r="S94" s="35"/>
      <c r="T94" s="35">
        <f>7507+613+983-124-6235</f>
        <v>2744</v>
      </c>
      <c r="U94" s="35"/>
      <c r="V94" s="35"/>
      <c r="W94" s="35"/>
      <c r="X94" s="35">
        <f>+X95-X106</f>
        <v>3711</v>
      </c>
      <c r="Y94" s="35">
        <f t="shared" ref="Y94:AF94" si="290">+Y95-Y106</f>
        <v>0</v>
      </c>
      <c r="Z94" s="35">
        <f t="shared" si="290"/>
        <v>0</v>
      </c>
      <c r="AA94" s="35">
        <f t="shared" si="290"/>
        <v>4447</v>
      </c>
      <c r="AB94" s="35">
        <f t="shared" si="290"/>
        <v>0</v>
      </c>
      <c r="AC94" s="35">
        <f t="shared" si="290"/>
        <v>0</v>
      </c>
      <c r="AD94" s="35">
        <f t="shared" si="290"/>
        <v>0</v>
      </c>
      <c r="AE94" s="35">
        <f t="shared" si="290"/>
        <v>3199</v>
      </c>
      <c r="AF94" s="35">
        <f t="shared" si="290"/>
        <v>3324</v>
      </c>
      <c r="AG94" s="35"/>
      <c r="AH94" s="35"/>
      <c r="AI94" s="35"/>
      <c r="AJ94" s="35"/>
      <c r="AK94" s="35">
        <f>AK95-AK106</f>
        <v>2919</v>
      </c>
      <c r="AL94" s="35"/>
      <c r="AM94" s="35"/>
      <c r="AN94" s="35"/>
      <c r="AO94" s="35"/>
      <c r="AP94" s="35"/>
      <c r="AQ94" s="35"/>
      <c r="AR94" s="35"/>
      <c r="AS94" s="35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5">
        <f>+BT95-BT106</f>
        <v>-28832</v>
      </c>
      <c r="BU94" s="33"/>
      <c r="BV94" s="33"/>
      <c r="BW94" s="33"/>
      <c r="BX94" s="33"/>
      <c r="BY94" s="33"/>
      <c r="BZ94" s="33"/>
      <c r="CA94" s="33"/>
      <c r="CB94" s="35">
        <f>+CB95-CB106</f>
        <v>-45379</v>
      </c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5">
        <f>2421+308-177-588</f>
        <v>1964</v>
      </c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41"/>
      <c r="DE94" s="35"/>
      <c r="DF94" s="54">
        <f t="shared" ref="DF94:DN94" si="291">DE94+DF66</f>
        <v>17900</v>
      </c>
      <c r="DG94" s="54">
        <f t="shared" si="291"/>
        <v>24803</v>
      </c>
      <c r="DH94" s="54">
        <f t="shared" si="291"/>
        <v>28628</v>
      </c>
      <c r="DI94" s="35">
        <f t="shared" si="291"/>
        <v>33840.925499999998</v>
      </c>
      <c r="DJ94" s="35">
        <f t="shared" si="291"/>
        <v>37524.456059999997</v>
      </c>
      <c r="DK94" s="35">
        <f t="shared" si="291"/>
        <v>41090.231969999993</v>
      </c>
      <c r="DL94" s="35">
        <f t="shared" si="291"/>
        <v>44138.412856199997</v>
      </c>
      <c r="DM94" s="35">
        <f t="shared" si="291"/>
        <v>46733.774692694999</v>
      </c>
      <c r="DN94" s="35">
        <f t="shared" si="291"/>
        <v>49831.409205815849</v>
      </c>
      <c r="DO94" s="35">
        <f t="shared" ref="DO94:DV94" si="292">DN94+DO66</f>
        <v>52929.0437189367</v>
      </c>
      <c r="DP94" s="35">
        <f t="shared" si="292"/>
        <v>56026.678232057551</v>
      </c>
      <c r="DQ94" s="35">
        <f t="shared" si="292"/>
        <v>56026.678232057551</v>
      </c>
      <c r="DR94" s="35">
        <f t="shared" si="292"/>
        <v>56026.678232057551</v>
      </c>
      <c r="DS94" s="35">
        <f t="shared" si="292"/>
        <v>56026.678232057551</v>
      </c>
      <c r="DT94" s="35">
        <f t="shared" si="292"/>
        <v>56026.678232057551</v>
      </c>
      <c r="DU94" s="35">
        <f t="shared" si="292"/>
        <v>56026.678232057551</v>
      </c>
      <c r="DV94" s="35">
        <f t="shared" si="292"/>
        <v>56026.678232057551</v>
      </c>
    </row>
    <row r="95" spans="1:126" x14ac:dyDescent="0.2">
      <c r="A95" s="25"/>
      <c r="B95" s="25" t="s">
        <v>194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5">
        <f>7173+258</f>
        <v>7431</v>
      </c>
      <c r="R95" s="30"/>
      <c r="S95" s="30"/>
      <c r="T95" s="30"/>
      <c r="U95" s="30"/>
      <c r="V95" s="30"/>
      <c r="W95" s="30"/>
      <c r="X95" s="30">
        <f>5918+1536+2795</f>
        <v>10249</v>
      </c>
      <c r="Y95" s="50"/>
      <c r="Z95" s="50"/>
      <c r="AA95" s="50">
        <f>3405+3388+3065</f>
        <v>9858</v>
      </c>
      <c r="AB95" s="50"/>
      <c r="AC95" s="50"/>
      <c r="AD95" s="50"/>
      <c r="AE95" s="30">
        <f>2307+2722+3585</f>
        <v>8614</v>
      </c>
      <c r="AF95" s="30">
        <f>2801+2236+3732</f>
        <v>8769</v>
      </c>
      <c r="AG95" s="30"/>
      <c r="AH95" s="30"/>
      <c r="AI95" s="30"/>
      <c r="AJ95" s="30"/>
      <c r="AK95" s="30">
        <f>1771+2036</f>
        <v>3807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f>10750+2478</f>
        <v>13228</v>
      </c>
      <c r="BU95" s="30"/>
      <c r="BV95" s="30"/>
      <c r="BW95" s="30"/>
      <c r="BX95" s="30"/>
      <c r="BY95" s="30"/>
      <c r="BZ95" s="30"/>
      <c r="CA95" s="30"/>
      <c r="CB95" s="30">
        <f>6293+360+357</f>
        <v>7010</v>
      </c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50"/>
      <c r="DG95" s="50"/>
      <c r="DH95" s="50"/>
      <c r="DI95" s="30"/>
      <c r="DJ95" s="30"/>
      <c r="DK95" s="30"/>
      <c r="DL95" s="30"/>
      <c r="DM95" s="30"/>
      <c r="DN95" s="30"/>
      <c r="DO95" s="25"/>
    </row>
    <row r="96" spans="1:126" s="25" customFormat="1" x14ac:dyDescent="0.2">
      <c r="B96" s="25" t="s">
        <v>328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4224</v>
      </c>
      <c r="R96" s="30"/>
      <c r="S96" s="30"/>
      <c r="T96" s="30"/>
      <c r="U96" s="30"/>
      <c r="V96" s="30"/>
      <c r="W96" s="30"/>
      <c r="X96" s="30">
        <v>3172</v>
      </c>
      <c r="Y96" s="50"/>
      <c r="Z96" s="50"/>
      <c r="AA96" s="50">
        <v>3587</v>
      </c>
      <c r="AB96" s="50"/>
      <c r="AC96" s="50"/>
      <c r="AD96" s="50"/>
      <c r="AE96" s="30">
        <v>3613</v>
      </c>
      <c r="AF96" s="30">
        <v>2825</v>
      </c>
      <c r="AG96" s="30"/>
      <c r="AH96" s="30"/>
      <c r="AI96" s="30"/>
      <c r="AJ96" s="30"/>
      <c r="AK96" s="30">
        <v>3673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9054</v>
      </c>
      <c r="BU96" s="30"/>
      <c r="BV96" s="30"/>
      <c r="BW96" s="30"/>
      <c r="BX96" s="30"/>
      <c r="BY96" s="30"/>
      <c r="BZ96" s="30"/>
      <c r="CA96" s="30"/>
      <c r="CB96" s="30">
        <v>11423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</row>
    <row r="97" spans="2:118" s="25" customFormat="1" x14ac:dyDescent="0.2">
      <c r="B97" s="25" t="s">
        <v>329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2055</v>
      </c>
      <c r="R97" s="30"/>
      <c r="S97" s="30"/>
      <c r="T97" s="30"/>
      <c r="U97" s="30"/>
      <c r="V97" s="30"/>
      <c r="W97" s="30"/>
      <c r="X97" s="30">
        <v>1265</v>
      </c>
      <c r="Y97" s="50"/>
      <c r="Z97" s="50"/>
      <c r="AA97" s="50">
        <v>1322</v>
      </c>
      <c r="AB97" s="50"/>
      <c r="AC97" s="50"/>
      <c r="AD97" s="50"/>
      <c r="AE97" s="30">
        <v>1463</v>
      </c>
      <c r="AF97" s="30">
        <v>1521</v>
      </c>
      <c r="AG97" s="30"/>
      <c r="AH97" s="30"/>
      <c r="AI97" s="30"/>
      <c r="AJ97" s="30"/>
      <c r="AK97" s="30">
        <v>1640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2142</v>
      </c>
      <c r="BU97" s="30"/>
      <c r="BV97" s="30"/>
      <c r="BW97" s="30"/>
      <c r="BX97" s="30"/>
      <c r="BY97" s="30"/>
      <c r="BZ97" s="30"/>
      <c r="CA97" s="30"/>
      <c r="CB97" s="30">
        <v>3077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330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691</v>
      </c>
      <c r="R98" s="30"/>
      <c r="S98" s="30"/>
      <c r="T98" s="30"/>
      <c r="U98" s="30"/>
      <c r="V98" s="30"/>
      <c r="W98" s="30"/>
      <c r="X98" s="30">
        <v>796</v>
      </c>
      <c r="Y98" s="50"/>
      <c r="Z98" s="50"/>
      <c r="AA98" s="50">
        <v>1143</v>
      </c>
      <c r="AB98" s="50"/>
      <c r="AC98" s="50"/>
      <c r="AD98" s="50"/>
      <c r="AE98" s="30">
        <v>1160</v>
      </c>
      <c r="AF98" s="30">
        <v>1175</v>
      </c>
      <c r="AG98" s="30"/>
      <c r="AH98" s="30"/>
      <c r="AI98" s="30"/>
      <c r="AJ98" s="30"/>
      <c r="AK98" s="30">
        <v>2036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0</v>
      </c>
      <c r="BU98" s="30"/>
      <c r="BV98" s="30"/>
      <c r="BW98" s="30"/>
      <c r="BX98" s="30"/>
      <c r="BY98" s="30"/>
      <c r="BZ98" s="30"/>
      <c r="CA98" s="30"/>
      <c r="CB98" s="30">
        <v>0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331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378</v>
      </c>
      <c r="R99" s="30"/>
      <c r="S99" s="30"/>
      <c r="T99" s="30"/>
      <c r="U99" s="30"/>
      <c r="V99" s="30"/>
      <c r="W99" s="30"/>
      <c r="X99" s="30">
        <v>296</v>
      </c>
      <c r="Y99" s="50"/>
      <c r="Z99" s="50"/>
      <c r="AA99" s="50">
        <v>451</v>
      </c>
      <c r="AB99" s="50"/>
      <c r="AC99" s="50"/>
      <c r="AD99" s="50"/>
      <c r="AE99" s="30">
        <v>500</v>
      </c>
      <c r="AF99" s="30">
        <v>455</v>
      </c>
      <c r="AG99" s="30"/>
      <c r="AH99" s="30"/>
      <c r="AI99" s="30"/>
      <c r="AJ99" s="30"/>
      <c r="AK99" s="30">
        <v>556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5762</v>
      </c>
      <c r="BU99" s="30"/>
      <c r="BV99" s="30"/>
      <c r="BW99" s="30"/>
      <c r="BX99" s="30"/>
      <c r="BY99" s="30"/>
      <c r="BZ99" s="30"/>
      <c r="CA99" s="30"/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332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5360</v>
      </c>
      <c r="R100" s="30"/>
      <c r="S100" s="30"/>
      <c r="T100" s="30"/>
      <c r="U100" s="30"/>
      <c r="V100" s="30"/>
      <c r="W100" s="30"/>
      <c r="X100" s="30">
        <v>4745</v>
      </c>
      <c r="Y100" s="50"/>
      <c r="Z100" s="50"/>
      <c r="AA100" s="50">
        <v>4604</v>
      </c>
      <c r="AB100" s="50"/>
      <c r="AC100" s="50"/>
      <c r="AD100" s="50"/>
      <c r="AE100" s="30">
        <v>4512</v>
      </c>
      <c r="AF100" s="30">
        <v>4478</v>
      </c>
      <c r="AG100" s="30"/>
      <c r="AH100" s="30"/>
      <c r="AI100" s="30"/>
      <c r="AJ100" s="30"/>
      <c r="AK100" s="30">
        <v>5236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5970</v>
      </c>
      <c r="BU100" s="30"/>
      <c r="BV100" s="30"/>
      <c r="BW100" s="30"/>
      <c r="BX100" s="30"/>
      <c r="BY100" s="30"/>
      <c r="BZ100" s="30"/>
      <c r="CA100" s="30"/>
      <c r="CB100" s="30">
        <v>6845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333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f>4841+1212</f>
        <v>6053</v>
      </c>
      <c r="R101" s="30"/>
      <c r="S101" s="30"/>
      <c r="T101" s="30"/>
      <c r="U101" s="30"/>
      <c r="V101" s="30"/>
      <c r="W101" s="30"/>
      <c r="X101" s="30">
        <f>5218+2763</f>
        <v>7981</v>
      </c>
      <c r="Y101" s="50"/>
      <c r="Z101" s="50"/>
      <c r="AA101" s="50">
        <f>5233+3299</f>
        <v>8532</v>
      </c>
      <c r="AB101" s="50"/>
      <c r="AC101" s="50"/>
      <c r="AD101" s="50"/>
      <c r="AE101" s="30">
        <f>6799+4816</f>
        <v>11615</v>
      </c>
      <c r="AF101" s="30">
        <f>6799+4569</f>
        <v>11368</v>
      </c>
      <c r="AG101" s="30"/>
      <c r="AH101" s="30"/>
      <c r="AI101" s="30"/>
      <c r="AJ101" s="30"/>
      <c r="AK101" s="30">
        <f>7646+8176</f>
        <v>15822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f>20446+37690</f>
        <v>58136</v>
      </c>
      <c r="BU101" s="30"/>
      <c r="BV101" s="30"/>
      <c r="BW101" s="30"/>
      <c r="BX101" s="30"/>
      <c r="BY101" s="30"/>
      <c r="BZ101" s="30"/>
      <c r="CA101" s="30"/>
      <c r="CB101" s="30">
        <f>21732+29428</f>
        <v>51160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330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1119</v>
      </c>
      <c r="R102" s="30"/>
      <c r="S102" s="30"/>
      <c r="T102" s="30"/>
      <c r="U102" s="30"/>
      <c r="V102" s="30"/>
      <c r="W102" s="30"/>
      <c r="X102" s="30">
        <v>1331</v>
      </c>
      <c r="Y102" s="50"/>
      <c r="Z102" s="50"/>
      <c r="AA102" s="50">
        <v>587</v>
      </c>
      <c r="AB102" s="50"/>
      <c r="AC102" s="50"/>
      <c r="AD102" s="50"/>
      <c r="AE102" s="30">
        <v>108</v>
      </c>
      <c r="AF102" s="30">
        <v>201</v>
      </c>
      <c r="AG102" s="30"/>
      <c r="AH102" s="30"/>
      <c r="AI102" s="30"/>
      <c r="AJ102" s="30"/>
      <c r="AK102" s="30">
        <v>195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1337</v>
      </c>
      <c r="BU102" s="30"/>
      <c r="BV102" s="30"/>
      <c r="BW102" s="30"/>
      <c r="BX102" s="30"/>
      <c r="BY102" s="30"/>
      <c r="BZ102" s="30"/>
      <c r="CA102" s="30"/>
      <c r="CB102" s="30">
        <v>3323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334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1165</v>
      </c>
      <c r="R103" s="30"/>
      <c r="S103" s="30"/>
      <c r="T103" s="30"/>
      <c r="U103" s="30"/>
      <c r="V103" s="30"/>
      <c r="W103" s="30"/>
      <c r="X103" s="30">
        <v>1216</v>
      </c>
      <c r="Y103" s="50"/>
      <c r="Z103" s="50"/>
      <c r="AA103" s="50">
        <v>767</v>
      </c>
      <c r="AB103" s="50"/>
      <c r="AC103" s="50"/>
      <c r="AD103" s="50"/>
      <c r="AE103" s="30">
        <v>823</v>
      </c>
      <c r="AF103" s="30">
        <v>875</v>
      </c>
      <c r="AG103" s="30"/>
      <c r="AH103" s="30"/>
      <c r="AI103" s="30"/>
      <c r="AJ103" s="30"/>
      <c r="AK103" s="30">
        <v>1301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4728</v>
      </c>
      <c r="BU103" s="30"/>
      <c r="BV103" s="30"/>
      <c r="BW103" s="30"/>
      <c r="BX103" s="30"/>
      <c r="BY103" s="30"/>
      <c r="BZ103" s="30"/>
      <c r="CA103" s="30"/>
      <c r="CB103" s="30">
        <f>5737+6071</f>
        <v>11808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335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SUM(Q95:Q103)</f>
        <v>28476</v>
      </c>
      <c r="R104" s="30"/>
      <c r="S104" s="30"/>
      <c r="T104" s="30"/>
      <c r="U104" s="30"/>
      <c r="V104" s="30"/>
      <c r="W104" s="30"/>
      <c r="X104" s="30">
        <f>SUM(X95:X103)</f>
        <v>31051</v>
      </c>
      <c r="Y104" s="50"/>
      <c r="Z104" s="50"/>
      <c r="AA104" s="50">
        <f>SUM(AA95:AA103)</f>
        <v>30851</v>
      </c>
      <c r="AB104" s="50"/>
      <c r="AC104" s="50"/>
      <c r="AD104" s="50"/>
      <c r="AE104" s="50">
        <f>SUM(AE95:AE103)</f>
        <v>32408</v>
      </c>
      <c r="AF104" s="50">
        <f>SUM(AF95:AF103)</f>
        <v>31667</v>
      </c>
      <c r="AG104" s="30"/>
      <c r="AH104" s="30"/>
      <c r="AI104" s="30"/>
      <c r="AJ104" s="30"/>
      <c r="AK104" s="30">
        <f>SUM(AK94:AK103)</f>
        <v>37185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SUM(BT95:BT103)</f>
        <v>100357</v>
      </c>
      <c r="BU104" s="30"/>
      <c r="BV104" s="30"/>
      <c r="BW104" s="30"/>
      <c r="BX104" s="30"/>
      <c r="BY104" s="30"/>
      <c r="BZ104" s="30"/>
      <c r="CA104" s="30"/>
      <c r="CB104" s="30">
        <f>SUM(CB95:CB103)</f>
        <v>94646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50"/>
      <c r="Z105" s="50"/>
      <c r="AA105" s="50"/>
      <c r="AB105" s="50"/>
      <c r="AC105" s="50"/>
      <c r="AD105" s="50"/>
      <c r="AE105" s="5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B106" s="25" t="s">
        <v>195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f>135+6120</f>
        <v>6255</v>
      </c>
      <c r="R106" s="30"/>
      <c r="S106" s="30"/>
      <c r="T106" s="30"/>
      <c r="U106" s="30"/>
      <c r="V106" s="30"/>
      <c r="W106" s="30"/>
      <c r="X106" s="30">
        <f>290+6248</f>
        <v>6538</v>
      </c>
      <c r="Y106" s="50"/>
      <c r="Z106" s="50"/>
      <c r="AA106" s="50">
        <f>135+5276</f>
        <v>5411</v>
      </c>
      <c r="AB106" s="50"/>
      <c r="AC106" s="50"/>
      <c r="AD106" s="50"/>
      <c r="AE106" s="50">
        <f>145+5270</f>
        <v>5415</v>
      </c>
      <c r="AF106" s="30">
        <f>236+5209</f>
        <v>5445</v>
      </c>
      <c r="AG106" s="30"/>
      <c r="AH106" s="30"/>
      <c r="AI106" s="30"/>
      <c r="AJ106" s="30"/>
      <c r="AK106" s="30">
        <f>208+680</f>
        <v>888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f>37107+4953</f>
        <v>42060</v>
      </c>
      <c r="BU106" s="30"/>
      <c r="BV106" s="30"/>
      <c r="BW106" s="30"/>
      <c r="BX106" s="30"/>
      <c r="BY106" s="30"/>
      <c r="BZ106" s="30"/>
      <c r="CA106" s="30"/>
      <c r="CB106" s="30">
        <f>3531+48858</f>
        <v>52389</v>
      </c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336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v>1441</v>
      </c>
      <c r="R107" s="30"/>
      <c r="S107" s="30"/>
      <c r="T107" s="30"/>
      <c r="U107" s="30"/>
      <c r="V107" s="30"/>
      <c r="W107" s="30"/>
      <c r="X107" s="30">
        <v>1681</v>
      </c>
      <c r="Y107" s="50"/>
      <c r="Z107" s="50"/>
      <c r="AA107" s="50">
        <v>2036</v>
      </c>
      <c r="AB107" s="50"/>
      <c r="AC107" s="50"/>
      <c r="AD107" s="50"/>
      <c r="AE107" s="50">
        <v>2385</v>
      </c>
      <c r="AF107" s="30">
        <v>2134</v>
      </c>
      <c r="AG107" s="30"/>
      <c r="AH107" s="30"/>
      <c r="AI107" s="30"/>
      <c r="AJ107" s="30"/>
      <c r="AK107" s="30">
        <v>2466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v>2882</v>
      </c>
      <c r="BU107" s="30"/>
      <c r="BV107" s="30"/>
      <c r="BW107" s="30"/>
      <c r="BX107" s="30"/>
      <c r="BY107" s="30"/>
      <c r="BZ107" s="30"/>
      <c r="CA107" s="30"/>
      <c r="CB107" s="30">
        <v>3751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337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2897</v>
      </c>
      <c r="R108" s="30"/>
      <c r="S108" s="30"/>
      <c r="T108" s="30"/>
      <c r="U108" s="30"/>
      <c r="V108" s="30"/>
      <c r="W108" s="30"/>
      <c r="X108" s="30">
        <v>2386</v>
      </c>
      <c r="Y108" s="50"/>
      <c r="Z108" s="50"/>
      <c r="AA108" s="50">
        <v>2661</v>
      </c>
      <c r="AB108" s="50"/>
      <c r="AC108" s="50"/>
      <c r="AD108" s="50"/>
      <c r="AE108" s="50">
        <v>2566</v>
      </c>
      <c r="AF108" s="30">
        <v>2467</v>
      </c>
      <c r="AG108" s="30"/>
      <c r="AH108" s="30"/>
      <c r="AI108" s="30"/>
      <c r="AJ108" s="30"/>
      <c r="AK108" s="30">
        <v>2277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13080</v>
      </c>
      <c r="BU108" s="30"/>
      <c r="BV108" s="30"/>
      <c r="BW108" s="30"/>
      <c r="BX108" s="30"/>
      <c r="BY108" s="30"/>
      <c r="BZ108" s="30"/>
      <c r="CA108" s="30"/>
      <c r="CB108" s="30">
        <v>0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338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832+809</f>
        <v>1641</v>
      </c>
      <c r="R109" s="30"/>
      <c r="S109" s="30"/>
      <c r="T109" s="30"/>
      <c r="U109" s="30"/>
      <c r="V109" s="30"/>
      <c r="W109" s="30"/>
      <c r="X109" s="30">
        <v>275</v>
      </c>
      <c r="Y109" s="50"/>
      <c r="Z109" s="50"/>
      <c r="AA109" s="50">
        <f>347+899</f>
        <v>1246</v>
      </c>
      <c r="AB109" s="50"/>
      <c r="AC109" s="50"/>
      <c r="AD109" s="50"/>
      <c r="AE109" s="50">
        <f>287+836</f>
        <v>1123</v>
      </c>
      <c r="AF109" s="30">
        <f>357+805</f>
        <v>1162</v>
      </c>
      <c r="AG109" s="30"/>
      <c r="AH109" s="30"/>
      <c r="AI109" s="30"/>
      <c r="AJ109" s="30"/>
      <c r="AK109" s="30">
        <v>4198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>
        <v>461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339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769</v>
      </c>
      <c r="R110" s="30"/>
      <c r="S110" s="30"/>
      <c r="T110" s="30"/>
      <c r="U110" s="30"/>
      <c r="V110" s="30"/>
      <c r="W110" s="30"/>
      <c r="X110" s="30">
        <v>671</v>
      </c>
      <c r="Y110" s="50"/>
      <c r="Z110" s="50"/>
      <c r="AA110" s="50">
        <v>935</v>
      </c>
      <c r="AB110" s="50"/>
      <c r="AC110" s="50"/>
      <c r="AD110" s="50"/>
      <c r="AE110" s="50">
        <v>1073</v>
      </c>
      <c r="AF110" s="30">
        <v>1061</v>
      </c>
      <c r="AG110" s="30"/>
      <c r="AH110" s="30"/>
      <c r="AI110" s="30"/>
      <c r="AJ110" s="30"/>
      <c r="AK110" s="30">
        <v>1034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>
        <v>0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106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f>199+455</f>
        <v>654</v>
      </c>
      <c r="R111" s="30"/>
      <c r="S111" s="30"/>
      <c r="T111" s="30"/>
      <c r="U111" s="30"/>
      <c r="V111" s="30"/>
      <c r="W111" s="30"/>
      <c r="X111" s="30">
        <f>49+749</f>
        <v>798</v>
      </c>
      <c r="Y111" s="50"/>
      <c r="Z111" s="50"/>
      <c r="AA111" s="50">
        <f>63+660</f>
        <v>723</v>
      </c>
      <c r="AB111" s="50"/>
      <c r="AC111" s="50"/>
      <c r="AD111" s="50"/>
      <c r="AE111" s="50">
        <f>162+573</f>
        <v>735</v>
      </c>
      <c r="AF111" s="30">
        <f>138+604</f>
        <v>742</v>
      </c>
      <c r="AG111" s="30"/>
      <c r="AH111" s="30"/>
      <c r="AI111" s="30"/>
      <c r="AJ111" s="30"/>
      <c r="AK111" s="30">
        <f>739+904+208</f>
        <v>1851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3034</v>
      </c>
      <c r="BU111" s="30"/>
      <c r="BV111" s="30"/>
      <c r="BW111" s="30"/>
      <c r="BX111" s="30"/>
      <c r="BY111" s="30"/>
      <c r="BZ111" s="30"/>
      <c r="CA111" s="30"/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340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618</v>
      </c>
      <c r="R112" s="30"/>
      <c r="S112" s="30"/>
      <c r="T112" s="30"/>
      <c r="U112" s="30"/>
      <c r="V112" s="30"/>
      <c r="W112" s="30"/>
      <c r="X112" s="30">
        <v>556</v>
      </c>
      <c r="Y112" s="50"/>
      <c r="Z112" s="50"/>
      <c r="AA112" s="50">
        <v>578</v>
      </c>
      <c r="AB112" s="50"/>
      <c r="AC112" s="50"/>
      <c r="AD112" s="50"/>
      <c r="AE112" s="50">
        <v>593</v>
      </c>
      <c r="AF112" s="30">
        <v>598</v>
      </c>
      <c r="AG112" s="30"/>
      <c r="AH112" s="30"/>
      <c r="AI112" s="30"/>
      <c r="AJ112" s="30"/>
      <c r="AK112" s="30">
        <v>611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341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60</v>
      </c>
      <c r="R113" s="30"/>
      <c r="S113" s="30"/>
      <c r="T113" s="30"/>
      <c r="U113" s="30"/>
      <c r="V113" s="30"/>
      <c r="W113" s="30"/>
      <c r="X113" s="30">
        <v>0</v>
      </c>
      <c r="Y113" s="50"/>
      <c r="Z113" s="50"/>
      <c r="AA113" s="50">
        <v>0</v>
      </c>
      <c r="AB113" s="50"/>
      <c r="AC113" s="50"/>
      <c r="AD113" s="50"/>
      <c r="AE113" s="50">
        <v>0</v>
      </c>
      <c r="AF113" s="30">
        <v>0</v>
      </c>
      <c r="AG113" s="30"/>
      <c r="AH113" s="30"/>
      <c r="AI113" s="30"/>
      <c r="AJ113" s="30"/>
      <c r="AK113" s="30">
        <v>0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342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695</v>
      </c>
      <c r="R114" s="30"/>
      <c r="S114" s="30"/>
      <c r="T114" s="30"/>
      <c r="U114" s="30"/>
      <c r="V114" s="30"/>
      <c r="W114" s="30"/>
      <c r="X114" s="30">
        <v>1248</v>
      </c>
      <c r="Y114" s="50"/>
      <c r="Z114" s="50"/>
      <c r="AA114" s="50">
        <v>922</v>
      </c>
      <c r="AB114" s="50"/>
      <c r="AC114" s="50"/>
      <c r="AD114" s="50"/>
      <c r="AE114" s="50">
        <v>1616</v>
      </c>
      <c r="AF114" s="30">
        <v>1543</v>
      </c>
      <c r="AG114" s="30"/>
      <c r="AH114" s="30"/>
      <c r="AI114" s="30"/>
      <c r="AJ114" s="30"/>
      <c r="AK114" s="30">
        <v>773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104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508</v>
      </c>
      <c r="R115" s="30"/>
      <c r="S115" s="30"/>
      <c r="T115" s="30"/>
      <c r="U115" s="30"/>
      <c r="V115" s="30"/>
      <c r="W115" s="30"/>
      <c r="X115" s="30">
        <f>915+409</f>
        <v>1324</v>
      </c>
      <c r="Y115" s="50"/>
      <c r="Z115" s="50"/>
      <c r="AA115" s="50">
        <v>438</v>
      </c>
      <c r="AB115" s="50"/>
      <c r="AC115" s="50"/>
      <c r="AD115" s="50"/>
      <c r="AE115" s="50">
        <v>656</v>
      </c>
      <c r="AF115" s="30">
        <v>703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6640</v>
      </c>
      <c r="BU115" s="30"/>
      <c r="BV115" s="30"/>
      <c r="BW115" s="30"/>
      <c r="BX115" s="30"/>
      <c r="BY115" s="30"/>
      <c r="BZ115" s="30"/>
      <c r="CA115" s="30"/>
      <c r="CB115" s="30">
        <f>15983+4993</f>
        <v>20976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44" t="s">
        <v>397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SUM(Q106:Q115)</f>
        <v>15538</v>
      </c>
      <c r="R116" s="30"/>
      <c r="S116" s="30"/>
      <c r="T116" s="30"/>
      <c r="U116" s="30"/>
      <c r="V116" s="30"/>
      <c r="W116" s="30"/>
      <c r="X116" s="30">
        <f>SUM(X106:X115)</f>
        <v>15477</v>
      </c>
      <c r="Y116" s="50"/>
      <c r="Z116" s="50"/>
      <c r="AA116" s="50">
        <f>SUM(AA106:AA115)</f>
        <v>14950</v>
      </c>
      <c r="AB116" s="50"/>
      <c r="AC116" s="50"/>
      <c r="AD116" s="50"/>
      <c r="AE116" s="50">
        <f>SUM(AE106:AE115)</f>
        <v>16162</v>
      </c>
      <c r="AF116" s="50">
        <f>SUM(AF106:AF115)</f>
        <v>15855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>
        <f>SUM(CB106:CB115)</f>
        <v>77577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25" t="s">
        <v>343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Q104-Q116</f>
        <v>12938</v>
      </c>
      <c r="R117" s="30"/>
      <c r="S117" s="30"/>
      <c r="T117" s="30"/>
      <c r="U117" s="30"/>
      <c r="V117" s="30"/>
      <c r="W117" s="30"/>
      <c r="X117" s="30">
        <v>15574</v>
      </c>
      <c r="Y117" s="50"/>
      <c r="Z117" s="50"/>
      <c r="AA117" s="50">
        <v>15901</v>
      </c>
      <c r="AB117" s="50"/>
      <c r="AC117" s="50"/>
      <c r="AD117" s="50"/>
      <c r="AE117" s="50">
        <v>16246</v>
      </c>
      <c r="AF117" s="30">
        <v>15812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>
        <v>32661</v>
      </c>
      <c r="BU117" s="30"/>
      <c r="BV117" s="30"/>
      <c r="BW117" s="30"/>
      <c r="BX117" s="30"/>
      <c r="BY117" s="30"/>
      <c r="BZ117" s="30"/>
      <c r="CA117" s="30"/>
      <c r="CB117" s="30">
        <v>17069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44" t="s">
        <v>396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+Q117+Q116</f>
        <v>28476</v>
      </c>
      <c r="R118" s="30"/>
      <c r="S118" s="30"/>
      <c r="T118" s="30"/>
      <c r="U118" s="30"/>
      <c r="V118" s="30"/>
      <c r="W118" s="30"/>
      <c r="X118" s="30">
        <f>+X117+X116</f>
        <v>31051</v>
      </c>
      <c r="Y118" s="50"/>
      <c r="Z118" s="50"/>
      <c r="AA118" s="50">
        <f>+AA117+AA116</f>
        <v>30851</v>
      </c>
      <c r="AB118" s="50"/>
      <c r="AC118" s="50"/>
      <c r="AD118" s="50"/>
      <c r="AE118" s="50">
        <f>+AE117+AE116</f>
        <v>32408</v>
      </c>
      <c r="AF118" s="50">
        <f>+AF117+AF116</f>
        <v>31667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f>SUM(BT106:BT117)</f>
        <v>100357</v>
      </c>
      <c r="BU118" s="30"/>
      <c r="BV118" s="30"/>
      <c r="BW118" s="30"/>
      <c r="BX118" s="30"/>
      <c r="BY118" s="30"/>
      <c r="BZ118" s="30"/>
      <c r="CA118" s="30"/>
      <c r="CB118" s="30">
        <f>+CB117+CB116</f>
        <v>94646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25" t="s">
        <v>344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Q104-Q116-Q101</f>
        <v>6885</v>
      </c>
      <c r="R119" s="30"/>
      <c r="S119" s="30"/>
      <c r="T119" s="30"/>
      <c r="U119" s="30"/>
      <c r="V119" s="30"/>
      <c r="W119" s="30"/>
      <c r="X119" s="30">
        <f>X104-X116-X101</f>
        <v>7593</v>
      </c>
      <c r="Y119" s="50"/>
      <c r="Z119" s="50"/>
      <c r="AA119" s="50">
        <f>AA104-AA116-AA101</f>
        <v>7369</v>
      </c>
      <c r="AB119" s="50"/>
      <c r="AC119" s="50"/>
      <c r="AD119" s="50"/>
      <c r="AE119" s="50">
        <f>AE104-AE116-AE101</f>
        <v>4631</v>
      </c>
      <c r="AF119" s="50">
        <f>AF104-AF116-AF101</f>
        <v>4444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8"/>
      <c r="Z120" s="48"/>
      <c r="AA120" s="48"/>
      <c r="AB120" s="48"/>
      <c r="AC120" s="48"/>
      <c r="AD120" s="4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48"/>
      <c r="DG120" s="48"/>
      <c r="DH120" s="48"/>
      <c r="DI120" s="28"/>
      <c r="DJ120" s="28"/>
      <c r="DK120" s="28"/>
      <c r="DL120" s="28"/>
      <c r="DM120" s="28"/>
      <c r="DN120" s="28"/>
      <c r="DO120" s="1"/>
    </row>
    <row r="121" spans="1:119" x14ac:dyDescent="0.2">
      <c r="B121" s="1" t="s">
        <v>323</v>
      </c>
      <c r="CO121" s="39">
        <f>CO54/CN54-1</f>
        <v>5.5340081354649406E-2</v>
      </c>
      <c r="CP121" s="39">
        <f>CP54/CO54-1</f>
        <v>2.3036930799569699E-2</v>
      </c>
    </row>
    <row r="122" spans="1:119" x14ac:dyDescent="0.2">
      <c r="B122" s="1" t="s">
        <v>324</v>
      </c>
      <c r="CO122" s="39">
        <v>0.01</v>
      </c>
      <c r="CP122" s="39">
        <v>0.03</v>
      </c>
    </row>
    <row r="123" spans="1:119" x14ac:dyDescent="0.2">
      <c r="B123" s="1" t="s">
        <v>325</v>
      </c>
      <c r="CO123" s="39">
        <v>0.04</v>
      </c>
      <c r="CP123" s="39">
        <v>0.02</v>
      </c>
    </row>
    <row r="124" spans="1:119" x14ac:dyDescent="0.2">
      <c r="B124" s="1" t="s">
        <v>326</v>
      </c>
      <c r="CO124" s="39">
        <v>0.01</v>
      </c>
      <c r="CP124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4 CY54:DA54 DI54 DD54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635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176</v>
      </c>
    </row>
    <row r="5" spans="1:3" x14ac:dyDescent="0.2">
      <c r="B5" s="32" t="s">
        <v>141</v>
      </c>
      <c r="C5" s="32" t="s">
        <v>410</v>
      </c>
    </row>
    <row r="6" spans="1:3" x14ac:dyDescent="0.2">
      <c r="B6" s="32" t="s">
        <v>151</v>
      </c>
      <c r="C6" s="32" t="s">
        <v>411</v>
      </c>
    </row>
    <row r="7" spans="1:3" x14ac:dyDescent="0.2">
      <c r="B7" s="32" t="s">
        <v>140</v>
      </c>
    </row>
    <row r="8" spans="1:3" x14ac:dyDescent="0.2">
      <c r="B8" s="32"/>
      <c r="C8" s="47" t="s">
        <v>414</v>
      </c>
    </row>
    <row r="9" spans="1:3" x14ac:dyDescent="0.2">
      <c r="B9" s="32"/>
      <c r="C9" s="32" t="s">
        <v>415</v>
      </c>
    </row>
    <row r="10" spans="1:3" x14ac:dyDescent="0.2">
      <c r="B10" s="32"/>
    </row>
    <row r="11" spans="1:3" x14ac:dyDescent="0.2">
      <c r="C11" s="47" t="s">
        <v>412</v>
      </c>
    </row>
    <row r="12" spans="1:3" x14ac:dyDescent="0.2">
      <c r="C12" s="32" t="s">
        <v>413</v>
      </c>
    </row>
    <row r="13" spans="1:3" x14ac:dyDescent="0.2">
      <c r="C13" s="32" t="s">
        <v>487</v>
      </c>
    </row>
    <row r="14" spans="1:3" x14ac:dyDescent="0.2">
      <c r="C14" s="32" t="s">
        <v>482</v>
      </c>
    </row>
    <row r="15" spans="1:3" x14ac:dyDescent="0.2">
      <c r="C15" s="32" t="s">
        <v>483</v>
      </c>
    </row>
    <row r="16" spans="1:3" x14ac:dyDescent="0.2">
      <c r="C16" s="32" t="s">
        <v>484</v>
      </c>
    </row>
    <row r="17" spans="3:3" x14ac:dyDescent="0.2">
      <c r="C17" s="32" t="s">
        <v>485</v>
      </c>
    </row>
    <row r="18" spans="3:3" x14ac:dyDescent="0.2">
      <c r="C18" s="32" t="s">
        <v>486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524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1" t="s">
        <v>68</v>
      </c>
    </row>
    <row r="5" spans="1:3" x14ac:dyDescent="0.2">
      <c r="A5" s="14"/>
      <c r="B5" s="1" t="s">
        <v>1</v>
      </c>
      <c r="C5" s="1" t="s">
        <v>29</v>
      </c>
    </row>
    <row r="6" spans="1:3" x14ac:dyDescent="0.2">
      <c r="B6" s="1" t="s">
        <v>69</v>
      </c>
      <c r="C6" s="1" t="s">
        <v>30</v>
      </c>
    </row>
    <row r="7" spans="1:3" x14ac:dyDescent="0.2">
      <c r="B7" s="1" t="s">
        <v>75</v>
      </c>
      <c r="C7" s="1" t="s">
        <v>76</v>
      </c>
    </row>
    <row r="8" spans="1:3" x14ac:dyDescent="0.2">
      <c r="B8" s="1" t="s">
        <v>70</v>
      </c>
      <c r="C8" s="1" t="s">
        <v>71</v>
      </c>
    </row>
    <row r="9" spans="1:3" x14ac:dyDescent="0.2">
      <c r="C9" s="1" t="s">
        <v>73</v>
      </c>
    </row>
    <row r="10" spans="1:3" x14ac:dyDescent="0.2">
      <c r="C10" s="1" t="s">
        <v>72</v>
      </c>
    </row>
    <row r="11" spans="1:3" x14ac:dyDescent="0.2">
      <c r="C11" s="1" t="s">
        <v>74</v>
      </c>
    </row>
    <row r="13" spans="1:3" x14ac:dyDescent="0.2">
      <c r="C13" s="17" t="s">
        <v>464</v>
      </c>
    </row>
    <row r="14" spans="1:3" x14ac:dyDescent="0.2">
      <c r="C14" s="23" t="s">
        <v>465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150</v>
      </c>
    </row>
    <row r="4" spans="1:3" x14ac:dyDescent="0.2">
      <c r="B4" s="1" t="s">
        <v>141</v>
      </c>
      <c r="C4" s="1" t="s">
        <v>156</v>
      </c>
    </row>
    <row r="5" spans="1:3" x14ac:dyDescent="0.2">
      <c r="B5" s="1" t="s">
        <v>1</v>
      </c>
      <c r="C5" s="1" t="s">
        <v>157</v>
      </c>
    </row>
    <row r="6" spans="1:3" x14ac:dyDescent="0.2">
      <c r="B6" s="1" t="s">
        <v>151</v>
      </c>
      <c r="C6" s="1" t="s">
        <v>27</v>
      </c>
    </row>
    <row r="7" spans="1:3" x14ac:dyDescent="0.2">
      <c r="B7" s="1" t="s">
        <v>140</v>
      </c>
    </row>
    <row r="8" spans="1:3" x14ac:dyDescent="0.2">
      <c r="C8" s="17" t="s">
        <v>385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152</v>
      </c>
    </row>
    <row r="15" spans="1:3" x14ac:dyDescent="0.2">
      <c r="C15" s="1" t="s">
        <v>153</v>
      </c>
    </row>
    <row r="17" spans="3:3" x14ac:dyDescent="0.2">
      <c r="C17" s="17" t="s">
        <v>154</v>
      </c>
    </row>
    <row r="18" spans="3:3" x14ac:dyDescent="0.2">
      <c r="C18" s="1" t="s">
        <v>155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C3" sqref="C3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518</v>
      </c>
    </row>
    <row r="3" spans="1:3" x14ac:dyDescent="0.2">
      <c r="B3" s="1" t="s">
        <v>65</v>
      </c>
      <c r="C3" s="1" t="s">
        <v>139</v>
      </c>
    </row>
    <row r="4" spans="1:3" x14ac:dyDescent="0.2">
      <c r="B4" s="1" t="s">
        <v>1</v>
      </c>
      <c r="C4" s="1" t="s">
        <v>171</v>
      </c>
    </row>
    <row r="5" spans="1:3" x14ac:dyDescent="0.2">
      <c r="B5" s="1" t="s">
        <v>141</v>
      </c>
      <c r="C5" s="1" t="s">
        <v>111</v>
      </c>
    </row>
    <row r="6" spans="1:3" x14ac:dyDescent="0.2">
      <c r="B6" s="1" t="s">
        <v>69</v>
      </c>
      <c r="C6" s="1" t="s">
        <v>85</v>
      </c>
    </row>
    <row r="7" spans="1:3" x14ac:dyDescent="0.2">
      <c r="B7" s="1" t="s">
        <v>151</v>
      </c>
      <c r="C7" s="1" t="s">
        <v>218</v>
      </c>
    </row>
    <row r="8" spans="1:3" x14ac:dyDescent="0.2">
      <c r="B8" s="1" t="s">
        <v>3</v>
      </c>
      <c r="C8" s="1" t="s">
        <v>149</v>
      </c>
    </row>
    <row r="9" spans="1:3" x14ac:dyDescent="0.2">
      <c r="B9" s="1" t="s">
        <v>140</v>
      </c>
    </row>
    <row r="10" spans="1:3" x14ac:dyDescent="0.2">
      <c r="C10" s="17" t="s">
        <v>142</v>
      </c>
    </row>
    <row r="11" spans="1:3" x14ac:dyDescent="0.2">
      <c r="C11" s="1" t="s">
        <v>143</v>
      </c>
    </row>
    <row r="12" spans="1:3" x14ac:dyDescent="0.2">
      <c r="C12" s="1" t="s">
        <v>144</v>
      </c>
    </row>
    <row r="14" spans="1:3" x14ac:dyDescent="0.2">
      <c r="C14" s="17" t="s">
        <v>145</v>
      </c>
    </row>
    <row r="17" spans="3:3" x14ac:dyDescent="0.2">
      <c r="C17" s="17" t="s">
        <v>146</v>
      </c>
    </row>
    <row r="20" spans="3:3" x14ac:dyDescent="0.2">
      <c r="C20" s="17" t="s">
        <v>147</v>
      </c>
    </row>
    <row r="21" spans="3:3" x14ac:dyDescent="0.2">
      <c r="C21" s="17"/>
    </row>
    <row r="23" spans="3:3" x14ac:dyDescent="0.2">
      <c r="C23" s="17" t="s">
        <v>148</v>
      </c>
    </row>
    <row r="27" spans="3:3" x14ac:dyDescent="0.2">
      <c r="C27" s="19" t="s">
        <v>173</v>
      </c>
    </row>
    <row r="29" spans="3:3" x14ac:dyDescent="0.2">
      <c r="C29" s="17" t="s">
        <v>172</v>
      </c>
    </row>
    <row r="31" spans="3:3" x14ac:dyDescent="0.2">
      <c r="C31" s="17" t="s">
        <v>391</v>
      </c>
    </row>
    <row r="32" spans="3:3" x14ac:dyDescent="0.2">
      <c r="C32" s="23" t="s">
        <v>392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643</v>
      </c>
      <c r="D2" s="32"/>
    </row>
    <row r="3" spans="1:4" x14ac:dyDescent="0.2">
      <c r="B3" s="32" t="s">
        <v>65</v>
      </c>
      <c r="C3" s="32" t="s">
        <v>417</v>
      </c>
    </row>
    <row r="4" spans="1:4" x14ac:dyDescent="0.2">
      <c r="B4" s="32" t="s">
        <v>1</v>
      </c>
      <c r="C4" s="32" t="s">
        <v>493</v>
      </c>
    </row>
    <row r="5" spans="1:4" x14ac:dyDescent="0.2">
      <c r="B5" s="32" t="s">
        <v>141</v>
      </c>
      <c r="C5" s="32" t="s">
        <v>642</v>
      </c>
    </row>
    <row r="6" spans="1:4" x14ac:dyDescent="0.2">
      <c r="B6" s="32" t="s">
        <v>151</v>
      </c>
      <c r="C6" s="32" t="s">
        <v>639</v>
      </c>
    </row>
    <row r="7" spans="1:4" x14ac:dyDescent="0.2">
      <c r="B7" s="32" t="s">
        <v>140</v>
      </c>
    </row>
    <row r="8" spans="1:4" x14ac:dyDescent="0.2">
      <c r="C8" s="47" t="s">
        <v>488</v>
      </c>
    </row>
    <row r="9" spans="1:4" x14ac:dyDescent="0.2">
      <c r="C9" s="32" t="s">
        <v>489</v>
      </c>
    </row>
    <row r="10" spans="1:4" x14ac:dyDescent="0.2">
      <c r="C10" s="32"/>
    </row>
    <row r="11" spans="1:4" x14ac:dyDescent="0.2">
      <c r="C11" s="47" t="s">
        <v>641</v>
      </c>
    </row>
    <row r="12" spans="1:4" x14ac:dyDescent="0.2">
      <c r="C12" s="32"/>
    </row>
    <row r="14" spans="1:4" x14ac:dyDescent="0.2">
      <c r="C14" s="47" t="s">
        <v>490</v>
      </c>
    </row>
    <row r="15" spans="1:4" x14ac:dyDescent="0.2">
      <c r="C15" s="32" t="s">
        <v>491</v>
      </c>
    </row>
    <row r="16" spans="1:4" x14ac:dyDescent="0.2">
      <c r="C16" s="32" t="s">
        <v>492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345</v>
      </c>
    </row>
    <row r="3" spans="1:3" x14ac:dyDescent="0.2">
      <c r="B3" s="1" t="s">
        <v>65</v>
      </c>
      <c r="C3" s="1" t="s">
        <v>291</v>
      </c>
    </row>
    <row r="4" spans="1:3" x14ac:dyDescent="0.2">
      <c r="B4" s="1" t="s">
        <v>141</v>
      </c>
      <c r="C4" s="1" t="s">
        <v>279</v>
      </c>
    </row>
    <row r="5" spans="1:3" x14ac:dyDescent="0.2">
      <c r="B5" s="1" t="s">
        <v>151</v>
      </c>
      <c r="C5" s="1" t="s">
        <v>346</v>
      </c>
    </row>
    <row r="6" spans="1:3" x14ac:dyDescent="0.2">
      <c r="B6" s="1" t="s">
        <v>1</v>
      </c>
      <c r="C6" s="1" t="s">
        <v>347</v>
      </c>
    </row>
    <row r="7" spans="1:3" x14ac:dyDescent="0.2">
      <c r="B7" s="1" t="s">
        <v>140</v>
      </c>
    </row>
    <row r="8" spans="1:3" x14ac:dyDescent="0.2">
      <c r="C8" s="17" t="s">
        <v>292</v>
      </c>
    </row>
    <row r="9" spans="1:3" x14ac:dyDescent="0.2">
      <c r="C9" s="1" t="s">
        <v>293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Main</vt:lpstr>
      <vt:lpstr>Model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2024-08-19T15:22:37Z</dcterms:modified>
</cp:coreProperties>
</file>